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activeTab="0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<sst xmlns="http://schemas.openxmlformats.org/spreadsheetml/2006/main" count="2302" uniqueCount="980">
  <si>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</si>
  <si>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</si>
  <si>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</si>
  <si>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</si>
  <si>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</si>
  <si>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</si>
  <si>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</si>
  <si>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</si>
  <si>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</si>
  <si>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</si>
  <si>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</si>
  <si>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</si>
  <si>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</si>
  <si>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</si>
  <si>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</si>
  <si>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</si>
  <si>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</si>
  <si>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</si>
  <si>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</si>
  <si>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</si>
  <si>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</si>
  <si>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</si>
  <si>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</si>
  <si>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</si>
  <si>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</si>
  <si>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</si>
  <si>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</si>
  <si>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</si>
  <si>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</si>
  <si>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</si>
  <si>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</si>
  <si>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</si>
  <si>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</si>
  <si>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</si>
  <si>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</si>
  <si>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</si>
  <si>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</si>
  <si>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</si>
  <si>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</si>
  <si>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</si>
  <si>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</si>
  <si>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</si>
  <si>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</si>
  <si>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</si>
  <si>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</si>
  <si>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</si>
  <si>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</si>
  <si>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</si>
  <si>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</si>
  <si>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</si>
  <si>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</si>
  <si>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</si>
  <si>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</si>
  <si>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</si>
  <si>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</si>
  <si>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</si>
  <si>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</si>
  <si>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</si>
  <si>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</si>
  <si>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</si>
  <si>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</si>
  <si>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</si>
  <si>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</si>
  <si>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</si>
  <si>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</si>
  <si>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</si>
  <si>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</si>
  <si>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</si>
  <si>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</si>
  <si>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</si>
  <si>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</si>
  <si>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</si>
  <si>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</si>
  <si>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</si>
  <si>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</si>
  <si>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</si>
  <si>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</si>
  <si>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</si>
  <si>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</si>
  <si>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</si>
  <si>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</si>
  <si>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</si>
  <si>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</si>
  <si>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</si>
  <si>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</si>
  <si>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</si>
  <si>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</si>
  <si>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</si>
  <si>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</si>
  <si>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</si>
  <si>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</si>
  <si>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</si>
  <si>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</si>
  <si>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</si>
  <si>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</si>
  <si>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</si>
  <si>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</si>
  <si>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</si>
  <si>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</si>
  <si>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</si>
  <si>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</si>
  <si>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</si>
  <si>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</si>
  <si>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</si>
  <si>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</si>
  <si>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</si>
  <si>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</si>
  <si>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</si>
  <si>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</si>
  <si>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</si>
  <si>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</si>
  <si>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</si>
  <si>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</si>
  <si>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</si>
  <si>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</si>
  <si>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MILFORD HOSPITAL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</si>
  <si>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</si>
  <si>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</si>
  <si>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</si>
  <si>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</si>
  <si>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</si>
  <si>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</si>
  <si>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</si>
  <si>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</si>
  <si>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</si>
  <si>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</si>
  <si>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</si>
  <si>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</si>
  <si>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</si>
  <si>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</si>
  <si>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</si>
  <si>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</si>
  <si>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</si>
  <si>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</si>
  <si>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</si>
  <si>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</si>
  <si>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</si>
  <si>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</si>
  <si>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</si>
  <si>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</si>
  <si>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</si>
  <si>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</si>
  <si>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</si>
  <si>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</si>
  <si>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</si>
  <si>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</si>
  <si>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</si>
  <si>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</si>
  <si>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</si>
  <si>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</si>
  <si>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</si>
  <si>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</si>
  <si>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</si>
  <si>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</si>
  <si>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</si>
  <si>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</si>
  <si>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</si>
  <si>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</si>
  <si>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</si>
  <si>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</si>
  <si>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</si>
  <si>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</si>
  <si>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</si>
  <si>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</si>
  <si>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</si>
  <si>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</si>
  <si>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</si>
  <si>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</si>
  <si>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</si>
  <si>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</si>
  <si>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</si>
  <si>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</si>
  <si>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</si>
  <si>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</si>
  <si>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</si>
  <si>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</si>
  <si>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</si>
  <si>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</si>
  <si>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</si>
  <si>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</si>
  <si>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</si>
  <si>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</si>
  <si>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</si>
  <si>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</si>
  <si>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</si>
  <si>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</si>
  <si>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</si>
  <si>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</si>
  <si>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</si>
  <si>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</si>
  <si>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</si>
  <si>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</si>
  <si>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</si>
  <si>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</si>
  <si>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</si>
  <si>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</si>
  <si>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</si>
  <si>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</si>
  <si>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</si>
  <si>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</si>
  <si>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</si>
  <si>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</si>
  <si>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</si>
  <si>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</si>
  <si>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</si>
  <si>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</si>
  <si>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</si>
  <si>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</si>
  <si>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</si>
  <si>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</si>
  <si>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</si>
  <si>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</si>
  <si>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</si>
  <si>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</si>
  <si>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</si>
  <si>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</si>
  <si>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</si>
  <si>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</si>
  <si>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</si>
  <si>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</si>
  <si>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</si>
  <si>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</si>
  <si>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</si>
  <si>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</si>
  <si>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</si>
  <si>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</si>
  <si>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</si>
  <si>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</si>
  <si>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</si>
  <si>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</si>
  <si>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</si>
  <si>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</si>
  <si>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</si>
  <si>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</si>
  <si>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</si>
  <si>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</si>
  <si>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</si>
  <si>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</si>
  <si>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</si>
  <si>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</si>
  <si>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</si>
  <si>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</si>
  <si>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</si>
  <si>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</si>
  <si>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</si>
  <si>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</si>
  <si>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</si>
  <si>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</si>
  <si>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</si>
  <si>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</si>
  <si>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</si>
  <si>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</si>
  <si>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</si>
  <si>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</si>
  <si>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</si>
  <si>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</si>
  <si>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</si>
  <si>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</si>
  <si>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</si>
  <si>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</si>
  <si>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</si>
  <si>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</si>
  <si>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</si>
  <si>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</si>
  <si>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</si>
  <si>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</si>
  <si>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</si>
  <si>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</si>
  <si>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</si>
  <si>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</si>
  <si>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</si>
  <si>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</si>
  <si>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</si>
  <si>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</si>
  <si>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</si>
  <si>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</si>
  <si>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</si>
  <si>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</si>
  <si>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</si>
  <si>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</si>
  <si>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</si>
  <si>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</si>
  <si>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</si>
  <si>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</si>
  <si>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</si>
  <si>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</si>
  <si>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</si>
  <si>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</si>
  <si>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</si>
  <si>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</si>
  <si>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</si>
  <si>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</si>
  <si>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</si>
  <si>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</si>
  <si>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</si>
  <si>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</si>
  <si>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</si>
  <si>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</si>
  <si>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</si>
  <si>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</si>
  <si>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</si>
  <si>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</si>
  <si>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</si>
  <si>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</si>
  <si>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</si>
  <si>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</si>
  <si>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</si>
  <si>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</si>
  <si>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</si>
  <si>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</si>
  <si>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</si>
  <si>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</si>
  <si>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</si>
  <si>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</si>
  <si>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</si>
  <si>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</si>
  <si>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</si>
  <si>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</si>
  <si>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</si>
  <si>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</si>
  <si>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</si>
  <si>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</si>
  <si>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</si>
  <si>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</si>
  <si>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</si>
  <si>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</si>
  <si>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</si>
  <si>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</si>
  <si>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</si>
  <si>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</si>
  <si>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</si>
  <si>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</si>
  <si>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</si>
  <si>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</si>
  <si>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</si>
  <si>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</si>
  <si>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</si>
  <si>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</si>
  <si>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</si>
  <si>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</si>
  <si>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</si>
  <si>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</si>
  <si>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</si>
  <si>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</si>
  <si>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</si>
  <si>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</si>
  <si>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</si>
  <si>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</si>
  <si>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</si>
  <si>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</si>
  <si>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</si>
  <si>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</si>
  <si>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</si>
  <si>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</si>
  <si>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</si>
  <si>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</si>
  <si>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</si>
  <si>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</si>
  <si>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</si>
  <si>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</si>
  <si>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</si>
  <si>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</si>
  <si>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</si>
  <si>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</si>
  <si>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</si>
  <si>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</si>
  <si>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</si>
  <si>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</si>
  <si>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</si>
  <si>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</si>
  <si>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</si>
  <si>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</si>
  <si>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</si>
  <si>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</si>
  <si>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</si>
  <si>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</si>
  <si>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</si>
  <si>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</si>
  <si>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</si>
  <si>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</si>
  <si>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</si>
  <si>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</si>
  <si>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</si>
  <si>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</si>
  <si>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</si>
  <si>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</si>
  <si>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</si>
  <si>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</si>
  <si>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</si>
  <si>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</si>
  <si>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</si>
  <si>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</si>
  <si>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</si>
  <si>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</si>
  <si>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</si>
  <si>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</si>
  <si>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</si>
  <si>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</si>
  <si>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</si>
  <si>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</si>
  <si>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</si>
  <si>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</si>
  <si>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</si>
  <si>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</si>
  <si>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</si>
  <si>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</si>
  <si>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</si>
  <si>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</si>
  <si>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</si>
  <si>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</si>
  <si>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</si>
  <si>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</si>
  <si>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</si>
  <si>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</si>
  <si>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</si>
  <si>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</si>
  <si>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</si>
  <si>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</si>
  <si>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</si>
  <si>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</si>
  <si>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</si>
  <si>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</si>
  <si>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</si>
  <si>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</si>
  <si>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</si>
  <si>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</si>
  <si>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</si>
  <si>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</si>
  <si>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</si>
  <si>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</si>
  <si>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</si>
  <si>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</si>
  <si>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</si>
  <si>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</si>
  <si>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</si>
  <si>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</si>
  <si>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</si>
  <si>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</si>
  <si>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</si>
  <si>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</si>
  <si>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</si>
  <si>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</si>
  <si>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</si>
  <si>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</si>
  <si>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</si>
  <si>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</si>
  <si>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</si>
  <si>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</si>
  <si>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</si>
  <si>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</si>
  <si>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</si>
  <si>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</si>
  <si>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</si>
  <si>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</si>
  <si>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</si>
  <si>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</si>
  <si>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</si>
  <si>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</si>
  <si>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</si>
  <si>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</si>
  <si>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</si>
  <si>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</si>
  <si>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</si>
  <si>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</si>
  <si>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</si>
  <si>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</si>
  <si>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</si>
  <si>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</si>
  <si>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</si>
  <si>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</si>
  <si>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</si>
  <si>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</si>
  <si>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</si>
  <si>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</si>
  <si>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</si>
  <si>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</si>
  <si>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</si>
  <si>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</si>
  <si>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</si>
  <si>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</si>
  <si>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</si>
  <si>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</si>
  <si>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</si>
  <si>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</si>
  <si>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</si>
  <si>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</si>
  <si>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</si>
  <si>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</si>
  <si>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</si>
  <si>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</si>
  <si>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</si>
  <si>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</si>
  <si>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</si>
  <si>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</si>
  <si>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</si>
  <si>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</si>
  <si>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</si>
  <si>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</si>
  <si>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</si>
  <si>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</si>
  <si>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</si>
  <si>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</si>
  <si>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</si>
  <si>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</si>
  <si>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</si>
  <si>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</si>
  <si>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</si>
  <si>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</si>
  <si>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</si>
  <si>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</si>
  <si>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</si>
  <si>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</si>
  <si>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</si>
  <si>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</si>
  <si>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</si>
  <si>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</si>
  <si>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</si>
  <si>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</si>
  <si>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</si>
  <si>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</si>
  <si>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</si>
  <si>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</si>
  <si>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</si>
  <si>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</si>
  <si>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</si>
  <si>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</si>
  <si>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</si>
  <si>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</si>
  <si>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</si>
  <si>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</si>
  <si>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</si>
  <si>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</si>
  <si>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</si>
  <si>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</si>
  <si>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</si>
  <si>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</si>
  <si>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</si>
  <si>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</si>
  <si>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</si>
  <si>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</si>
  <si>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</si>
  <si>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</si>
  <si>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</si>
  <si>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</si>
  <si>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</si>
  <si>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</si>
  <si>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</si>
  <si>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</si>
  <si>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</si>
  <si>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</si>
  <si>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</si>
  <si>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</si>
  <si>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</si>
  <si>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</si>
  <si>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</si>
  <si>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</si>
  <si>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</si>
  <si>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</si>
  <si>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</si>
  <si>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</si>
  <si>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</si>
  <si>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</si>
  <si>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</si>
  <si>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</si>
  <si>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</si>
  <si>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</si>
  <si>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</si>
  <si>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</si>
  <si>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</si>
  <si>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</si>
  <si>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</si>
  <si>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</si>
  <si>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</si>
  <si>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</si>
  <si>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</si>
  <si>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</si>
  <si>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</si>
  <si>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</si>
  <si>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</si>
  <si>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</si>
  <si>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</si>
  <si>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</si>
  <si>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</si>
  <si>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</si>
  <si>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</si>
  <si>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</si>
  <si>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</si>
  <si>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</si>
  <si>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</si>
  <si>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</si>
  <si>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</si>
  <si>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</si>
  <si>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</si>
  <si>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</si>
  <si>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MILFORD HEALTH &amp; MEDICAL, 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</si>
  <si>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</si>
  <si>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</si>
  <si>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</si>
  <si>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</si>
  <si>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</si>
  <si>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</si>
  <si>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</si>
  <si>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</si>
  <si>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</si>
  <si>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</si>
  <si>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</si>
  <si>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</si>
  <si>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</si>
  <si>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</si>
  <si>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</si>
  <si>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</si>
  <si>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</si>
  <si>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</si>
  <si>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</si>
  <si>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</si>
  <si>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</si>
  <si>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</si>
  <si>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</si>
  <si>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</si>
  <si>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</si>
  <si>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</si>
  <si>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</si>
  <si>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</si>
  <si>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</si>
  <si>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</si>
  <si>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</si>
  <si>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</si>
  <si>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</si>
  <si>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</si>
  <si>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</si>
  <si>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</si>
  <si>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</si>
  <si>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</si>
  <si>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</si>
  <si>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</si>
  <si>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</si>
  <si>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</si>
  <si>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</si>
  <si>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</si>
  <si>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</si>
  <si>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</si>
  <si>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</si>
  <si>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</si>
  <si>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</si>
  <si>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</si>
  <si>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</si>
  <si>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</si>
  <si>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</si>
  <si>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</si>
  <si>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</si>
  <si>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</si>
  <si>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</si>
  <si>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</si>
  <si>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</si>
  <si>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</si>
  <si>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</si>
  <si>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</si>
  <si>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</si>
  <si>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</si>
  <si>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</si>
  <si>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</si>
  <si>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</si>
  <si>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</si>
  <si>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</si>
  <si>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</si>
  <si>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</si>
  <si>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</si>
  <si>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</si>
  <si>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</si>
  <si>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</si>
  <si>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</si>
  <si>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</si>
  <si>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</si>
  <si>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</si>
  <si>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</si>
  <si>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</si>
  <si>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</si>
  <si>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</si>
  <si>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</si>
  <si>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</si>
  <si>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</si>
  <si>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</si>
  <si>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</si>
  <si>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</si>
  <si>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</si>
  <si>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</si>
  <si>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</si>
  <si>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</si>
  <si>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</si>
  <si>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</si>
  <si>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</si>
  <si>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</si>
  <si>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</si>
  <si>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</si>
  <si>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</si>
  <si>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</si>
  <si>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</si>
  <si>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</si>
  <si>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xxxx</t>
  </si>
  <si>
    <t>Milford 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</si>
  <si>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</si>
  <si>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</si>
  <si>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</si>
  <si>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>MilfHospBostonPostRd WalkIn Ctr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</si>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</sst>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42" fontId="25" fillId="0" borderId="7" xfId="0" applyNumberFormat="1" applyFont="1" applyBorder="1" applyAlignment="1">
      <alignment/>
    </xf>
    <xf numFmtId="169" fontId="25" fillId="0" borderId="7" xfId="0" applyNumberFormat="1" applyFont="1" applyBorder="1" applyAlignment="1">
      <alignment/>
    </xf>
    <xf numFmtId="42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2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10" fontId="3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168" fontId="23" fillId="0" borderId="31" xfId="0" applyNumberFormat="1" applyFont="1" applyBorder="1" applyAlignment="1">
      <alignment horizontal="center" wrapText="1"/>
    </xf>
    <xf numFmtId="168" fontId="23" fillId="0" borderId="29" xfId="0" applyNumberFormat="1" applyFont="1" applyBorder="1" applyAlignment="1">
      <alignment horizontal="center" wrapText="1"/>
    </xf>
    <xf numFmtId="168" fontId="18" fillId="20" borderId="30" xfId="0" applyNumberFormat="1" applyFont="1" applyFill="1" applyBorder="1" applyAlignment="1">
      <alignment/>
    </xf>
    <xf numFmtId="168" fontId="18" fillId="20" borderId="31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168" fontId="18" fillId="0" borderId="34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5" xfId="0" applyNumberFormat="1" applyFont="1" applyBorder="1" applyAlignment="1">
      <alignment horizontal="center"/>
    </xf>
    <xf numFmtId="5" fontId="20" fillId="0" borderId="36" xfId="0" applyNumberFormat="1" applyFont="1" applyBorder="1" applyAlignment="1">
      <alignment horizontal="center"/>
    </xf>
    <xf numFmtId="5" fontId="20" fillId="0" borderId="37" xfId="0" applyNumberFormat="1" applyFont="1" applyBorder="1" applyAlignment="1">
      <alignment horizontal="center"/>
    </xf>
    <xf numFmtId="5" fontId="20" fillId="0" borderId="30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23" fillId="20" borderId="38" xfId="0" applyNumberFormat="1" applyFont="1" applyFill="1" applyBorder="1" applyAlignment="1">
      <alignment horizontal="center" wrapText="1"/>
    </xf>
    <xf numFmtId="168" fontId="23" fillId="20" borderId="39" xfId="0" applyNumberFormat="1" applyFont="1" applyFill="1" applyBorder="1" applyAlignment="1">
      <alignment horizontal="center" wrapText="1"/>
    </xf>
    <xf numFmtId="168" fontId="23" fillId="20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168" fontId="23" fillId="0" borderId="3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5" xfId="0" applyNumberFormat="1" applyFont="1" applyBorder="1" applyAlignment="1">
      <alignment horizontal="center" wrapText="1"/>
    </xf>
    <xf numFmtId="168" fontId="23" fillId="0" borderId="36" xfId="0" applyNumberFormat="1" applyFont="1" applyBorder="1" applyAlignment="1">
      <alignment horizontal="center" wrapText="1"/>
    </xf>
    <xf numFmtId="168" fontId="23" fillId="0" borderId="37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3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140625" style="1" bestFit="1" customWidth="1"/>
    <col min="5" max="5" width="16.28125" style="2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115</v>
      </c>
      <c r="C1" s="3"/>
      <c r="D1" s="3"/>
      <c r="E1" s="4"/>
      <c r="F1" s="5"/>
    </row>
    <row r="2" spans="1:6" ht="24" customHeight="1">
      <c r="A2" s="3"/>
      <c r="B2" s="3" t="s">
        <v>116</v>
      </c>
      <c r="C2" s="3"/>
      <c r="D2" s="3"/>
      <c r="E2" s="4"/>
      <c r="F2" s="5"/>
    </row>
    <row r="3" spans="1:6" ht="24" customHeight="1">
      <c r="A3" s="3"/>
      <c r="B3" s="3" t="s">
        <v>117</v>
      </c>
      <c r="C3" s="3"/>
      <c r="D3" s="3"/>
      <c r="E3" s="4"/>
      <c r="F3" s="5"/>
    </row>
    <row r="4" spans="1:6" ht="24" customHeight="1">
      <c r="A4" s="3"/>
      <c r="B4" s="3" t="s">
        <v>118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119</v>
      </c>
      <c r="D7" s="10" t="s">
        <v>120</v>
      </c>
      <c r="E7" s="11" t="s">
        <v>121</v>
      </c>
      <c r="F7" s="11" t="s">
        <v>122</v>
      </c>
      <c r="H7" s="12"/>
    </row>
    <row r="8" spans="1:6" s="6" customFormat="1" ht="15.75" customHeight="1">
      <c r="A8" s="13" t="s">
        <v>123</v>
      </c>
      <c r="B8" s="13" t="s">
        <v>124</v>
      </c>
      <c r="C8" s="14" t="s">
        <v>125</v>
      </c>
      <c r="D8" s="14" t="s">
        <v>125</v>
      </c>
      <c r="E8" s="15" t="s">
        <v>126</v>
      </c>
      <c r="F8" s="15" t="s">
        <v>126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127</v>
      </c>
      <c r="B10" s="16" t="s">
        <v>128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129</v>
      </c>
      <c r="B12" s="16" t="s">
        <v>130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131</v>
      </c>
      <c r="C13" s="23">
        <v>1243133</v>
      </c>
      <c r="D13" s="23">
        <v>1078653</v>
      </c>
      <c r="E13" s="23">
        <f aca="true" t="shared" si="0" ref="E13:E22">D13-C13</f>
        <v>-164480</v>
      </c>
      <c r="F13" s="24">
        <f aca="true" t="shared" si="1" ref="F13:F22">IF(C13=0,0,E13/C13)</f>
        <v>-0.13231086295673913</v>
      </c>
    </row>
    <row r="14" spans="1:6" ht="24" customHeight="1">
      <c r="A14" s="21">
        <v>2</v>
      </c>
      <c r="B14" s="22" t="s">
        <v>132</v>
      </c>
      <c r="C14" s="23">
        <v>218753</v>
      </c>
      <c r="D14" s="23">
        <v>221990</v>
      </c>
      <c r="E14" s="23">
        <f t="shared" si="0"/>
        <v>3237</v>
      </c>
      <c r="F14" s="24">
        <f t="shared" si="1"/>
        <v>0.014797511348415794</v>
      </c>
    </row>
    <row r="15" spans="1:6" ht="30.75" customHeight="1">
      <c r="A15" s="21">
        <v>3</v>
      </c>
      <c r="B15" s="22" t="s">
        <v>133</v>
      </c>
      <c r="C15" s="23">
        <v>13366597</v>
      </c>
      <c r="D15" s="23">
        <v>13535241</v>
      </c>
      <c r="E15" s="23">
        <f t="shared" si="0"/>
        <v>168644</v>
      </c>
      <c r="F15" s="24">
        <f t="shared" si="1"/>
        <v>0.012616823863246569</v>
      </c>
    </row>
    <row r="16" spans="1:6" ht="24" customHeight="1">
      <c r="A16" s="21">
        <v>4</v>
      </c>
      <c r="B16" s="22" t="s">
        <v>134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6" ht="24" customHeight="1">
      <c r="A17" s="21">
        <v>5</v>
      </c>
      <c r="B17" s="22" t="s">
        <v>135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136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137</v>
      </c>
      <c r="C19" s="23">
        <v>856351</v>
      </c>
      <c r="D19" s="23">
        <v>778225</v>
      </c>
      <c r="E19" s="23">
        <f t="shared" si="0"/>
        <v>-78126</v>
      </c>
      <c r="F19" s="24">
        <f t="shared" si="1"/>
        <v>-0.09123128249981607</v>
      </c>
    </row>
    <row r="20" spans="1:6" ht="24" customHeight="1">
      <c r="A20" s="21">
        <v>8</v>
      </c>
      <c r="B20" s="22" t="s">
        <v>138</v>
      </c>
      <c r="C20" s="23">
        <v>728938</v>
      </c>
      <c r="D20" s="23">
        <v>581707</v>
      </c>
      <c r="E20" s="23">
        <f t="shared" si="0"/>
        <v>-147231</v>
      </c>
      <c r="F20" s="24">
        <f t="shared" si="1"/>
        <v>-0.20198014097220887</v>
      </c>
    </row>
    <row r="21" spans="1:6" ht="24" customHeight="1">
      <c r="A21" s="21">
        <v>9</v>
      </c>
      <c r="B21" s="22" t="s">
        <v>139</v>
      </c>
      <c r="C21" s="23">
        <v>697397</v>
      </c>
      <c r="D21" s="23">
        <v>747089</v>
      </c>
      <c r="E21" s="23">
        <f t="shared" si="0"/>
        <v>49692</v>
      </c>
      <c r="F21" s="24">
        <f t="shared" si="1"/>
        <v>0.071253532779751</v>
      </c>
    </row>
    <row r="22" spans="1:6" ht="24" customHeight="1">
      <c r="A22" s="25"/>
      <c r="B22" s="26" t="s">
        <v>140</v>
      </c>
      <c r="C22" s="27">
        <f>SUM(C13:C21)</f>
        <v>17111169</v>
      </c>
      <c r="D22" s="27">
        <f>SUM(D13:D21)</f>
        <v>16942905</v>
      </c>
      <c r="E22" s="27">
        <f t="shared" si="0"/>
        <v>-168264</v>
      </c>
      <c r="F22" s="28">
        <f t="shared" si="1"/>
        <v>-0.009833577121469608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141</v>
      </c>
      <c r="B24" s="30" t="s">
        <v>142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143</v>
      </c>
      <c r="C25" s="23">
        <v>680398</v>
      </c>
      <c r="D25" s="23">
        <v>682345</v>
      </c>
      <c r="E25" s="23">
        <f>D25-C25</f>
        <v>1947</v>
      </c>
      <c r="F25" s="24">
        <f>IF(C25=0,0,E25/C25)</f>
        <v>0.002861560439625043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144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145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24" customHeight="1">
      <c r="A28" s="21">
        <v>4</v>
      </c>
      <c r="B28" s="22" t="s">
        <v>146</v>
      </c>
      <c r="C28" s="23">
        <v>1046097</v>
      </c>
      <c r="D28" s="23">
        <v>1060894</v>
      </c>
      <c r="E28" s="23">
        <f>D28-C28</f>
        <v>14797</v>
      </c>
      <c r="F28" s="24">
        <f>IF(C28=0,0,E28/C28)</f>
        <v>0.014144959788623809</v>
      </c>
    </row>
    <row r="29" spans="1:6" ht="24" customHeight="1">
      <c r="A29" s="25"/>
      <c r="B29" s="26" t="s">
        <v>147</v>
      </c>
      <c r="C29" s="27">
        <f>SUM(C25:C28)</f>
        <v>1726495</v>
      </c>
      <c r="D29" s="27">
        <f>SUM(D25:D28)</f>
        <v>1743239</v>
      </c>
      <c r="E29" s="27">
        <f>D29-C29</f>
        <v>16744</v>
      </c>
      <c r="F29" s="28">
        <f>IF(C29=0,0,E29/C29)</f>
        <v>0.009698261506694198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148</v>
      </c>
      <c r="C31" s="23">
        <v>656633</v>
      </c>
      <c r="D31" s="23">
        <v>749093</v>
      </c>
      <c r="E31" s="23">
        <f>D31-C31</f>
        <v>92460</v>
      </c>
      <c r="F31" s="24">
        <f>IF(C31=0,0,E31/C31)</f>
        <v>0.14080924961127447</v>
      </c>
    </row>
    <row r="32" spans="1:6" ht="24" customHeight="1">
      <c r="A32" s="21">
        <v>6</v>
      </c>
      <c r="B32" s="22" t="s">
        <v>149</v>
      </c>
      <c r="C32" s="23">
        <v>32474587</v>
      </c>
      <c r="D32" s="23">
        <v>29687316</v>
      </c>
      <c r="E32" s="23">
        <f>D32-C32</f>
        <v>-2787271</v>
      </c>
      <c r="F32" s="24">
        <f>IF(C32=0,0,E32/C32)</f>
        <v>-0.08582929784449607</v>
      </c>
    </row>
    <row r="33" spans="1:6" ht="24" customHeight="1">
      <c r="A33" s="21">
        <v>7</v>
      </c>
      <c r="B33" s="22" t="s">
        <v>150</v>
      </c>
      <c r="C33" s="23">
        <v>1300837</v>
      </c>
      <c r="D33" s="23">
        <v>1220276</v>
      </c>
      <c r="E33" s="23">
        <f>D33-C33</f>
        <v>-80561</v>
      </c>
      <c r="F33" s="24">
        <f>IF(C33=0,0,E33/C33)</f>
        <v>-0.06193012652622888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151</v>
      </c>
      <c r="B35" s="30" t="s">
        <v>152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153</v>
      </c>
      <c r="C36" s="23">
        <v>70706014</v>
      </c>
      <c r="D36" s="23">
        <v>71103559</v>
      </c>
      <c r="E36" s="23">
        <f>D36-C36</f>
        <v>397545</v>
      </c>
      <c r="F36" s="24">
        <f>IF(C36=0,0,E36/C36)</f>
        <v>0.005622506170408645</v>
      </c>
    </row>
    <row r="37" spans="1:6" ht="24" customHeight="1">
      <c r="A37" s="21">
        <v>2</v>
      </c>
      <c r="B37" s="22" t="s">
        <v>154</v>
      </c>
      <c r="C37" s="23">
        <v>40332380</v>
      </c>
      <c r="D37" s="23">
        <v>42570348</v>
      </c>
      <c r="E37" s="23">
        <f>D37-C37</f>
        <v>2237968</v>
      </c>
      <c r="F37" s="24">
        <f>IF(C37=0,0,E37/C37)</f>
        <v>0.055488121454771576</v>
      </c>
    </row>
    <row r="38" spans="1:6" ht="24" customHeight="1">
      <c r="A38" s="25"/>
      <c r="B38" s="26" t="s">
        <v>155</v>
      </c>
      <c r="C38" s="27">
        <f>C36-C37</f>
        <v>30373634</v>
      </c>
      <c r="D38" s="27">
        <f>D36-D37</f>
        <v>28533211</v>
      </c>
      <c r="E38" s="27">
        <f>D38-C38</f>
        <v>-1840423</v>
      </c>
      <c r="F38" s="28">
        <f>IF(C38=0,0,E38/C38)</f>
        <v>-0.06059278254291205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156</v>
      </c>
      <c r="C40" s="23">
        <v>319881</v>
      </c>
      <c r="D40" s="23">
        <v>644126</v>
      </c>
      <c r="E40" s="23">
        <f>D40-C40</f>
        <v>324245</v>
      </c>
      <c r="F40" s="24">
        <f>IF(C40=0,0,E40/C40)</f>
        <v>1.0136425733319578</v>
      </c>
    </row>
    <row r="41" spans="1:6" ht="24" customHeight="1">
      <c r="A41" s="25"/>
      <c r="B41" s="26" t="s">
        <v>157</v>
      </c>
      <c r="C41" s="27">
        <f>+C38+C40</f>
        <v>30693515</v>
      </c>
      <c r="D41" s="27">
        <f>+D38+D40</f>
        <v>29177337</v>
      </c>
      <c r="E41" s="27">
        <f>D41-C41</f>
        <v>-1516178</v>
      </c>
      <c r="F41" s="28">
        <f>IF(C41=0,0,E41/C41)</f>
        <v>-0.04939734012217239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158</v>
      </c>
      <c r="C43" s="27">
        <f>C22+C29+C31+C32+C33+C41</f>
        <v>83963236</v>
      </c>
      <c r="D43" s="27">
        <f>D22+D29+D31+D32+D33+D41</f>
        <v>79520166</v>
      </c>
      <c r="E43" s="27">
        <f>D43-C43</f>
        <v>-4443070</v>
      </c>
      <c r="F43" s="28">
        <f>IF(C43=0,0,E43/C43)</f>
        <v>-0.0529168504177233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159</v>
      </c>
      <c r="B46" s="16" t="s">
        <v>160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129</v>
      </c>
      <c r="B48" s="41" t="s">
        <v>161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162</v>
      </c>
      <c r="C49" s="23">
        <v>5116659</v>
      </c>
      <c r="D49" s="23">
        <v>4324984</v>
      </c>
      <c r="E49" s="23">
        <f aca="true" t="shared" si="2" ref="E49:E56">D49-C49</f>
        <v>-791675</v>
      </c>
      <c r="F49" s="24">
        <f aca="true" t="shared" si="3" ref="F49:F56">IF(C49=0,0,E49/C49)</f>
        <v>-0.15472498753581193</v>
      </c>
    </row>
    <row r="50" spans="1:6" ht="24" customHeight="1">
      <c r="A50" s="21">
        <f aca="true" t="shared" si="4" ref="A50:A55">1+A49</f>
        <v>2</v>
      </c>
      <c r="B50" s="22" t="s">
        <v>163</v>
      </c>
      <c r="C50" s="23">
        <v>5794344</v>
      </c>
      <c r="D50" s="23">
        <v>6257395</v>
      </c>
      <c r="E50" s="23">
        <f t="shared" si="2"/>
        <v>463051</v>
      </c>
      <c r="F50" s="24">
        <f t="shared" si="3"/>
        <v>0.07991430954047603</v>
      </c>
    </row>
    <row r="51" spans="1:6" ht="24" customHeight="1">
      <c r="A51" s="21">
        <f t="shared" si="4"/>
        <v>3</v>
      </c>
      <c r="B51" s="22" t="s">
        <v>164</v>
      </c>
      <c r="C51" s="23">
        <v>2213360</v>
      </c>
      <c r="D51" s="23">
        <v>2372068</v>
      </c>
      <c r="E51" s="23">
        <f t="shared" si="2"/>
        <v>158708</v>
      </c>
      <c r="F51" s="24">
        <f t="shared" si="3"/>
        <v>0.07170455777641234</v>
      </c>
    </row>
    <row r="52" spans="1:6" ht="24" customHeight="1">
      <c r="A52" s="21">
        <f t="shared" si="4"/>
        <v>4</v>
      </c>
      <c r="B52" s="22" t="s">
        <v>165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166</v>
      </c>
      <c r="C53" s="23">
        <v>0</v>
      </c>
      <c r="D53" s="23">
        <v>0</v>
      </c>
      <c r="E53" s="23">
        <f t="shared" si="2"/>
        <v>0</v>
      </c>
      <c r="F53" s="24">
        <f t="shared" si="3"/>
        <v>0</v>
      </c>
    </row>
    <row r="54" spans="1:6" ht="24" customHeight="1">
      <c r="A54" s="21">
        <f t="shared" si="4"/>
        <v>6</v>
      </c>
      <c r="B54" s="22" t="s">
        <v>167</v>
      </c>
      <c r="C54" s="23">
        <v>778379</v>
      </c>
      <c r="D54" s="23">
        <v>833487</v>
      </c>
      <c r="E54" s="23">
        <f t="shared" si="2"/>
        <v>55108</v>
      </c>
      <c r="F54" s="24">
        <f t="shared" si="3"/>
        <v>0.07079841568182081</v>
      </c>
    </row>
    <row r="55" spans="1:6" ht="24" customHeight="1">
      <c r="A55" s="21">
        <f t="shared" si="4"/>
        <v>7</v>
      </c>
      <c r="B55" s="22" t="s">
        <v>168</v>
      </c>
      <c r="C55" s="23">
        <v>2130817</v>
      </c>
      <c r="D55" s="23">
        <v>2990484</v>
      </c>
      <c r="E55" s="23">
        <f t="shared" si="2"/>
        <v>859667</v>
      </c>
      <c r="F55" s="24">
        <f t="shared" si="3"/>
        <v>0.4034447819779925</v>
      </c>
    </row>
    <row r="56" spans="1:6" ht="24" customHeight="1">
      <c r="A56" s="25"/>
      <c r="B56" s="26" t="s">
        <v>169</v>
      </c>
      <c r="C56" s="27">
        <f>SUM(C49:C55)</f>
        <v>16033559</v>
      </c>
      <c r="D56" s="27">
        <f>SUM(D49:D55)</f>
        <v>16778418</v>
      </c>
      <c r="E56" s="27">
        <f t="shared" si="2"/>
        <v>744859</v>
      </c>
      <c r="F56" s="28">
        <f t="shared" si="3"/>
        <v>0.04645624842244944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141</v>
      </c>
      <c r="B58" s="41" t="s">
        <v>170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171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>
      <c r="A60" s="21">
        <v>2</v>
      </c>
      <c r="B60" s="22" t="s">
        <v>172</v>
      </c>
      <c r="C60" s="23">
        <v>3617035</v>
      </c>
      <c r="D60" s="23">
        <v>2783548</v>
      </c>
      <c r="E60" s="23">
        <f>D60-C60</f>
        <v>-833487</v>
      </c>
      <c r="F60" s="24">
        <f>IF(C60=0,0,E60/C60)</f>
        <v>-0.23043376688364917</v>
      </c>
    </row>
    <row r="61" spans="1:6" ht="24" customHeight="1">
      <c r="A61" s="25"/>
      <c r="B61" s="26" t="s">
        <v>173</v>
      </c>
      <c r="C61" s="27">
        <f>SUM(C59:C60)</f>
        <v>3617035</v>
      </c>
      <c r="D61" s="27">
        <f>SUM(D59:D60)</f>
        <v>2783548</v>
      </c>
      <c r="E61" s="27">
        <f>D61-C61</f>
        <v>-833487</v>
      </c>
      <c r="F61" s="28">
        <f>IF(C61=0,0,E61/C61)</f>
        <v>-0.23043376688364917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174</v>
      </c>
      <c r="C63" s="23">
        <v>14424664</v>
      </c>
      <c r="D63" s="23">
        <v>20708832</v>
      </c>
      <c r="E63" s="23">
        <f>D63-C63</f>
        <v>6284168</v>
      </c>
      <c r="F63" s="24">
        <f>IF(C63=0,0,E63/C63)</f>
        <v>0.4356543764208303</v>
      </c>
    </row>
    <row r="64" spans="1:6" ht="24" customHeight="1">
      <c r="A64" s="21">
        <v>4</v>
      </c>
      <c r="B64" s="22" t="s">
        <v>175</v>
      </c>
      <c r="C64" s="23">
        <v>1107740</v>
      </c>
      <c r="D64" s="23">
        <v>1150469</v>
      </c>
      <c r="E64" s="23">
        <f>D64-C64</f>
        <v>42729</v>
      </c>
      <c r="F64" s="24">
        <f>IF(C64=0,0,E64/C64)</f>
        <v>0.03857313087908715</v>
      </c>
    </row>
    <row r="65" spans="1:6" ht="24" customHeight="1">
      <c r="A65" s="25"/>
      <c r="B65" s="26" t="s">
        <v>176</v>
      </c>
      <c r="C65" s="27">
        <f>SUM(C61:C64)</f>
        <v>19149439</v>
      </c>
      <c r="D65" s="27">
        <f>SUM(D61:D64)</f>
        <v>24642849</v>
      </c>
      <c r="E65" s="27">
        <f>D65-C65</f>
        <v>5493410</v>
      </c>
      <c r="F65" s="28">
        <f>IF(C65=0,0,E65/C65)</f>
        <v>0.2868705448760144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177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151</v>
      </c>
      <c r="B69" s="41" t="s">
        <v>178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179</v>
      </c>
      <c r="C70" s="23">
        <v>47584605</v>
      </c>
      <c r="D70" s="23">
        <v>36805806</v>
      </c>
      <c r="E70" s="23">
        <f>D70-C70</f>
        <v>-10778799</v>
      </c>
      <c r="F70" s="24">
        <f>IF(C70=0,0,E70/C70)</f>
        <v>-0.22651861878437365</v>
      </c>
    </row>
    <row r="71" spans="1:6" ht="24" customHeight="1">
      <c r="A71" s="21">
        <v>2</v>
      </c>
      <c r="B71" s="22" t="s">
        <v>180</v>
      </c>
      <c r="C71" s="23">
        <v>602391</v>
      </c>
      <c r="D71" s="23">
        <v>689851</v>
      </c>
      <c r="E71" s="23">
        <f>D71-C71</f>
        <v>87460</v>
      </c>
      <c r="F71" s="24">
        <f>IF(C71=0,0,E71/C71)</f>
        <v>0.14518809211957018</v>
      </c>
    </row>
    <row r="72" spans="1:6" ht="24" customHeight="1">
      <c r="A72" s="21">
        <v>3</v>
      </c>
      <c r="B72" s="22" t="s">
        <v>181</v>
      </c>
      <c r="C72" s="23">
        <v>593242</v>
      </c>
      <c r="D72" s="23">
        <v>603242</v>
      </c>
      <c r="E72" s="23">
        <f>D72-C72</f>
        <v>10000</v>
      </c>
      <c r="F72" s="24">
        <f>IF(C72=0,0,E72/C72)</f>
        <v>0.016856527353086934</v>
      </c>
    </row>
    <row r="73" spans="1:6" ht="24" customHeight="1">
      <c r="A73" s="21"/>
      <c r="B73" s="26" t="s">
        <v>182</v>
      </c>
      <c r="C73" s="27">
        <f>SUM(C70:C72)</f>
        <v>48780238</v>
      </c>
      <c r="D73" s="27">
        <f>SUM(D70:D72)</f>
        <v>38098899</v>
      </c>
      <c r="E73" s="27">
        <f>D73-C73</f>
        <v>-10681339</v>
      </c>
      <c r="F73" s="28">
        <f>IF(C73=0,0,E73/C73)</f>
        <v>-0.21896857083805127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183</v>
      </c>
      <c r="C75" s="27">
        <f>C56+C65+C67+C73</f>
        <v>83963236</v>
      </c>
      <c r="D75" s="27">
        <f>D56+D65+D67+D73</f>
        <v>79520166</v>
      </c>
      <c r="E75" s="27">
        <f>D75-C75</f>
        <v>-4443070</v>
      </c>
      <c r="F75" s="28">
        <f>IF(C75=0,0,E75/C75)</f>
        <v>-0.0529168504177233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FILING&amp;RMILFORD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1">
      <selection activeCell="E80" sqref="E80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5" t="s">
        <v>594</v>
      </c>
      <c r="B1" s="696"/>
      <c r="C1" s="696"/>
      <c r="D1" s="696"/>
      <c r="E1" s="697"/>
    </row>
    <row r="2" spans="1:5" ht="24" customHeight="1">
      <c r="A2" s="695" t="s">
        <v>116</v>
      </c>
      <c r="B2" s="696"/>
      <c r="C2" s="696"/>
      <c r="D2" s="696"/>
      <c r="E2" s="697"/>
    </row>
    <row r="3" spans="1:5" ht="24" customHeight="1">
      <c r="A3" s="695" t="s">
        <v>117</v>
      </c>
      <c r="B3" s="696"/>
      <c r="C3" s="696"/>
      <c r="D3" s="696"/>
      <c r="E3" s="697"/>
    </row>
    <row r="4" spans="1:5" ht="24" customHeight="1">
      <c r="A4" s="695" t="s">
        <v>597</v>
      </c>
      <c r="B4" s="696"/>
      <c r="C4" s="696"/>
      <c r="D4" s="696"/>
      <c r="E4" s="697"/>
    </row>
    <row r="5" spans="1:6" ht="24" customHeight="1">
      <c r="A5" s="695"/>
      <c r="B5" s="696"/>
      <c r="C5" s="696"/>
      <c r="D5" s="696"/>
      <c r="E5" s="697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125</v>
      </c>
      <c r="D7" s="59" t="s">
        <v>125</v>
      </c>
      <c r="E7" s="59" t="s">
        <v>125</v>
      </c>
      <c r="F7" s="59"/>
    </row>
    <row r="8" spans="1:6" ht="24" customHeight="1">
      <c r="A8" s="61" t="s">
        <v>123</v>
      </c>
      <c r="B8" s="62" t="s">
        <v>124</v>
      </c>
      <c r="C8" s="264" t="s">
        <v>422</v>
      </c>
      <c r="D8" s="264" t="s">
        <v>119</v>
      </c>
      <c r="E8" s="264" t="s">
        <v>120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129</v>
      </c>
      <c r="B10" s="187" t="s">
        <v>598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599</v>
      </c>
      <c r="C11" s="51">
        <v>81571201</v>
      </c>
      <c r="D11" s="51">
        <v>88202602</v>
      </c>
      <c r="E11" s="51">
        <v>87766711</v>
      </c>
      <c r="F11" s="28"/>
    </row>
    <row r="12" spans="1:6" ht="24" customHeight="1">
      <c r="A12" s="44">
        <v>2</v>
      </c>
      <c r="B12" s="48" t="s">
        <v>191</v>
      </c>
      <c r="C12" s="49">
        <v>1268644</v>
      </c>
      <c r="D12" s="49">
        <v>1359817</v>
      </c>
      <c r="E12" s="49">
        <v>1545977</v>
      </c>
      <c r="F12" s="28"/>
    </row>
    <row r="13" spans="1:6" s="56" customFormat="1" ht="24" customHeight="1">
      <c r="A13" s="44">
        <v>3</v>
      </c>
      <c r="B13" s="48" t="s">
        <v>193</v>
      </c>
      <c r="C13" s="51">
        <f>+C11+C12</f>
        <v>82839845</v>
      </c>
      <c r="D13" s="51">
        <f>+D11+D12</f>
        <v>89562419</v>
      </c>
      <c r="E13" s="51">
        <f>+E11+E12</f>
        <v>89312688</v>
      </c>
      <c r="F13" s="70"/>
    </row>
    <row r="14" spans="1:6" s="56" customFormat="1" ht="24" customHeight="1">
      <c r="A14" s="44">
        <v>4</v>
      </c>
      <c r="B14" s="48" t="s">
        <v>204</v>
      </c>
      <c r="C14" s="49">
        <v>89069040</v>
      </c>
      <c r="D14" s="49">
        <v>92910297</v>
      </c>
      <c r="E14" s="49">
        <v>96215027</v>
      </c>
      <c r="F14" s="70"/>
    </row>
    <row r="15" spans="1:6" s="56" customFormat="1" ht="24" customHeight="1">
      <c r="A15" s="44">
        <v>5</v>
      </c>
      <c r="B15" s="48" t="s">
        <v>205</v>
      </c>
      <c r="C15" s="51">
        <f>+C13-C14</f>
        <v>-6229195</v>
      </c>
      <c r="D15" s="51">
        <f>+D13-D14</f>
        <v>-3347878</v>
      </c>
      <c r="E15" s="51">
        <f>+E13-E14</f>
        <v>-6902339</v>
      </c>
      <c r="F15" s="70"/>
    </row>
    <row r="16" spans="1:6" s="56" customFormat="1" ht="24" customHeight="1">
      <c r="A16" s="44">
        <v>6</v>
      </c>
      <c r="B16" s="48" t="s">
        <v>210</v>
      </c>
      <c r="C16" s="49">
        <v>5796267</v>
      </c>
      <c r="D16" s="49">
        <v>-2920902</v>
      </c>
      <c r="E16" s="49">
        <v>2214662</v>
      </c>
      <c r="F16" s="70"/>
    </row>
    <row r="17" spans="1:6" s="56" customFormat="1" ht="24" customHeight="1">
      <c r="A17" s="44">
        <v>7</v>
      </c>
      <c r="B17" s="45" t="s">
        <v>425</v>
      </c>
      <c r="C17" s="51">
        <f>C15+C16</f>
        <v>-432928</v>
      </c>
      <c r="D17" s="51">
        <f>D15+D16</f>
        <v>-6268780</v>
      </c>
      <c r="E17" s="51">
        <f>E15+E16</f>
        <v>-4687677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141</v>
      </c>
      <c r="B19" s="30" t="s">
        <v>600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>
      <c r="A20" s="266">
        <v>1</v>
      </c>
      <c r="B20" s="45" t="s">
        <v>601</v>
      </c>
      <c r="C20" s="169">
        <f>IF(+C27=0,0,+C24/+C27)</f>
        <v>-0.07027829695418047</v>
      </c>
      <c r="D20" s="169">
        <f>IF(+D27=0,0,+D24/+D27)</f>
        <v>-0.038640574587354</v>
      </c>
      <c r="E20" s="169">
        <f>IF(+E27=0,0,+E24/+E27)</f>
        <v>-0.0754128574682868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>
      <c r="A21" s="266">
        <v>2</v>
      </c>
      <c r="B21" s="45" t="s">
        <v>602</v>
      </c>
      <c r="C21" s="169">
        <f>IF(+C27=0,0,+C26/+C27)</f>
        <v>0.06539396719025763</v>
      </c>
      <c r="D21" s="169">
        <f>IF(+D27=0,0,+D26/+D27)</f>
        <v>-0.03371249836264986</v>
      </c>
      <c r="E21" s="169">
        <f>IF(+E27=0,0,+E26/+E27)</f>
        <v>0.02419672371154633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>
      <c r="A22" s="266">
        <v>3</v>
      </c>
      <c r="B22" s="45" t="s">
        <v>603</v>
      </c>
      <c r="C22" s="169">
        <f>IF(+C27=0,0,+C28/+C27)</f>
        <v>-0.004884329763922858</v>
      </c>
      <c r="D22" s="169">
        <f>IF(+D27=0,0,+D28/+D27)</f>
        <v>-0.07235307295000387</v>
      </c>
      <c r="E22" s="169">
        <f>IF(+E27=0,0,+E28/+E27)</f>
        <v>-0.05121613375674047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>
      <c r="A24" s="202">
        <v>4</v>
      </c>
      <c r="B24" s="48" t="s">
        <v>205</v>
      </c>
      <c r="C24" s="51">
        <f>+C15</f>
        <v>-6229195</v>
      </c>
      <c r="D24" s="51">
        <f>+D15</f>
        <v>-3347878</v>
      </c>
      <c r="E24" s="51">
        <f>+E15</f>
        <v>-6902339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>
      <c r="A25" s="202">
        <v>5</v>
      </c>
      <c r="B25" s="48" t="s">
        <v>193</v>
      </c>
      <c r="C25" s="51">
        <f>+C13</f>
        <v>82839845</v>
      </c>
      <c r="D25" s="51">
        <f>+D13</f>
        <v>89562419</v>
      </c>
      <c r="E25" s="51">
        <f>+E13</f>
        <v>89312688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>
      <c r="A26" s="202">
        <v>6</v>
      </c>
      <c r="B26" s="48" t="s">
        <v>210</v>
      </c>
      <c r="C26" s="51">
        <f>+C16</f>
        <v>5796267</v>
      </c>
      <c r="D26" s="51">
        <f>+D16</f>
        <v>-2920902</v>
      </c>
      <c r="E26" s="51">
        <f>+E16</f>
        <v>2214662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>
      <c r="A27" s="202">
        <v>7</v>
      </c>
      <c r="B27" s="48" t="s">
        <v>430</v>
      </c>
      <c r="C27" s="51">
        <f>SUM(C25:C26)</f>
        <v>88636112</v>
      </c>
      <c r="D27" s="51">
        <f>SUM(D25:D26)</f>
        <v>86641517</v>
      </c>
      <c r="E27" s="51">
        <f>SUM(E25:E26)</f>
        <v>91527350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>
      <c r="A28" s="202">
        <v>8</v>
      </c>
      <c r="B28" s="45" t="s">
        <v>425</v>
      </c>
      <c r="C28" s="51">
        <f>+C17</f>
        <v>-432928</v>
      </c>
      <c r="D28" s="51">
        <f>+D17</f>
        <v>-6268780</v>
      </c>
      <c r="E28" s="51">
        <f>+E17</f>
        <v>-4687677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>
      <c r="A30" s="11" t="s">
        <v>151</v>
      </c>
      <c r="B30" s="41" t="s">
        <v>604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>
      <c r="A31" s="44">
        <v>1</v>
      </c>
      <c r="B31" s="48" t="s">
        <v>605</v>
      </c>
      <c r="C31" s="51">
        <v>64789623</v>
      </c>
      <c r="D31" s="51">
        <v>55437122</v>
      </c>
      <c r="E31" s="52">
        <v>45266281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>
      <c r="A32" s="25">
        <v>2</v>
      </c>
      <c r="B32" s="48" t="s">
        <v>606</v>
      </c>
      <c r="C32" s="51">
        <v>65945313</v>
      </c>
      <c r="D32" s="51">
        <v>56632755</v>
      </c>
      <c r="E32" s="51">
        <v>46559374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>
      <c r="A33" s="25">
        <v>3</v>
      </c>
      <c r="B33" s="45" t="s">
        <v>607</v>
      </c>
      <c r="C33" s="51">
        <v>65945313</v>
      </c>
      <c r="D33" s="51">
        <f>+D32-C32</f>
        <v>-9312558</v>
      </c>
      <c r="E33" s="51">
        <f>+E32-D32</f>
        <v>-10073381</v>
      </c>
      <c r="F33" s="28"/>
      <c r="H33" s="265"/>
      <c r="I33" s="265"/>
      <c r="J33" s="265"/>
      <c r="K33" s="265"/>
      <c r="L33" s="265"/>
      <c r="M33" s="265"/>
      <c r="N33" s="265"/>
    </row>
    <row r="34" spans="1:6" ht="24" customHeight="1">
      <c r="A34" s="25">
        <v>4</v>
      </c>
      <c r="B34" s="45" t="s">
        <v>608</v>
      </c>
      <c r="C34" s="171">
        <v>0</v>
      </c>
      <c r="D34" s="171">
        <f>IF(C32=0,0,+D33/C32)</f>
        <v>-0.14121637424027392</v>
      </c>
      <c r="E34" s="171">
        <f>IF(D32=0,0,+E33/D32)</f>
        <v>-0.1778719929835658</v>
      </c>
      <c r="F34" s="28"/>
    </row>
    <row r="35" spans="5:6" ht="24" customHeight="1">
      <c r="E35" s="55"/>
      <c r="F35" s="28"/>
    </row>
    <row r="36" spans="1:6" ht="15.75" customHeight="1">
      <c r="A36" s="20" t="s">
        <v>436</v>
      </c>
      <c r="B36" s="16" t="s">
        <v>458</v>
      </c>
      <c r="C36" s="267"/>
      <c r="D36" s="267"/>
      <c r="E36" s="268"/>
      <c r="F36" s="28"/>
    </row>
    <row r="37" spans="1:6" ht="24" customHeight="1">
      <c r="A37" s="20"/>
      <c r="B37" s="16"/>
      <c r="C37" s="267"/>
      <c r="D37" s="267"/>
      <c r="E37" s="268"/>
      <c r="F37" s="28"/>
    </row>
    <row r="38" spans="1:6" ht="24" customHeight="1">
      <c r="A38" s="20">
        <v>1</v>
      </c>
      <c r="B38" s="187" t="s">
        <v>459</v>
      </c>
      <c r="C38" s="269">
        <f>IF(+C40=0,0,+C39/+C40)</f>
        <v>1.1809035129360173</v>
      </c>
      <c r="D38" s="269">
        <f>IF(+D40=0,0,+D39/+D40)</f>
        <v>1.1747297051761336</v>
      </c>
      <c r="E38" s="269">
        <f>IF(+E40=0,0,+E39/+E40)</f>
        <v>1.1059532687049465</v>
      </c>
      <c r="F38" s="28"/>
    </row>
    <row r="39" spans="1:6" ht="24" customHeight="1">
      <c r="A39" s="17">
        <v>2</v>
      </c>
      <c r="B39" s="45" t="s">
        <v>140</v>
      </c>
      <c r="C39" s="270">
        <v>17943438</v>
      </c>
      <c r="D39" s="270">
        <v>19473593</v>
      </c>
      <c r="E39" s="270">
        <v>19238557</v>
      </c>
      <c r="F39" s="28"/>
    </row>
    <row r="40" spans="1:5" ht="24" customHeight="1">
      <c r="A40" s="17">
        <v>3</v>
      </c>
      <c r="B40" s="45" t="s">
        <v>169</v>
      </c>
      <c r="C40" s="270">
        <v>15194669</v>
      </c>
      <c r="D40" s="270">
        <v>16577084</v>
      </c>
      <c r="E40" s="270">
        <v>17395452</v>
      </c>
    </row>
    <row r="41" spans="1:5" ht="24" customHeight="1">
      <c r="A41" s="17"/>
      <c r="B41" s="8"/>
      <c r="C41" s="267"/>
      <c r="D41" s="267"/>
      <c r="E41" s="268"/>
    </row>
    <row r="42" spans="1:5" ht="24" customHeight="1">
      <c r="A42" s="20">
        <v>4</v>
      </c>
      <c r="B42" s="187" t="s">
        <v>460</v>
      </c>
      <c r="C42" s="271">
        <f>IF((C48/365)=0,0,+C45/(C48/365))</f>
        <v>25.025651659966677</v>
      </c>
      <c r="D42" s="271">
        <f>IF((D48/365)=0,0,+D45/(D48/365))</f>
        <v>13.577171062886288</v>
      </c>
      <c r="E42" s="271">
        <f>IF((E48/365)=0,0,+E45/(E48/365))</f>
        <v>11.688169973340118</v>
      </c>
    </row>
    <row r="43" spans="1:5" ht="24" customHeight="1">
      <c r="A43" s="17">
        <v>5</v>
      </c>
      <c r="B43" s="188" t="s">
        <v>131</v>
      </c>
      <c r="C43" s="272">
        <v>5599541</v>
      </c>
      <c r="D43" s="272">
        <v>3081116</v>
      </c>
      <c r="E43" s="272">
        <v>2724153</v>
      </c>
    </row>
    <row r="44" spans="1:5" ht="24" customHeight="1">
      <c r="A44" s="17">
        <v>6</v>
      </c>
      <c r="B44" s="273" t="s">
        <v>132</v>
      </c>
      <c r="C44" s="274">
        <v>214168</v>
      </c>
      <c r="D44" s="274">
        <v>220277</v>
      </c>
      <c r="E44" s="274">
        <v>223553</v>
      </c>
    </row>
    <row r="45" spans="1:5" ht="24" customHeight="1">
      <c r="A45" s="17">
        <v>7</v>
      </c>
      <c r="B45" s="45" t="s">
        <v>461</v>
      </c>
      <c r="C45" s="270">
        <f>+C43+C44</f>
        <v>5813709</v>
      </c>
      <c r="D45" s="270">
        <f>+D43+D44</f>
        <v>3301393</v>
      </c>
      <c r="E45" s="270">
        <f>+E43+E44</f>
        <v>2947706</v>
      </c>
    </row>
    <row r="46" spans="1:5" ht="24" customHeight="1">
      <c r="A46" s="17">
        <v>8</v>
      </c>
      <c r="B46" s="45" t="s">
        <v>439</v>
      </c>
      <c r="C46" s="270">
        <f>+C14</f>
        <v>89069040</v>
      </c>
      <c r="D46" s="270">
        <f>+D14</f>
        <v>92910297</v>
      </c>
      <c r="E46" s="270">
        <f>+E14</f>
        <v>96215027</v>
      </c>
    </row>
    <row r="47" spans="1:5" ht="24" customHeight="1">
      <c r="A47" s="17">
        <v>9</v>
      </c>
      <c r="B47" s="45" t="s">
        <v>462</v>
      </c>
      <c r="C47" s="270">
        <v>4275892</v>
      </c>
      <c r="D47" s="270">
        <v>4157755</v>
      </c>
      <c r="E47" s="270">
        <v>4163603</v>
      </c>
    </row>
    <row r="48" spans="1:5" ht="24" customHeight="1">
      <c r="A48" s="17">
        <v>10</v>
      </c>
      <c r="B48" s="45" t="s">
        <v>463</v>
      </c>
      <c r="C48" s="270">
        <f>+C46-C47</f>
        <v>84793148</v>
      </c>
      <c r="D48" s="270">
        <f>+D46-D47</f>
        <v>88752542</v>
      </c>
      <c r="E48" s="270">
        <f>+E46-E47</f>
        <v>92051424</v>
      </c>
    </row>
    <row r="49" spans="1:5" ht="24" customHeight="1">
      <c r="A49" s="275"/>
      <c r="B49" s="8"/>
      <c r="C49" s="276"/>
      <c r="D49" s="276"/>
      <c r="E49" s="277"/>
    </row>
    <row r="50" spans="1:5" ht="24" customHeight="1">
      <c r="A50" s="20">
        <v>11</v>
      </c>
      <c r="B50" s="187" t="s">
        <v>464</v>
      </c>
      <c r="C50" s="278">
        <f>IF((C55/365)=0,0,+C54/(C55/365))</f>
        <v>33.197959350874335</v>
      </c>
      <c r="D50" s="278">
        <f>IF((D55/365)=0,0,+D54/(D55/365))</f>
        <v>47.490602941622974</v>
      </c>
      <c r="E50" s="278">
        <f>IF((E55/365)=0,0,+E54/(E55/365))</f>
        <v>48.01886976259142</v>
      </c>
    </row>
    <row r="51" spans="1:5" ht="24" customHeight="1">
      <c r="A51" s="17">
        <v>12</v>
      </c>
      <c r="B51" s="188" t="s">
        <v>465</v>
      </c>
      <c r="C51" s="279">
        <v>10075181</v>
      </c>
      <c r="D51" s="279">
        <v>13800088</v>
      </c>
      <c r="E51" s="279">
        <v>14042585</v>
      </c>
    </row>
    <row r="52" spans="1:5" ht="24" customHeight="1">
      <c r="A52" s="17">
        <v>13</v>
      </c>
      <c r="B52" s="188" t="s">
        <v>136</v>
      </c>
      <c r="C52" s="270">
        <v>0</v>
      </c>
      <c r="D52" s="270">
        <v>0</v>
      </c>
      <c r="E52" s="270">
        <v>0</v>
      </c>
    </row>
    <row r="53" spans="1:5" ht="24" customHeight="1">
      <c r="A53" s="17">
        <v>14</v>
      </c>
      <c r="B53" s="188" t="s">
        <v>164</v>
      </c>
      <c r="C53" s="270">
        <v>2656010</v>
      </c>
      <c r="D53" s="270">
        <v>2323938</v>
      </c>
      <c r="E53" s="270">
        <v>2496124</v>
      </c>
    </row>
    <row r="54" spans="1:5" ht="32.25" customHeight="1">
      <c r="A54" s="17">
        <v>15</v>
      </c>
      <c r="B54" s="45" t="s">
        <v>466</v>
      </c>
      <c r="C54" s="280">
        <f>+C51+C52-C53</f>
        <v>7419171</v>
      </c>
      <c r="D54" s="280">
        <f>+D51+D52-D53</f>
        <v>11476150</v>
      </c>
      <c r="E54" s="280">
        <f>+E51+E52-E53</f>
        <v>11546461</v>
      </c>
    </row>
    <row r="55" spans="1:5" ht="24" customHeight="1">
      <c r="A55" s="17">
        <v>16</v>
      </c>
      <c r="B55" s="45" t="s">
        <v>190</v>
      </c>
      <c r="C55" s="270">
        <f>+C11</f>
        <v>81571201</v>
      </c>
      <c r="D55" s="270">
        <f>+D11</f>
        <v>88202602</v>
      </c>
      <c r="E55" s="270">
        <f>+E11</f>
        <v>87766711</v>
      </c>
    </row>
    <row r="56" spans="1:5" ht="24" customHeight="1">
      <c r="A56" s="275"/>
      <c r="B56" s="45"/>
      <c r="C56" s="281"/>
      <c r="D56" s="282"/>
      <c r="E56" s="282"/>
    </row>
    <row r="57" spans="1:5" ht="24" customHeight="1">
      <c r="A57" s="20">
        <v>17</v>
      </c>
      <c r="B57" s="187" t="s">
        <v>467</v>
      </c>
      <c r="C57" s="283">
        <f>IF((C61/365)=0,0,+C58/(C61/365))</f>
        <v>65.40686736857559</v>
      </c>
      <c r="D57" s="283">
        <f>IF((D61/365)=0,0,+D58/(D61/365))</f>
        <v>68.1742237873029</v>
      </c>
      <c r="E57" s="283">
        <f>IF((E61/365)=0,0,+E58/(E61/365))</f>
        <v>68.97601040913827</v>
      </c>
    </row>
    <row r="58" spans="1:5" ht="24" customHeight="1">
      <c r="A58" s="17">
        <v>18</v>
      </c>
      <c r="B58" s="45" t="s">
        <v>169</v>
      </c>
      <c r="C58" s="281">
        <f>+C40</f>
        <v>15194669</v>
      </c>
      <c r="D58" s="281">
        <f>+D40</f>
        <v>16577084</v>
      </c>
      <c r="E58" s="281">
        <f>+E40</f>
        <v>17395452</v>
      </c>
    </row>
    <row r="59" spans="1:5" ht="24" customHeight="1">
      <c r="A59" s="17">
        <v>19</v>
      </c>
      <c r="B59" s="45" t="s">
        <v>439</v>
      </c>
      <c r="C59" s="281">
        <f aca="true" t="shared" si="0" ref="C59:E60">+C46</f>
        <v>89069040</v>
      </c>
      <c r="D59" s="281">
        <f t="shared" si="0"/>
        <v>92910297</v>
      </c>
      <c r="E59" s="281">
        <f t="shared" si="0"/>
        <v>96215027</v>
      </c>
    </row>
    <row r="60" spans="1:5" ht="24" customHeight="1">
      <c r="A60" s="17">
        <v>20</v>
      </c>
      <c r="B60" s="45" t="s">
        <v>462</v>
      </c>
      <c r="C60" s="176">
        <f t="shared" si="0"/>
        <v>4275892</v>
      </c>
      <c r="D60" s="176">
        <f t="shared" si="0"/>
        <v>4157755</v>
      </c>
      <c r="E60" s="176">
        <f t="shared" si="0"/>
        <v>4163603</v>
      </c>
    </row>
    <row r="61" spans="1:5" ht="24" customHeight="1">
      <c r="A61" s="17">
        <v>21</v>
      </c>
      <c r="B61" s="45" t="s">
        <v>468</v>
      </c>
      <c r="C61" s="281">
        <f>+C59-C60</f>
        <v>84793148</v>
      </c>
      <c r="D61" s="281">
        <f>+D59-D60</f>
        <v>88752542</v>
      </c>
      <c r="E61" s="281">
        <f>+E59-E60</f>
        <v>92051424</v>
      </c>
    </row>
    <row r="62" spans="1:5" ht="24" customHeight="1">
      <c r="A62" s="275"/>
      <c r="B62" s="45"/>
      <c r="C62" s="281"/>
      <c r="D62" s="281"/>
      <c r="E62" s="268"/>
    </row>
    <row r="63" spans="1:5" ht="24" customHeight="1">
      <c r="A63" s="20" t="s">
        <v>457</v>
      </c>
      <c r="B63" s="16" t="s">
        <v>470</v>
      </c>
      <c r="C63" s="281"/>
      <c r="D63" s="281"/>
      <c r="E63" s="268"/>
    </row>
    <row r="64" spans="1:5" ht="24" customHeight="1">
      <c r="A64" s="20"/>
      <c r="B64" s="16"/>
      <c r="C64" s="281"/>
      <c r="D64" s="281"/>
      <c r="E64" s="268"/>
    </row>
    <row r="65" spans="1:5" ht="24" customHeight="1">
      <c r="A65" s="20">
        <v>1</v>
      </c>
      <c r="B65" s="187" t="s">
        <v>471</v>
      </c>
      <c r="C65" s="284">
        <f>IF(C67=0,0,(C66/C67)*100)</f>
        <v>66.05125392719891</v>
      </c>
      <c r="D65" s="284">
        <f>IF(D67=0,0,(D66/D67)*100)</f>
        <v>59.83185035813373</v>
      </c>
      <c r="E65" s="284">
        <f>IF(E67=0,0,(E66/E67)*100)</f>
        <v>51.275116747720105</v>
      </c>
    </row>
    <row r="66" spans="1:5" ht="24" customHeight="1">
      <c r="A66" s="17">
        <v>2</v>
      </c>
      <c r="B66" s="45" t="s">
        <v>182</v>
      </c>
      <c r="C66" s="281">
        <f>+C32</f>
        <v>65945313</v>
      </c>
      <c r="D66" s="281">
        <f>+D32</f>
        <v>56632755</v>
      </c>
      <c r="E66" s="281">
        <f>+E32</f>
        <v>46559374</v>
      </c>
    </row>
    <row r="67" spans="1:5" ht="24" customHeight="1">
      <c r="A67" s="17">
        <v>3</v>
      </c>
      <c r="B67" s="45" t="s">
        <v>158</v>
      </c>
      <c r="C67" s="281">
        <v>99839608</v>
      </c>
      <c r="D67" s="281">
        <v>94653190</v>
      </c>
      <c r="E67" s="281">
        <v>90803058</v>
      </c>
    </row>
    <row r="68" spans="1:5" ht="24" customHeight="1">
      <c r="A68" s="275"/>
      <c r="B68" s="187"/>
      <c r="C68" s="283"/>
      <c r="D68" s="283"/>
      <c r="E68" s="268"/>
    </row>
    <row r="69" spans="1:5" ht="24" customHeight="1">
      <c r="A69" s="20">
        <v>4</v>
      </c>
      <c r="B69" s="187" t="s">
        <v>472</v>
      </c>
      <c r="C69" s="284">
        <f>IF(C75=0,0,(C72/C75)*100)</f>
        <v>17.49387094236719</v>
      </c>
      <c r="D69" s="284">
        <f>IF(D75=0,0,(D72/D75)*100)</f>
        <v>-9.387326974069007</v>
      </c>
      <c r="E69" s="284">
        <f>IF(E75=0,0,(E72/E75)*100)</f>
        <v>-2.3412483605199217</v>
      </c>
    </row>
    <row r="70" spans="1:5" ht="24" customHeight="1">
      <c r="A70" s="17">
        <v>5</v>
      </c>
      <c r="B70" s="45" t="s">
        <v>473</v>
      </c>
      <c r="C70" s="281">
        <f>+C28</f>
        <v>-432928</v>
      </c>
      <c r="D70" s="281">
        <f>+D28</f>
        <v>-6268780</v>
      </c>
      <c r="E70" s="281">
        <f>+E28</f>
        <v>-4687677</v>
      </c>
    </row>
    <row r="71" spans="1:5" ht="24" customHeight="1">
      <c r="A71" s="17">
        <v>6</v>
      </c>
      <c r="B71" s="45" t="s">
        <v>462</v>
      </c>
      <c r="C71" s="176">
        <f>+C47</f>
        <v>4275892</v>
      </c>
      <c r="D71" s="176">
        <f>+D47</f>
        <v>4157755</v>
      </c>
      <c r="E71" s="176">
        <f>+E47</f>
        <v>4163603</v>
      </c>
    </row>
    <row r="72" spans="1:5" ht="24" customHeight="1">
      <c r="A72" s="17">
        <v>7</v>
      </c>
      <c r="B72" s="45" t="s">
        <v>474</v>
      </c>
      <c r="C72" s="281">
        <f>+C70+C71</f>
        <v>3842964</v>
      </c>
      <c r="D72" s="281">
        <f>+D70+D71</f>
        <v>-2111025</v>
      </c>
      <c r="E72" s="281">
        <f>+E70+E71</f>
        <v>-524074</v>
      </c>
    </row>
    <row r="73" spans="1:5" ht="24" customHeight="1">
      <c r="A73" s="17">
        <v>8</v>
      </c>
      <c r="B73" s="45" t="s">
        <v>169</v>
      </c>
      <c r="C73" s="270">
        <f>+C40</f>
        <v>15194669</v>
      </c>
      <c r="D73" s="270">
        <f>+D40</f>
        <v>16577084</v>
      </c>
      <c r="E73" s="270">
        <f>+E40</f>
        <v>17395452</v>
      </c>
    </row>
    <row r="74" spans="1:5" ht="24" customHeight="1">
      <c r="A74" s="17">
        <v>9</v>
      </c>
      <c r="B74" s="45" t="s">
        <v>173</v>
      </c>
      <c r="C74" s="281">
        <v>6772819</v>
      </c>
      <c r="D74" s="281">
        <v>5910947</v>
      </c>
      <c r="E74" s="281">
        <v>4988931</v>
      </c>
    </row>
    <row r="75" spans="1:5" ht="24" customHeight="1">
      <c r="A75" s="17">
        <v>10</v>
      </c>
      <c r="B75" s="285" t="s">
        <v>475</v>
      </c>
      <c r="C75" s="270">
        <f>+C73+C74</f>
        <v>21967488</v>
      </c>
      <c r="D75" s="270">
        <f>+D73+D74</f>
        <v>22488031</v>
      </c>
      <c r="E75" s="270">
        <f>+E73+E74</f>
        <v>22384383</v>
      </c>
    </row>
    <row r="76" spans="1:5" ht="24" customHeight="1">
      <c r="A76" s="275"/>
      <c r="B76" s="187"/>
      <c r="C76" s="278"/>
      <c r="D76" s="278"/>
      <c r="E76" s="277"/>
    </row>
    <row r="77" spans="1:5" ht="24" customHeight="1">
      <c r="A77" s="20">
        <v>11</v>
      </c>
      <c r="B77" s="187" t="s">
        <v>476</v>
      </c>
      <c r="C77" s="286">
        <f>IF(C80=0,0,(C78/C80)*100)</f>
        <v>9.313796729541952</v>
      </c>
      <c r="D77" s="286">
        <f>IF(D80=0,0,(D78/D80)*100)</f>
        <v>9.450906823519976</v>
      </c>
      <c r="E77" s="286">
        <f>IF(E80=0,0,(E78/E80)*100)</f>
        <v>9.678166915478597</v>
      </c>
    </row>
    <row r="78" spans="1:5" ht="24" customHeight="1">
      <c r="A78" s="17">
        <v>12</v>
      </c>
      <c r="B78" s="45" t="s">
        <v>173</v>
      </c>
      <c r="C78" s="270">
        <f>+C74</f>
        <v>6772819</v>
      </c>
      <c r="D78" s="270">
        <f>+D74</f>
        <v>5910947</v>
      </c>
      <c r="E78" s="270">
        <f>+E74</f>
        <v>4988931</v>
      </c>
    </row>
    <row r="79" spans="1:5" ht="24" customHeight="1">
      <c r="A79" s="17">
        <v>13</v>
      </c>
      <c r="B79" s="45" t="s">
        <v>182</v>
      </c>
      <c r="C79" s="270">
        <f>+C32</f>
        <v>65945313</v>
      </c>
      <c r="D79" s="270">
        <f>+D32</f>
        <v>56632755</v>
      </c>
      <c r="E79" s="270">
        <f>+E32</f>
        <v>46559374</v>
      </c>
    </row>
    <row r="80" spans="1:5" ht="24" customHeight="1">
      <c r="A80" s="17">
        <v>14</v>
      </c>
      <c r="B80" s="45" t="s">
        <v>477</v>
      </c>
      <c r="C80" s="270">
        <f>+C78+C79</f>
        <v>72718132</v>
      </c>
      <c r="D80" s="270">
        <f>+D78+D79</f>
        <v>62543702</v>
      </c>
      <c r="E80" s="270">
        <f>+E78+E79</f>
        <v>51548305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&amp;L&amp;8OFFICE OF HEALTH CARE ACCESS&amp;C&amp;8TWELVE MONTHS ACTUAL FILING&amp;R&amp;8MILFORD HEALTH &amp;AMP; MEDICAL, 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3">
      <selection activeCell="C8" sqref="C8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7"/>
      <c r="B1" s="126"/>
      <c r="C1" s="126"/>
      <c r="D1" s="288" t="s">
        <v>115</v>
      </c>
      <c r="E1" s="126"/>
      <c r="F1" s="126"/>
      <c r="G1" s="126"/>
      <c r="H1" s="125"/>
      <c r="I1" s="125"/>
    </row>
    <row r="2" spans="1:9" ht="15.75" customHeight="1">
      <c r="A2" s="287"/>
      <c r="B2" s="126"/>
      <c r="C2" s="126"/>
      <c r="D2" s="288" t="s">
        <v>116</v>
      </c>
      <c r="E2" s="126"/>
      <c r="F2" s="126"/>
      <c r="G2" s="126"/>
      <c r="H2" s="125"/>
      <c r="I2" s="125"/>
    </row>
    <row r="3" spans="1:9" ht="15.75" customHeight="1">
      <c r="A3" s="287"/>
      <c r="B3" s="126"/>
      <c r="C3" s="126"/>
      <c r="D3" s="288" t="s">
        <v>117</v>
      </c>
      <c r="E3" s="126"/>
      <c r="F3" s="126"/>
      <c r="G3" s="126"/>
      <c r="H3" s="125"/>
      <c r="I3" s="125"/>
    </row>
    <row r="4" spans="1:9" ht="15.75" customHeight="1">
      <c r="A4" s="287"/>
      <c r="B4" s="126"/>
      <c r="C4" s="126"/>
      <c r="D4" s="288" t="s">
        <v>609</v>
      </c>
      <c r="E4" s="126"/>
      <c r="F4" s="126"/>
      <c r="G4" s="126"/>
      <c r="H4" s="125"/>
      <c r="I4" s="125"/>
    </row>
    <row r="5" spans="1:9" ht="15.75" customHeight="1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7"/>
      <c r="B7" s="126"/>
      <c r="C7" s="126"/>
      <c r="D7" s="126"/>
      <c r="E7" s="126"/>
      <c r="F7" s="126" t="s">
        <v>610</v>
      </c>
      <c r="G7" s="126" t="s">
        <v>610</v>
      </c>
      <c r="H7" s="125"/>
      <c r="I7" s="289"/>
    </row>
    <row r="8" spans="1:9" ht="15.75" customHeight="1">
      <c r="A8" s="287"/>
      <c r="B8" s="126"/>
      <c r="C8" s="126" t="s">
        <v>611</v>
      </c>
      <c r="D8" s="126" t="s">
        <v>612</v>
      </c>
      <c r="E8" s="126" t="s">
        <v>613</v>
      </c>
      <c r="F8" s="126" t="s">
        <v>614</v>
      </c>
      <c r="G8" s="126" t="s">
        <v>615</v>
      </c>
      <c r="H8" s="125"/>
      <c r="I8" s="289"/>
    </row>
    <row r="9" spans="1:9" ht="15.75" customHeight="1">
      <c r="A9" s="290" t="s">
        <v>123</v>
      </c>
      <c r="B9" s="291" t="s">
        <v>124</v>
      </c>
      <c r="C9" s="292" t="s">
        <v>616</v>
      </c>
      <c r="D9" s="292" t="s">
        <v>617</v>
      </c>
      <c r="E9" s="292" t="s">
        <v>618</v>
      </c>
      <c r="F9" s="292" t="s">
        <v>617</v>
      </c>
      <c r="G9" s="292" t="s">
        <v>618</v>
      </c>
      <c r="H9" s="125"/>
      <c r="I9" s="56"/>
    </row>
    <row r="10" spans="1:9" ht="15.75" customHeight="1">
      <c r="A10" s="293" t="s">
        <v>619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4">
        <v>1</v>
      </c>
      <c r="B11" s="295" t="s">
        <v>620</v>
      </c>
      <c r="C11" s="296">
        <v>15407</v>
      </c>
      <c r="D11" s="297">
        <v>43</v>
      </c>
      <c r="E11" s="297">
        <v>78</v>
      </c>
      <c r="F11" s="298">
        <f>IF(D11=0,0,$C11/(D11*365))</f>
        <v>0.981650207072316</v>
      </c>
      <c r="G11" s="298">
        <f>IF(E11=0,0,$C11/(E11*365))</f>
        <v>0.5411661397962768</v>
      </c>
      <c r="H11" s="125"/>
      <c r="I11" s="299"/>
    </row>
    <row r="12" spans="1:9" ht="15" customHeight="1" thickBot="1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>
      <c r="A13" s="294">
        <v>2</v>
      </c>
      <c r="B13" s="295" t="s">
        <v>621</v>
      </c>
      <c r="C13" s="296">
        <v>2015</v>
      </c>
      <c r="D13" s="297">
        <v>6</v>
      </c>
      <c r="E13" s="297">
        <v>10</v>
      </c>
      <c r="F13" s="298">
        <f>IF(D13=0,0,$C13/(D13*365))</f>
        <v>0.9200913242009132</v>
      </c>
      <c r="G13" s="298">
        <f>IF(E13=0,0,$C13/(E13*365))</f>
        <v>0.552054794520548</v>
      </c>
      <c r="H13" s="125"/>
      <c r="I13" s="299"/>
    </row>
    <row r="14" spans="1:9" ht="15" customHeight="1">
      <c r="A14" s="294"/>
      <c r="B14" s="141"/>
      <c r="C14" s="296"/>
      <c r="F14" s="298"/>
      <c r="G14" s="298"/>
      <c r="H14" s="125"/>
      <c r="I14" s="299"/>
    </row>
    <row r="15" spans="1:9" ht="15" customHeight="1">
      <c r="A15" s="294">
        <v>3</v>
      </c>
      <c r="B15" s="295" t="s">
        <v>622</v>
      </c>
      <c r="C15" s="296">
        <v>0</v>
      </c>
      <c r="D15" s="297">
        <v>0</v>
      </c>
      <c r="E15" s="297">
        <v>0</v>
      </c>
      <c r="F15" s="298">
        <f aca="true" t="shared" si="0" ref="F15:G17">IF(D15=0,0,$C15/(D15*365))</f>
        <v>0</v>
      </c>
      <c r="G15" s="298">
        <f t="shared" si="0"/>
        <v>0</v>
      </c>
      <c r="H15" s="125"/>
      <c r="I15" s="299"/>
    </row>
    <row r="16" spans="1:9" ht="15" customHeight="1">
      <c r="A16" s="294">
        <v>4</v>
      </c>
      <c r="B16" s="295" t="s">
        <v>623</v>
      </c>
      <c r="C16" s="296">
        <v>0</v>
      </c>
      <c r="D16" s="297">
        <v>0</v>
      </c>
      <c r="E16" s="297">
        <v>0</v>
      </c>
      <c r="F16" s="298">
        <f t="shared" si="0"/>
        <v>0</v>
      </c>
      <c r="G16" s="298">
        <f t="shared" si="0"/>
        <v>0</v>
      </c>
      <c r="H16" s="125"/>
      <c r="I16" s="299"/>
    </row>
    <row r="17" spans="1:9" ht="15.75" customHeight="1">
      <c r="A17" s="293"/>
      <c r="B17" s="135" t="s">
        <v>624</v>
      </c>
      <c r="C17" s="300">
        <f>SUM(C15:C16)</f>
        <v>0</v>
      </c>
      <c r="D17" s="300">
        <f>SUM(D15:D16)</f>
        <v>0</v>
      </c>
      <c r="E17" s="300">
        <f>SUM(E15:E16)</f>
        <v>0</v>
      </c>
      <c r="F17" s="301">
        <f t="shared" si="0"/>
        <v>0</v>
      </c>
      <c r="G17" s="301">
        <f t="shared" si="0"/>
        <v>0</v>
      </c>
      <c r="H17" s="125"/>
      <c r="I17" s="299"/>
    </row>
    <row r="18" spans="1:9" ht="15.75" customHeight="1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>
      <c r="A19" s="294">
        <v>5</v>
      </c>
      <c r="B19" s="295" t="s">
        <v>625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>
      <c r="A20" s="294"/>
      <c r="B20" s="141"/>
      <c r="F20" s="298"/>
      <c r="G20" s="298"/>
      <c r="H20" s="125"/>
      <c r="I20" s="299"/>
    </row>
    <row r="21" spans="1:9" ht="15" customHeight="1">
      <c r="A21" s="294">
        <v>6</v>
      </c>
      <c r="B21" s="295" t="s">
        <v>626</v>
      </c>
      <c r="C21" s="296">
        <v>1460</v>
      </c>
      <c r="D21" s="297">
        <v>5</v>
      </c>
      <c r="E21" s="297">
        <v>12</v>
      </c>
      <c r="F21" s="298">
        <f>IF(D21=0,0,$C21/(D21*365))</f>
        <v>0.8</v>
      </c>
      <c r="G21" s="298">
        <f>IF(E21=0,0,$C21/(E21*365))</f>
        <v>0.3333333333333333</v>
      </c>
      <c r="H21" s="125"/>
      <c r="I21" s="299"/>
    </row>
    <row r="22" spans="1:9" ht="15" customHeight="1">
      <c r="A22" s="294"/>
      <c r="B22" s="141"/>
      <c r="F22" s="298"/>
      <c r="G22" s="298"/>
      <c r="H22" s="125"/>
      <c r="I22" s="299"/>
    </row>
    <row r="23" spans="1:9" ht="15" customHeight="1">
      <c r="A23" s="294">
        <v>7</v>
      </c>
      <c r="B23" s="295" t="s">
        <v>627</v>
      </c>
      <c r="C23" s="296">
        <v>1488</v>
      </c>
      <c r="D23" s="297">
        <v>5</v>
      </c>
      <c r="E23" s="297">
        <v>12</v>
      </c>
      <c r="F23" s="298">
        <f>IF(D23=0,0,$C23/(D23*365))</f>
        <v>0.8153424657534246</v>
      </c>
      <c r="G23" s="298">
        <f>IF(E23=0,0,$C23/(E23*365))</f>
        <v>0.33972602739726027</v>
      </c>
      <c r="H23" s="125"/>
      <c r="I23" s="299"/>
    </row>
    <row r="24" spans="1:9" ht="15" customHeight="1">
      <c r="A24" s="294"/>
      <c r="B24" s="141"/>
      <c r="F24" s="298"/>
      <c r="G24" s="298"/>
      <c r="H24" s="125"/>
      <c r="I24" s="299"/>
    </row>
    <row r="25" spans="1:9" ht="15" customHeight="1">
      <c r="A25" s="294">
        <v>8</v>
      </c>
      <c r="B25" s="295" t="s">
        <v>410</v>
      </c>
      <c r="C25" s="296">
        <v>0</v>
      </c>
      <c r="D25" s="297">
        <v>0</v>
      </c>
      <c r="E25" s="297">
        <v>0</v>
      </c>
      <c r="F25" s="298">
        <f>IF(D25=0,0,$C25/(D25*365))</f>
        <v>0</v>
      </c>
      <c r="G25" s="298">
        <f>IF(E25=0,0,$C25/(E25*365))</f>
        <v>0</v>
      </c>
      <c r="H25" s="125"/>
      <c r="I25" s="299"/>
    </row>
    <row r="26" spans="1:9" ht="15" customHeight="1">
      <c r="A26" s="294"/>
      <c r="B26" s="141"/>
      <c r="F26" s="298"/>
      <c r="G26" s="298"/>
      <c r="H26" s="125"/>
      <c r="I26" s="299"/>
    </row>
    <row r="27" spans="1:9" ht="15" customHeight="1">
      <c r="A27" s="294">
        <v>9</v>
      </c>
      <c r="B27" s="295" t="s">
        <v>628</v>
      </c>
      <c r="C27" s="296">
        <v>0</v>
      </c>
      <c r="D27" s="297">
        <v>0</v>
      </c>
      <c r="E27" s="297">
        <v>6</v>
      </c>
      <c r="F27" s="298">
        <f>IF(D27=0,0,$C27/(D27*365))</f>
        <v>0</v>
      </c>
      <c r="G27" s="298">
        <f>IF(E27=0,0,$C27/(E27*365))</f>
        <v>0</v>
      </c>
      <c r="H27" s="125"/>
      <c r="I27" s="299"/>
    </row>
    <row r="28" spans="1:9" ht="15" customHeight="1">
      <c r="A28" s="294"/>
      <c r="B28" s="141"/>
      <c r="F28" s="298"/>
      <c r="G28" s="298"/>
      <c r="H28" s="125"/>
      <c r="I28" s="299"/>
    </row>
    <row r="29" spans="1:9" ht="15" customHeight="1">
      <c r="A29" s="294">
        <v>10</v>
      </c>
      <c r="B29" s="295" t="s">
        <v>629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>
      <c r="A31" s="293"/>
      <c r="B31" s="135" t="s">
        <v>630</v>
      </c>
      <c r="C31" s="300">
        <f>SUM(C10:C29)-C17-C23</f>
        <v>18882</v>
      </c>
      <c r="D31" s="300">
        <f>SUM(D10:D29)-D17-D23</f>
        <v>54</v>
      </c>
      <c r="E31" s="300">
        <f>SUM(E10:E29)-E17-E23</f>
        <v>106</v>
      </c>
      <c r="F31" s="301">
        <f>IF(D31=0,0,$C31/(D31*365))</f>
        <v>0.9579908675799087</v>
      </c>
      <c r="G31" s="301">
        <f>IF(E31=0,0,$C31/(E31*365))</f>
        <v>0.4880330834841044</v>
      </c>
      <c r="H31" s="125"/>
      <c r="I31" s="299"/>
    </row>
    <row r="32" spans="1:9" ht="15.75" customHeight="1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>
      <c r="A33" s="293"/>
      <c r="B33" s="135" t="s">
        <v>631</v>
      </c>
      <c r="C33" s="300">
        <f>SUM(C10:C29)-C17</f>
        <v>20370</v>
      </c>
      <c r="D33" s="300">
        <f>SUM(D10:D29)-D17</f>
        <v>59</v>
      </c>
      <c r="E33" s="300">
        <f>SUM(E10:E29)-E17</f>
        <v>118</v>
      </c>
      <c r="F33" s="301">
        <f>IF(D33=0,0,$C33/(D33*365))</f>
        <v>0.9459020199674948</v>
      </c>
      <c r="G33" s="301">
        <f>IF(E33=0,0,$C33/(E33*365))</f>
        <v>0.4729510099837474</v>
      </c>
      <c r="H33" s="125"/>
      <c r="I33" s="299"/>
    </row>
    <row r="34" spans="1:9" ht="15.75" customHeight="1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>
      <c r="A36" s="293"/>
      <c r="B36" s="135" t="s">
        <v>632</v>
      </c>
      <c r="C36" s="300">
        <f>+C33</f>
        <v>20370</v>
      </c>
      <c r="D36" s="300">
        <f>+D33</f>
        <v>59</v>
      </c>
      <c r="E36" s="300">
        <f>+E33</f>
        <v>118</v>
      </c>
      <c r="F36" s="301">
        <f>+F33</f>
        <v>0.9459020199674948</v>
      </c>
      <c r="G36" s="301">
        <f>+G33</f>
        <v>0.4729510099837474</v>
      </c>
      <c r="H36" s="125"/>
      <c r="I36" s="299"/>
    </row>
    <row r="37" spans="1:9" ht="15.75" customHeight="1">
      <c r="A37" s="293"/>
      <c r="B37" s="135" t="s">
        <v>633</v>
      </c>
      <c r="C37" s="300">
        <v>21629</v>
      </c>
      <c r="D37" s="302">
        <v>61</v>
      </c>
      <c r="E37" s="302">
        <v>118</v>
      </c>
      <c r="F37" s="301">
        <f>IF(D37=0,0,$C37/(D37*365))</f>
        <v>0.9714349876487761</v>
      </c>
      <c r="G37" s="301">
        <f>IF(E37=0,0,$C37/(E37*365))</f>
        <v>0.5021824936150453</v>
      </c>
      <c r="H37" s="125"/>
      <c r="I37" s="299"/>
    </row>
    <row r="38" spans="1:9" ht="15.75" customHeight="1">
      <c r="A38" s="293"/>
      <c r="B38" s="135" t="s">
        <v>634</v>
      </c>
      <c r="C38" s="300">
        <f>+C36-C37</f>
        <v>-1259</v>
      </c>
      <c r="D38" s="300">
        <f>+D36-D37</f>
        <v>-2</v>
      </c>
      <c r="E38" s="300">
        <f>+E36-E37</f>
        <v>0</v>
      </c>
      <c r="F38" s="301">
        <f>+F36-F37</f>
        <v>-0.025532967681281327</v>
      </c>
      <c r="G38" s="301">
        <f>+G36-G37</f>
        <v>-0.029231483631297905</v>
      </c>
      <c r="H38" s="125"/>
      <c r="I38" s="299"/>
    </row>
    <row r="39" spans="1:9" ht="15.75" customHeight="1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>
      <c r="A40" s="293"/>
      <c r="B40" s="135" t="s">
        <v>635</v>
      </c>
      <c r="C40" s="148">
        <f>IF(C37=0,0,C38/C37)</f>
        <v>-0.05820888621757825</v>
      </c>
      <c r="D40" s="148">
        <f>IF(D37=0,0,D38/D37)</f>
        <v>-0.03278688524590164</v>
      </c>
      <c r="E40" s="148">
        <f>IF(E37=0,0,E38/E37)</f>
        <v>0</v>
      </c>
      <c r="F40" s="148">
        <f>IF(F37=0,0,F38/F37)</f>
        <v>-0.026283763716479204</v>
      </c>
      <c r="G40" s="148">
        <f>IF(G37=0,0,G38/G37)</f>
        <v>-0.05820888621757828</v>
      </c>
      <c r="H40" s="202"/>
      <c r="I40" s="299"/>
    </row>
    <row r="41" spans="1:9" ht="15.75" customHeight="1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>
      <c r="A42" s="60"/>
      <c r="B42" s="295" t="s">
        <v>636</v>
      </c>
      <c r="C42" s="295">
        <v>118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4" t="s">
        <v>637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>
      <c r="A45" s="304" t="s">
        <v>619</v>
      </c>
      <c r="B45" s="305"/>
      <c r="C45" s="125"/>
      <c r="D45" s="125"/>
      <c r="E45" s="125"/>
      <c r="F45" s="125"/>
      <c r="G45" s="125"/>
      <c r="H45" s="125"/>
      <c r="I45" s="299"/>
    </row>
    <row r="46" spans="1:7" ht="15.75" customHeight="1">
      <c r="A46" s="306"/>
      <c r="B46" s="305"/>
      <c r="C46" s="305"/>
      <c r="D46" s="305"/>
      <c r="E46" s="305"/>
      <c r="F46" s="305"/>
      <c r="G46" s="305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/>
  <headerFooter alignWithMargins="0">
    <oddHeader>&amp;LOFFICE OF HEALTH CARE ACCESS&amp;CTWELVE MONTHS ACTUAL FILING&amp;RMILFORD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90" zoomScalePageLayoutView="0" workbookViewId="0" topLeftCell="A1">
      <selection activeCell="B13" sqref="B13"/>
    </sheetView>
  </sheetViews>
  <sheetFormatPr defaultColWidth="9.140625" defaultRowHeight="12.75"/>
  <cols>
    <col min="1" max="1" width="6.8515625" style="308" customWidth="1"/>
    <col min="2" max="2" width="52.7109375" style="307" customWidth="1"/>
    <col min="3" max="4" width="20.7109375" style="307" customWidth="1"/>
    <col min="5" max="5" width="19.00390625" style="307" customWidth="1"/>
    <col min="6" max="8" width="18.57421875" style="307" customWidth="1"/>
    <col min="9" max="9" width="17.57421875" style="307" customWidth="1"/>
    <col min="10" max="11" width="22.00390625" style="307" bestFit="1" customWidth="1"/>
    <col min="12" max="12" width="14.00390625" style="307" bestFit="1" customWidth="1"/>
    <col min="13" max="13" width="15.140625" style="307" customWidth="1"/>
    <col min="14" max="16384" width="9.140625" style="307" customWidth="1"/>
  </cols>
  <sheetData>
    <row r="1" spans="1:6" ht="15.75" customHeight="1">
      <c r="A1" s="698" t="s">
        <v>115</v>
      </c>
      <c r="B1" s="698"/>
      <c r="C1" s="698"/>
      <c r="D1" s="698"/>
      <c r="E1" s="698"/>
      <c r="F1" s="698"/>
    </row>
    <row r="2" spans="1:6" ht="15.75" customHeight="1">
      <c r="A2" s="698" t="s">
        <v>116</v>
      </c>
      <c r="B2" s="698"/>
      <c r="C2" s="698"/>
      <c r="D2" s="698"/>
      <c r="E2" s="698"/>
      <c r="F2" s="698"/>
    </row>
    <row r="3" spans="1:6" ht="15.75" customHeight="1">
      <c r="A3" s="698" t="s">
        <v>117</v>
      </c>
      <c r="B3" s="698"/>
      <c r="C3" s="698"/>
      <c r="D3" s="698"/>
      <c r="E3" s="698"/>
      <c r="F3" s="698"/>
    </row>
    <row r="4" spans="1:6" ht="15.75" customHeight="1">
      <c r="A4" s="698" t="s">
        <v>638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125</v>
      </c>
      <c r="D8" s="312" t="s">
        <v>125</v>
      </c>
      <c r="E8" s="126" t="s">
        <v>121</v>
      </c>
      <c r="F8" s="126" t="s">
        <v>122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123</v>
      </c>
      <c r="B9" s="291" t="s">
        <v>124</v>
      </c>
      <c r="C9" s="292" t="s">
        <v>119</v>
      </c>
      <c r="D9" s="292" t="s">
        <v>120</v>
      </c>
      <c r="E9" s="315" t="s">
        <v>126</v>
      </c>
      <c r="F9" s="315" t="s">
        <v>126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>
      <c r="A11" s="293" t="s">
        <v>129</v>
      </c>
      <c r="B11" s="291" t="s">
        <v>639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>
      <c r="A12" s="294">
        <v>1</v>
      </c>
      <c r="B12" s="295" t="s">
        <v>640</v>
      </c>
      <c r="C12" s="296">
        <v>1729</v>
      </c>
      <c r="D12" s="296">
        <v>1574</v>
      </c>
      <c r="E12" s="296">
        <f>+D12-C12</f>
        <v>-155</v>
      </c>
      <c r="F12" s="316">
        <f>IF(C12=0,0,+E12/C12)</f>
        <v>-0.0896471949103528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>
      <c r="A13" s="294">
        <v>2</v>
      </c>
      <c r="B13" s="295" t="s">
        <v>641</v>
      </c>
      <c r="C13" s="296">
        <v>3100</v>
      </c>
      <c r="D13" s="296">
        <v>3006</v>
      </c>
      <c r="E13" s="296">
        <f>+D13-C13</f>
        <v>-94</v>
      </c>
      <c r="F13" s="316">
        <f>IF(C13=0,0,+E13/C13)</f>
        <v>-0.03032258064516129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>
      <c r="A14" s="294">
        <v>3</v>
      </c>
      <c r="B14" s="295" t="s">
        <v>642</v>
      </c>
      <c r="C14" s="296">
        <v>7049</v>
      </c>
      <c r="D14" s="296">
        <v>7715</v>
      </c>
      <c r="E14" s="296">
        <f>+D14-C14</f>
        <v>666</v>
      </c>
      <c r="F14" s="316">
        <f>IF(C14=0,0,+E14/C14)</f>
        <v>0.09448148673570719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>
      <c r="A15" s="294">
        <v>4</v>
      </c>
      <c r="B15" s="295" t="s">
        <v>643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>
      <c r="A16" s="293"/>
      <c r="B16" s="135" t="s">
        <v>644</v>
      </c>
      <c r="C16" s="300">
        <f>SUM(C12:C15)</f>
        <v>11878</v>
      </c>
      <c r="D16" s="300">
        <f>SUM(D12:D15)</f>
        <v>12295</v>
      </c>
      <c r="E16" s="300">
        <f>+D16-C16</f>
        <v>417</v>
      </c>
      <c r="F16" s="309">
        <f>IF(C16=0,0,+E16/C16)</f>
        <v>0.03510692035696245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>
      <c r="A18" s="293" t="s">
        <v>141</v>
      </c>
      <c r="B18" s="291" t="s">
        <v>645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>
      <c r="A19" s="294">
        <v>1</v>
      </c>
      <c r="B19" s="295" t="s">
        <v>640</v>
      </c>
      <c r="C19" s="296">
        <v>397</v>
      </c>
      <c r="D19" s="296">
        <v>370</v>
      </c>
      <c r="E19" s="296">
        <f>+D19-C19</f>
        <v>-27</v>
      </c>
      <c r="F19" s="316">
        <f>IF(C19=0,0,+E19/C19)</f>
        <v>-0.06801007556675064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>
      <c r="A20" s="294">
        <v>2</v>
      </c>
      <c r="B20" s="295" t="s">
        <v>641</v>
      </c>
      <c r="C20" s="296">
        <v>2282</v>
      </c>
      <c r="D20" s="296">
        <v>2186</v>
      </c>
      <c r="E20" s="296">
        <f>+D20-C20</f>
        <v>-96</v>
      </c>
      <c r="F20" s="316">
        <f>IF(C20=0,0,+E20/C20)</f>
        <v>-0.042068361086765996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>
      <c r="A21" s="294">
        <v>3</v>
      </c>
      <c r="B21" s="295" t="s">
        <v>642</v>
      </c>
      <c r="C21" s="296">
        <v>126</v>
      </c>
      <c r="D21" s="296">
        <v>82</v>
      </c>
      <c r="E21" s="296">
        <f>+D21-C21</f>
        <v>-44</v>
      </c>
      <c r="F21" s="316">
        <f>IF(C21=0,0,+E21/C21)</f>
        <v>-0.3492063492063492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>
      <c r="A22" s="294">
        <v>4</v>
      </c>
      <c r="B22" s="295" t="s">
        <v>643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>
      <c r="A23" s="293"/>
      <c r="B23" s="135" t="s">
        <v>646</v>
      </c>
      <c r="C23" s="300">
        <f>SUM(C19:C22)</f>
        <v>2805</v>
      </c>
      <c r="D23" s="300">
        <f>SUM(D19:D22)</f>
        <v>2638</v>
      </c>
      <c r="E23" s="300">
        <f>+D23-C23</f>
        <v>-167</v>
      </c>
      <c r="F23" s="309">
        <f>IF(C23=0,0,+E23/C23)</f>
        <v>-0.05953654188948307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>
      <c r="A25" s="293" t="s">
        <v>151</v>
      </c>
      <c r="B25" s="291" t="s">
        <v>647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>
      <c r="A26" s="294">
        <v>1</v>
      </c>
      <c r="B26" s="295" t="s">
        <v>640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>
      <c r="A27" s="294">
        <v>2</v>
      </c>
      <c r="B27" s="295" t="s">
        <v>641</v>
      </c>
      <c r="C27" s="296">
        <v>62</v>
      </c>
      <c r="D27" s="296">
        <v>84</v>
      </c>
      <c r="E27" s="296">
        <f>+D27-C27</f>
        <v>22</v>
      </c>
      <c r="F27" s="316">
        <f>IF(C27=0,0,+E27/C27)</f>
        <v>0.3548387096774194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>
      <c r="A28" s="294">
        <v>3</v>
      </c>
      <c r="B28" s="295" t="s">
        <v>642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>
      <c r="A29" s="294">
        <v>4</v>
      </c>
      <c r="B29" s="295" t="s">
        <v>643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>
      <c r="A30" s="293"/>
      <c r="B30" s="135" t="s">
        <v>648</v>
      </c>
      <c r="C30" s="300">
        <f>SUM(C26:C29)</f>
        <v>62</v>
      </c>
      <c r="D30" s="300">
        <f>SUM(D26:D29)</f>
        <v>84</v>
      </c>
      <c r="E30" s="300">
        <f>+D30-C30</f>
        <v>22</v>
      </c>
      <c r="F30" s="309">
        <f>IF(C30=0,0,+E30/C30)</f>
        <v>0.3548387096774194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>
      <c r="A32" s="293" t="s">
        <v>436</v>
      </c>
      <c r="B32" s="291" t="s">
        <v>649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>
      <c r="A33" s="294">
        <v>1</v>
      </c>
      <c r="B33" s="295" t="s">
        <v>640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>
      <c r="A34" s="294">
        <v>2</v>
      </c>
      <c r="B34" s="295" t="s">
        <v>641</v>
      </c>
      <c r="C34" s="296">
        <v>0</v>
      </c>
      <c r="D34" s="296">
        <v>0</v>
      </c>
      <c r="E34" s="296">
        <f>+D34-C34</f>
        <v>0</v>
      </c>
      <c r="F34" s="316">
        <f>IF(C34=0,0,+E34/C34)</f>
        <v>0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>
      <c r="A35" s="294">
        <v>3</v>
      </c>
      <c r="B35" s="295" t="s">
        <v>642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>
      <c r="A36" s="294">
        <v>4</v>
      </c>
      <c r="B36" s="295" t="s">
        <v>643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>
      <c r="A37" s="293"/>
      <c r="B37" s="135" t="s">
        <v>650</v>
      </c>
      <c r="C37" s="300">
        <f>SUM(C33:C36)</f>
        <v>0</v>
      </c>
      <c r="D37" s="300">
        <f>SUM(D33:D36)</f>
        <v>0</v>
      </c>
      <c r="E37" s="300">
        <f>+D37-C37</f>
        <v>0</v>
      </c>
      <c r="F37" s="309">
        <f>IF(C37=0,0,+E37/C37)</f>
        <v>0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>
      <c r="A39" s="293"/>
      <c r="B39" s="135" t="s">
        <v>651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>
      <c r="A40" s="293"/>
      <c r="B40" s="135" t="s">
        <v>652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>
      <c r="A42" s="293" t="s">
        <v>457</v>
      </c>
      <c r="B42" s="291" t="s">
        <v>653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>
      <c r="A43" s="294">
        <v>1</v>
      </c>
      <c r="B43" s="295" t="s">
        <v>654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>
      <c r="A44" s="294">
        <v>2</v>
      </c>
      <c r="B44" s="295" t="s">
        <v>655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>
      <c r="A45" s="293"/>
      <c r="B45" s="135" t="s">
        <v>656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>
      <c r="A47" s="293" t="s">
        <v>469</v>
      </c>
      <c r="B47" s="291" t="s">
        <v>657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>
      <c r="A48" s="294">
        <v>1</v>
      </c>
      <c r="B48" s="295" t="s">
        <v>654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>
      <c r="A49" s="294">
        <v>2</v>
      </c>
      <c r="B49" s="295" t="s">
        <v>655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>
      <c r="A50" s="293"/>
      <c r="B50" s="135" t="s">
        <v>658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>
      <c r="A52" s="293" t="s">
        <v>481</v>
      </c>
      <c r="B52" s="291" t="s">
        <v>659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>
      <c r="A53" s="294">
        <v>1</v>
      </c>
      <c r="B53" s="295" t="s">
        <v>660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>
      <c r="A54" s="294">
        <v>2</v>
      </c>
      <c r="B54" s="295" t="s">
        <v>661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>
      <c r="A55" s="293"/>
      <c r="B55" s="135" t="s">
        <v>662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>
      <c r="A57" s="293" t="s">
        <v>485</v>
      </c>
      <c r="B57" s="291" t="s">
        <v>663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>
      <c r="A58" s="294">
        <v>1</v>
      </c>
      <c r="B58" s="295" t="s">
        <v>664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>
      <c r="A59" s="294">
        <v>2</v>
      </c>
      <c r="B59" s="295" t="s">
        <v>665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>
      <c r="A60" s="293"/>
      <c r="B60" s="135" t="s">
        <v>666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>
      <c r="A62" s="293" t="s">
        <v>127</v>
      </c>
      <c r="B62" s="291" t="s">
        <v>667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>
      <c r="A63" s="294">
        <v>1</v>
      </c>
      <c r="B63" s="295" t="s">
        <v>668</v>
      </c>
      <c r="C63" s="296">
        <v>1447</v>
      </c>
      <c r="D63" s="296">
        <v>1372</v>
      </c>
      <c r="E63" s="296">
        <f>+D63-C63</f>
        <v>-75</v>
      </c>
      <c r="F63" s="316">
        <f>IF(C63=0,0,+E63/C63)</f>
        <v>-0.051831375259156875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>
      <c r="A64" s="294">
        <v>2</v>
      </c>
      <c r="B64" s="295" t="s">
        <v>669</v>
      </c>
      <c r="C64" s="296">
        <v>2242</v>
      </c>
      <c r="D64" s="296">
        <v>2222</v>
      </c>
      <c r="E64" s="296">
        <f>+D64-C64</f>
        <v>-20</v>
      </c>
      <c r="F64" s="316">
        <f>IF(C64=0,0,+E64/C64)</f>
        <v>-0.008920606601248885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>
      <c r="A65" s="293"/>
      <c r="B65" s="135" t="s">
        <v>670</v>
      </c>
      <c r="C65" s="300">
        <f>SUM(C63:C64)</f>
        <v>3689</v>
      </c>
      <c r="D65" s="300">
        <f>SUM(D63:D64)</f>
        <v>3594</v>
      </c>
      <c r="E65" s="300">
        <f>+D65-C65</f>
        <v>-95</v>
      </c>
      <c r="F65" s="309">
        <f>IF(C65=0,0,+E65/C65)</f>
        <v>-0.025752236378422336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>
      <c r="A67" s="293" t="s">
        <v>511</v>
      </c>
      <c r="B67" s="291" t="s">
        <v>671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>
      <c r="A68" s="294">
        <v>1</v>
      </c>
      <c r="B68" s="295" t="s">
        <v>672</v>
      </c>
      <c r="C68" s="296">
        <v>368</v>
      </c>
      <c r="D68" s="296">
        <v>325</v>
      </c>
      <c r="E68" s="296">
        <f>+D68-C68</f>
        <v>-43</v>
      </c>
      <c r="F68" s="316">
        <f>IF(C68=0,0,+E68/C68)</f>
        <v>-0.11684782608695653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>
      <c r="A69" s="294">
        <v>2</v>
      </c>
      <c r="B69" s="295" t="s">
        <v>673</v>
      </c>
      <c r="C69" s="296">
        <v>2917</v>
      </c>
      <c r="D69" s="296">
        <v>2498</v>
      </c>
      <c r="E69" s="296">
        <f>+D69-C69</f>
        <v>-419</v>
      </c>
      <c r="F69" s="318">
        <f>IF(C69=0,0,+E69/C69)</f>
        <v>-0.14364072677408296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>
      <c r="A70" s="293"/>
      <c r="B70" s="135" t="s">
        <v>674</v>
      </c>
      <c r="C70" s="300">
        <f>SUM(C68:C69)</f>
        <v>3285</v>
      </c>
      <c r="D70" s="300">
        <f>SUM(D68:D69)</f>
        <v>2823</v>
      </c>
      <c r="E70" s="300">
        <f>+D70-C70</f>
        <v>-462</v>
      </c>
      <c r="F70" s="309">
        <f>IF(C70=0,0,+E70/C70)</f>
        <v>-0.14063926940639268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>
      <c r="A72" s="293" t="s">
        <v>527</v>
      </c>
      <c r="B72" s="291" t="s">
        <v>675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>
      <c r="A73" s="294">
        <v>1</v>
      </c>
      <c r="B73" s="295" t="s">
        <v>676</v>
      </c>
      <c r="C73" s="319">
        <v>3138</v>
      </c>
      <c r="D73" s="319">
        <v>3033</v>
      </c>
      <c r="E73" s="296">
        <f>+D73-C73</f>
        <v>-105</v>
      </c>
      <c r="F73" s="316">
        <f>IF(C73=0,0,+E73/C73)</f>
        <v>-0.033460803059273424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>
      <c r="A74" s="294">
        <v>2</v>
      </c>
      <c r="B74" s="295" t="s">
        <v>677</v>
      </c>
      <c r="C74" s="319">
        <v>35844</v>
      </c>
      <c r="D74" s="319">
        <v>36913</v>
      </c>
      <c r="E74" s="296">
        <f>+D74-C74</f>
        <v>1069</v>
      </c>
      <c r="F74" s="316">
        <f>IF(C74=0,0,+E74/C74)</f>
        <v>0.0298236803928133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>
      <c r="A75" s="293"/>
      <c r="B75" s="135" t="s">
        <v>543</v>
      </c>
      <c r="C75" s="300">
        <f>SUM(C73:C74)</f>
        <v>38982</v>
      </c>
      <c r="D75" s="300">
        <f>SUM(D73:D74)</f>
        <v>39946</v>
      </c>
      <c r="E75" s="300">
        <f>SUM(E73:E74)</f>
        <v>964</v>
      </c>
      <c r="F75" s="309">
        <f>IF(C75=0,0,+E75/C75)</f>
        <v>0.024729362269765534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>
      <c r="A78" s="293" t="s">
        <v>536</v>
      </c>
      <c r="B78" s="291" t="s">
        <v>678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>
      <c r="A79" s="294">
        <v>1</v>
      </c>
      <c r="B79" s="295" t="s">
        <v>679</v>
      </c>
      <c r="C79" s="319">
        <v>0</v>
      </c>
      <c r="D79" s="319">
        <v>0</v>
      </c>
      <c r="E79" s="296">
        <f aca="true" t="shared" si="0" ref="E79:E84">+D79-C79</f>
        <v>0</v>
      </c>
      <c r="F79" s="316">
        <f aca="true" t="shared" si="1" ref="F79:F84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>
      <c r="A80" s="294">
        <v>2</v>
      </c>
      <c r="B80" s="295" t="s">
        <v>680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>
      <c r="A81" s="294">
        <v>3</v>
      </c>
      <c r="B81" s="295" t="s">
        <v>681</v>
      </c>
      <c r="C81" s="319">
        <v>0</v>
      </c>
      <c r="D81" s="319">
        <v>0</v>
      </c>
      <c r="E81" s="296">
        <f t="shared" si="0"/>
        <v>0</v>
      </c>
      <c r="F81" s="316">
        <f t="shared" si="1"/>
        <v>0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>
      <c r="A82" s="294">
        <v>4</v>
      </c>
      <c r="B82" s="295" t="s">
        <v>682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>
      <c r="A83" s="294">
        <v>5</v>
      </c>
      <c r="B83" s="295" t="s">
        <v>683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>
      <c r="A84" s="293"/>
      <c r="B84" s="135" t="s">
        <v>684</v>
      </c>
      <c r="C84" s="320">
        <f>SUM(C79:C83)</f>
        <v>0</v>
      </c>
      <c r="D84" s="320">
        <f>SUM(D79:D83)</f>
        <v>0</v>
      </c>
      <c r="E84" s="300">
        <f t="shared" si="0"/>
        <v>0</v>
      </c>
      <c r="F84" s="309">
        <f t="shared" si="1"/>
        <v>0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>
      <c r="A86" s="293" t="s">
        <v>539</v>
      </c>
      <c r="B86" s="291" t="s">
        <v>685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>
      <c r="A87" s="294">
        <v>1</v>
      </c>
      <c r="B87" s="295" t="s">
        <v>686</v>
      </c>
      <c r="C87" s="322">
        <v>0</v>
      </c>
      <c r="D87" s="322">
        <v>0</v>
      </c>
      <c r="E87" s="323">
        <f aca="true" t="shared" si="2" ref="E87:E92">+D87-C87</f>
        <v>0</v>
      </c>
      <c r="F87" s="318">
        <f aca="true" t="shared" si="3" ref="F87:F92">IF(C87=0,0,+E87/C87)</f>
        <v>0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>
      <c r="A88" s="294">
        <v>2</v>
      </c>
      <c r="B88" s="295" t="s">
        <v>378</v>
      </c>
      <c r="C88" s="322">
        <v>0</v>
      </c>
      <c r="D88" s="322">
        <v>0</v>
      </c>
      <c r="E88" s="296">
        <f t="shared" si="2"/>
        <v>0</v>
      </c>
      <c r="F88" s="316">
        <f t="shared" si="3"/>
        <v>0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>
      <c r="A89" s="294">
        <v>3</v>
      </c>
      <c r="B89" s="295" t="s">
        <v>687</v>
      </c>
      <c r="C89" s="322">
        <v>0</v>
      </c>
      <c r="D89" s="322">
        <v>0</v>
      </c>
      <c r="E89" s="296">
        <f t="shared" si="2"/>
        <v>0</v>
      </c>
      <c r="F89" s="316">
        <f t="shared" si="3"/>
        <v>0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>
      <c r="A90" s="294">
        <v>4</v>
      </c>
      <c r="B90" s="295" t="s">
        <v>688</v>
      </c>
      <c r="C90" s="322">
        <v>0</v>
      </c>
      <c r="D90" s="322">
        <v>0</v>
      </c>
      <c r="E90" s="296">
        <f t="shared" si="2"/>
        <v>0</v>
      </c>
      <c r="F90" s="316">
        <f t="shared" si="3"/>
        <v>0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>
      <c r="A91" s="294">
        <v>5</v>
      </c>
      <c r="B91" s="295" t="s">
        <v>689</v>
      </c>
      <c r="C91" s="322">
        <v>35533</v>
      </c>
      <c r="D91" s="322">
        <v>32857</v>
      </c>
      <c r="E91" s="296">
        <f t="shared" si="2"/>
        <v>-2676</v>
      </c>
      <c r="F91" s="316">
        <f t="shared" si="3"/>
        <v>-0.07531027495567501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>
      <c r="A92" s="293"/>
      <c r="B92" s="135" t="s">
        <v>690</v>
      </c>
      <c r="C92" s="320">
        <f>SUM(C87:C91)</f>
        <v>35533</v>
      </c>
      <c r="D92" s="320">
        <f>SUM(D87:D91)</f>
        <v>32857</v>
      </c>
      <c r="E92" s="300">
        <f t="shared" si="2"/>
        <v>-2676</v>
      </c>
      <c r="F92" s="309">
        <f t="shared" si="3"/>
        <v>-0.07531027495567501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>
      <c r="A95" s="293" t="s">
        <v>691</v>
      </c>
      <c r="B95" s="291" t="s">
        <v>692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>
      <c r="A96" s="294">
        <v>1</v>
      </c>
      <c r="B96" s="295" t="s">
        <v>693</v>
      </c>
      <c r="C96" s="325">
        <v>211</v>
      </c>
      <c r="D96" s="325">
        <v>206.3</v>
      </c>
      <c r="E96" s="326">
        <f>+D96-C96</f>
        <v>-4.699999999999989</v>
      </c>
      <c r="F96" s="316">
        <f>IF(C96=0,0,+E96/C96)</f>
        <v>-0.022274881516587623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>
      <c r="A97" s="294">
        <v>2</v>
      </c>
      <c r="B97" s="295" t="s">
        <v>694</v>
      </c>
      <c r="C97" s="325">
        <v>18</v>
      </c>
      <c r="D97" s="325">
        <v>20.3</v>
      </c>
      <c r="E97" s="326">
        <f>+D97-C97</f>
        <v>2.3000000000000007</v>
      </c>
      <c r="F97" s="316">
        <f>IF(C97=0,0,+E97/C97)</f>
        <v>0.12777777777777782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>
      <c r="A98" s="294">
        <v>3</v>
      </c>
      <c r="B98" s="295" t="s">
        <v>695</v>
      </c>
      <c r="C98" s="325">
        <v>331</v>
      </c>
      <c r="D98" s="325">
        <v>321.3</v>
      </c>
      <c r="E98" s="326">
        <f>+D98-C98</f>
        <v>-9.699999999999989</v>
      </c>
      <c r="F98" s="316">
        <f>IF(C98=0,0,+E98/C98)</f>
        <v>-0.029305135951661596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>
      <c r="A99" s="293"/>
      <c r="B99" s="135" t="s">
        <v>696</v>
      </c>
      <c r="C99" s="327">
        <f>SUM(C96:C98)</f>
        <v>560</v>
      </c>
      <c r="D99" s="327">
        <f>SUM(D96:D98)</f>
        <v>547.9000000000001</v>
      </c>
      <c r="E99" s="327">
        <f>+D99-C99</f>
        <v>-12.099999999999909</v>
      </c>
      <c r="F99" s="309">
        <f>IF(C99=0,0,+E99/C99)</f>
        <v>-0.021607142857142696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ht="15.75" customHeight="1">
      <c r="B111" s="304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/>
  <headerFooter alignWithMargins="0">
    <oddHeader>&amp;LOFFICE OF HEALTH CARE ACCESS&amp;CTWELVE MONTHS ACTUAL FILING&amp;RMILFORD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zoomScaleSheetLayoutView="90" zoomScalePageLayoutView="0" workbookViewId="0" topLeftCell="A4">
      <selection activeCell="B29" sqref="B29:F29"/>
    </sheetView>
  </sheetViews>
  <sheetFormatPr defaultColWidth="9.140625" defaultRowHeight="12.75"/>
  <cols>
    <col min="1" max="1" width="6.00390625" style="308" customWidth="1"/>
    <col min="2" max="2" width="56.00390625" style="307" customWidth="1"/>
    <col min="3" max="3" width="15.57421875" style="307" customWidth="1"/>
    <col min="4" max="4" width="15.28125" style="307" customWidth="1"/>
    <col min="5" max="5" width="15.7109375" style="307" customWidth="1"/>
    <col min="6" max="6" width="15.8515625" style="307" customWidth="1"/>
    <col min="7" max="16384" width="9.140625" style="307" customWidth="1"/>
  </cols>
  <sheetData>
    <row r="1" spans="1:6" ht="15.75" customHeight="1">
      <c r="A1" s="698" t="s">
        <v>115</v>
      </c>
      <c r="B1" s="698"/>
      <c r="C1" s="698"/>
      <c r="D1" s="698"/>
      <c r="E1" s="698"/>
      <c r="F1" s="698"/>
    </row>
    <row r="2" spans="1:6" ht="15.75" customHeight="1">
      <c r="A2" s="698" t="s">
        <v>116</v>
      </c>
      <c r="B2" s="698"/>
      <c r="C2" s="698"/>
      <c r="D2" s="698"/>
      <c r="E2" s="698"/>
      <c r="F2" s="698"/>
    </row>
    <row r="3" spans="1:6" ht="15.75" customHeight="1">
      <c r="A3" s="698" t="s">
        <v>117</v>
      </c>
      <c r="B3" s="698"/>
      <c r="C3" s="698"/>
      <c r="D3" s="698"/>
      <c r="E3" s="698"/>
      <c r="F3" s="698"/>
    </row>
    <row r="4" spans="1:6" ht="15.75" customHeight="1">
      <c r="A4" s="698" t="s">
        <v>697</v>
      </c>
      <c r="B4" s="698"/>
      <c r="C4" s="698"/>
      <c r="D4" s="698"/>
      <c r="E4" s="698"/>
      <c r="F4" s="698"/>
    </row>
    <row r="5" spans="1:13" ht="15.75" customHeight="1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>
      <c r="A8" s="313"/>
      <c r="B8" s="314"/>
      <c r="C8" s="312" t="s">
        <v>125</v>
      </c>
      <c r="D8" s="312" t="s">
        <v>125</v>
      </c>
      <c r="E8" s="126" t="s">
        <v>121</v>
      </c>
      <c r="F8" s="126" t="s">
        <v>122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>
      <c r="A9" s="290" t="s">
        <v>123</v>
      </c>
      <c r="B9" s="291" t="s">
        <v>124</v>
      </c>
      <c r="C9" s="292" t="s">
        <v>119</v>
      </c>
      <c r="D9" s="292" t="s">
        <v>120</v>
      </c>
      <c r="E9" s="315" t="s">
        <v>126</v>
      </c>
      <c r="F9" s="315" t="s">
        <v>126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6" ht="15.75" customHeight="1">
      <c r="A11" s="293" t="s">
        <v>225</v>
      </c>
      <c r="B11" s="291" t="s">
        <v>669</v>
      </c>
      <c r="C11" s="296"/>
      <c r="D11" s="296"/>
      <c r="E11" s="296"/>
      <c r="F11" s="316"/>
    </row>
    <row r="12" spans="1:6" ht="15.75" customHeight="1">
      <c r="A12" s="294">
        <v>1</v>
      </c>
      <c r="B12" s="295" t="s">
        <v>698</v>
      </c>
      <c r="C12" s="296">
        <v>2242</v>
      </c>
      <c r="D12" s="296">
        <v>0</v>
      </c>
      <c r="E12" s="296">
        <f>+D12-C12</f>
        <v>-2242</v>
      </c>
      <c r="F12" s="316">
        <f>IF(C12=0,0,+E12/C12)</f>
        <v>-1</v>
      </c>
    </row>
    <row r="13" spans="1:6" ht="15.75" customHeight="1">
      <c r="A13" s="294">
        <v>2</v>
      </c>
      <c r="B13" s="295" t="s">
        <v>699</v>
      </c>
      <c r="C13" s="296">
        <v>0</v>
      </c>
      <c r="D13" s="296">
        <v>2222</v>
      </c>
      <c r="E13" s="296">
        <f>+D13-C13</f>
        <v>2222</v>
      </c>
      <c r="F13" s="316">
        <f>IF(C13=0,0,+E13/C13)</f>
        <v>0</v>
      </c>
    </row>
    <row r="14" spans="1:6" ht="15.75" customHeight="1">
      <c r="A14" s="294"/>
      <c r="B14" s="135" t="s">
        <v>700</v>
      </c>
      <c r="C14" s="300">
        <f>SUM(C11:C13)</f>
        <v>2242</v>
      </c>
      <c r="D14" s="300">
        <f>SUM(D11:D13)</f>
        <v>2222</v>
      </c>
      <c r="E14" s="300">
        <f>+D14-C14</f>
        <v>-20</v>
      </c>
      <c r="F14" s="309">
        <f>IF(C14=0,0,+E14/C14)</f>
        <v>-0.008920606601248885</v>
      </c>
    </row>
    <row r="15" spans="1:6" ht="15.75" customHeight="1">
      <c r="A15" s="293"/>
      <c r="B15" s="135"/>
      <c r="C15" s="300"/>
      <c r="D15" s="300"/>
      <c r="E15" s="300"/>
      <c r="F15" s="309"/>
    </row>
    <row r="16" spans="1:6" ht="15.75" customHeight="1">
      <c r="A16" s="293" t="s">
        <v>239</v>
      </c>
      <c r="B16" s="291" t="s">
        <v>673</v>
      </c>
      <c r="C16" s="296"/>
      <c r="D16" s="296"/>
      <c r="E16" s="296"/>
      <c r="F16" s="316"/>
    </row>
    <row r="17" spans="1:6" ht="15.75" customHeight="1">
      <c r="A17" s="294">
        <v>1</v>
      </c>
      <c r="B17" s="295" t="s">
        <v>699</v>
      </c>
      <c r="C17" s="296">
        <v>2917</v>
      </c>
      <c r="D17" s="296">
        <v>2498</v>
      </c>
      <c r="E17" s="296">
        <f>+D17-C17</f>
        <v>-419</v>
      </c>
      <c r="F17" s="316">
        <f>IF(C17=0,0,+E17/C17)</f>
        <v>-0.14364072677408296</v>
      </c>
    </row>
    <row r="18" spans="1:6" ht="15.75" customHeight="1">
      <c r="A18" s="294"/>
      <c r="B18" s="135" t="s">
        <v>701</v>
      </c>
      <c r="C18" s="300">
        <f>SUM(C16:C17)</f>
        <v>2917</v>
      </c>
      <c r="D18" s="300">
        <f>SUM(D16:D17)</f>
        <v>2498</v>
      </c>
      <c r="E18" s="300">
        <f>+D18-C18</f>
        <v>-419</v>
      </c>
      <c r="F18" s="309">
        <f>IF(C18=0,0,+E18/C18)</f>
        <v>-0.14364072677408296</v>
      </c>
    </row>
    <row r="19" spans="1:6" ht="15.75" customHeight="1">
      <c r="A19" s="293"/>
      <c r="B19" s="135"/>
      <c r="C19" s="300"/>
      <c r="D19" s="300"/>
      <c r="E19" s="300"/>
      <c r="F19" s="309"/>
    </row>
    <row r="20" spans="1:6" ht="15.75" customHeight="1">
      <c r="A20" s="293" t="s">
        <v>256</v>
      </c>
      <c r="B20" s="291" t="s">
        <v>702</v>
      </c>
      <c r="C20" s="296"/>
      <c r="D20" s="296"/>
      <c r="E20" s="296"/>
      <c r="F20" s="316"/>
    </row>
    <row r="21" spans="1:6" ht="15.75" customHeight="1">
      <c r="A21" s="294">
        <v>1</v>
      </c>
      <c r="B21" s="295" t="s">
        <v>703</v>
      </c>
      <c r="C21" s="296">
        <v>13304</v>
      </c>
      <c r="D21" s="296">
        <v>13278</v>
      </c>
      <c r="E21" s="296">
        <f>+D21-C21</f>
        <v>-26</v>
      </c>
      <c r="F21" s="316">
        <f>IF(C21=0,0,+E21/C21)</f>
        <v>-0.0019542994588093807</v>
      </c>
    </row>
    <row r="22" spans="1:6" ht="15.75" customHeight="1">
      <c r="A22" s="294">
        <v>2</v>
      </c>
      <c r="B22" s="295" t="s">
        <v>699</v>
      </c>
      <c r="C22" s="296">
        <v>22540</v>
      </c>
      <c r="D22" s="296">
        <v>23635</v>
      </c>
      <c r="E22" s="296">
        <f>+D22-C22</f>
        <v>1095</v>
      </c>
      <c r="F22" s="316">
        <f>IF(C22=0,0,+E22/C22)</f>
        <v>0.048580301685891746</v>
      </c>
    </row>
    <row r="23" spans="1:6" ht="15.75" customHeight="1">
      <c r="A23" s="294"/>
      <c r="B23" s="135" t="s">
        <v>704</v>
      </c>
      <c r="C23" s="300">
        <f>SUM(C20:C22)</f>
        <v>35844</v>
      </c>
      <c r="D23" s="300">
        <f>SUM(D20:D22)</f>
        <v>36913</v>
      </c>
      <c r="E23" s="300">
        <f>+D23-C23</f>
        <v>1069</v>
      </c>
      <c r="F23" s="309">
        <f>IF(C23=0,0,+E23/C23)</f>
        <v>0.0298236803928133</v>
      </c>
    </row>
    <row r="24" spans="1:6" ht="15.75" customHeight="1">
      <c r="A24" s="293"/>
      <c r="B24" s="135"/>
      <c r="C24" s="300"/>
      <c r="D24" s="300"/>
      <c r="E24" s="300"/>
      <c r="F24" s="309"/>
    </row>
    <row r="25" spans="2:6" ht="15.75" customHeight="1">
      <c r="B25" s="699" t="s">
        <v>705</v>
      </c>
      <c r="C25" s="700"/>
      <c r="D25" s="700"/>
      <c r="E25" s="700"/>
      <c r="F25" s="701"/>
    </row>
    <row r="26" spans="1:6" ht="15.75" customHeight="1">
      <c r="A26" s="293"/>
      <c r="B26" s="135"/>
      <c r="C26" s="300"/>
      <c r="D26" s="300"/>
      <c r="E26" s="300"/>
      <c r="F26" s="309"/>
    </row>
    <row r="27" spans="2:6" ht="15.75" customHeight="1">
      <c r="B27" s="699" t="s">
        <v>706</v>
      </c>
      <c r="C27" s="700"/>
      <c r="D27" s="700"/>
      <c r="E27" s="700"/>
      <c r="F27" s="701"/>
    </row>
    <row r="28" spans="1:6" ht="15.75" customHeight="1">
      <c r="A28" s="293"/>
      <c r="B28" s="135"/>
      <c r="C28" s="300"/>
      <c r="D28" s="300"/>
      <c r="E28" s="300"/>
      <c r="F28" s="309"/>
    </row>
    <row r="29" spans="2:6" ht="15.75" customHeight="1">
      <c r="B29" s="699" t="s">
        <v>707</v>
      </c>
      <c r="C29" s="700"/>
      <c r="D29" s="700"/>
      <c r="E29" s="700"/>
      <c r="F29" s="701"/>
    </row>
    <row r="30" spans="1:6" ht="15.75" customHeight="1">
      <c r="A30" s="293"/>
      <c r="B30" s="135"/>
      <c r="C30" s="300"/>
      <c r="D30" s="300"/>
      <c r="E30" s="300"/>
      <c r="F30" s="309"/>
    </row>
  </sheetData>
  <sheetProtection/>
  <mergeCells count="7">
    <mergeCell ref="B29:F29"/>
    <mergeCell ref="A1:F1"/>
    <mergeCell ref="A2:F2"/>
    <mergeCell ref="A3:F3"/>
    <mergeCell ref="A4:F4"/>
    <mergeCell ref="B25:F25"/>
    <mergeCell ref="B27:F27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FILING&amp;RMILFORD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1">
      <selection activeCell="B329" sqref="B329"/>
    </sheetView>
  </sheetViews>
  <sheetFormatPr defaultColWidth="9.140625" defaultRowHeight="11.25" customHeight="1"/>
  <cols>
    <col min="1" max="1" width="5.140625" style="330" bestFit="1" customWidth="1"/>
    <col min="2" max="2" width="62.140625" style="331" customWidth="1"/>
    <col min="3" max="3" width="14.421875" style="332" customWidth="1"/>
    <col min="4" max="4" width="13.57421875" style="330" customWidth="1"/>
    <col min="5" max="5" width="14.00390625" style="330" customWidth="1"/>
    <col min="6" max="6" width="15.57421875" style="330" customWidth="1"/>
    <col min="7" max="17" width="12.7109375" style="333" customWidth="1"/>
    <col min="18" max="21" width="9.140625" style="330" customWidth="1"/>
    <col min="22" max="22" width="9.140625" style="330" hidden="1" customWidth="1"/>
    <col min="23" max="16384" width="9.140625" style="330" customWidth="1"/>
  </cols>
  <sheetData>
    <row r="1" spans="1:6" ht="15.75" customHeight="1">
      <c r="A1" s="705" t="s">
        <v>115</v>
      </c>
      <c r="B1" s="705"/>
      <c r="C1" s="705"/>
      <c r="D1" s="705"/>
      <c r="E1" s="705"/>
      <c r="F1" s="705"/>
    </row>
    <row r="2" spans="1:6" ht="15.75" customHeight="1">
      <c r="A2" s="706" t="s">
        <v>708</v>
      </c>
      <c r="B2" s="707"/>
      <c r="C2" s="707"/>
      <c r="D2" s="707"/>
      <c r="E2" s="707"/>
      <c r="F2" s="708"/>
    </row>
    <row r="3" spans="1:6" ht="15.75" customHeight="1">
      <c r="A3" s="706" t="s">
        <v>709</v>
      </c>
      <c r="B3" s="707"/>
      <c r="C3" s="707"/>
      <c r="D3" s="707"/>
      <c r="E3" s="707"/>
      <c r="F3" s="708"/>
    </row>
    <row r="4" spans="1:6" ht="15.75" customHeight="1">
      <c r="A4" s="702" t="s">
        <v>710</v>
      </c>
      <c r="B4" s="703"/>
      <c r="C4" s="703"/>
      <c r="D4" s="703"/>
      <c r="E4" s="703"/>
      <c r="F4" s="704"/>
    </row>
    <row r="5" spans="1:6" ht="15.75" customHeight="1">
      <c r="A5" s="702" t="s">
        <v>711</v>
      </c>
      <c r="B5" s="703"/>
      <c r="C5" s="703"/>
      <c r="D5" s="703"/>
      <c r="E5" s="703"/>
      <c r="F5" s="704"/>
    </row>
    <row r="6" spans="1:17" ht="15.75" customHeight="1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17" s="338" customFormat="1" ht="14.25" customHeight="1">
      <c r="A7" s="340"/>
      <c r="B7" s="340"/>
      <c r="C7" s="341" t="s">
        <v>712</v>
      </c>
      <c r="D7" s="341" t="s">
        <v>712</v>
      </c>
      <c r="E7" s="341" t="s">
        <v>713</v>
      </c>
      <c r="F7" s="341" t="s">
        <v>122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17" s="338" customFormat="1" ht="13.5" customHeight="1">
      <c r="A8" s="342" t="s">
        <v>123</v>
      </c>
      <c r="B8" s="343" t="s">
        <v>124</v>
      </c>
      <c r="C8" s="344" t="s">
        <v>714</v>
      </c>
      <c r="D8" s="344" t="s">
        <v>715</v>
      </c>
      <c r="E8" s="344" t="s">
        <v>126</v>
      </c>
      <c r="F8" s="344" t="s">
        <v>126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17" s="338" customFormat="1" ht="12.75" customHeight="1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17" s="338" customFormat="1" ht="15.75" customHeight="1">
      <c r="A10" s="334" t="s">
        <v>127</v>
      </c>
      <c r="B10" s="349" t="s">
        <v>716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3:17" s="338" customFormat="1" ht="11.25" customHeight="1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17" s="338" customFormat="1" ht="15" customHeight="1">
      <c r="A12" s="355" t="s">
        <v>129</v>
      </c>
      <c r="B12" s="356" t="s">
        <v>717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17" ht="11.25" customHeight="1">
      <c r="A13" s="338"/>
      <c r="B13" s="357"/>
      <c r="C13" s="333"/>
      <c r="D13" s="333"/>
      <c r="E13" s="333"/>
      <c r="F13" s="333"/>
      <c r="Q13" s="330"/>
    </row>
    <row r="14" spans="1:17" ht="11.25" customHeight="1">
      <c r="A14" s="338"/>
      <c r="B14" s="359" t="s">
        <v>718</v>
      </c>
      <c r="C14" s="333"/>
      <c r="D14" s="333"/>
      <c r="E14" s="333"/>
      <c r="F14" s="333"/>
      <c r="Q14" s="330"/>
    </row>
    <row r="15" spans="1:17" ht="11.25" customHeight="1">
      <c r="A15" s="338">
        <v>1</v>
      </c>
      <c r="B15" s="360" t="s">
        <v>719</v>
      </c>
      <c r="C15" s="361">
        <v>85170567</v>
      </c>
      <c r="D15" s="361">
        <v>80427776</v>
      </c>
      <c r="E15" s="361">
        <f aca="true" t="shared" si="0" ref="E15:E24">D15-C15</f>
        <v>-4742791</v>
      </c>
      <c r="F15" s="362">
        <f aca="true" t="shared" si="1" ref="F15:F24">IF(C15=0,0,E15/C15)</f>
        <v>-0.055685798123194366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>
      <c r="A16" s="364">
        <v>2</v>
      </c>
      <c r="B16" s="360" t="s">
        <v>720</v>
      </c>
      <c r="C16" s="361">
        <v>26912329</v>
      </c>
      <c r="D16" s="361">
        <v>25602331</v>
      </c>
      <c r="E16" s="361">
        <f t="shared" si="0"/>
        <v>-1309998</v>
      </c>
      <c r="F16" s="362">
        <f t="shared" si="1"/>
        <v>-0.04867650064771429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>
      <c r="A17" s="364">
        <v>3</v>
      </c>
      <c r="B17" s="365" t="s">
        <v>721</v>
      </c>
      <c r="C17" s="366">
        <f>IF(C15=0,0,C16/C15)</f>
        <v>0.3159815643824468</v>
      </c>
      <c r="D17" s="366">
        <f>IF(LN_IA1=0,0,LN_IA2/LN_IA1)</f>
        <v>0.31832697947534944</v>
      </c>
      <c r="E17" s="367">
        <f t="shared" si="0"/>
        <v>0.0023454150929026474</v>
      </c>
      <c r="F17" s="362">
        <f t="shared" si="1"/>
        <v>0.00742263270164675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>
      <c r="A18" s="364">
        <v>4</v>
      </c>
      <c r="B18" s="360" t="s">
        <v>252</v>
      </c>
      <c r="C18" s="369">
        <v>2632</v>
      </c>
      <c r="D18" s="369">
        <v>2423</v>
      </c>
      <c r="E18" s="369">
        <f t="shared" si="0"/>
        <v>-209</v>
      </c>
      <c r="F18" s="362">
        <f t="shared" si="1"/>
        <v>-0.07940729483282674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>
      <c r="A19" s="364">
        <v>5</v>
      </c>
      <c r="B19" s="365" t="s">
        <v>722</v>
      </c>
      <c r="C19" s="372">
        <v>1.453</v>
      </c>
      <c r="D19" s="372">
        <v>1.5705</v>
      </c>
      <c r="E19" s="373">
        <f t="shared" si="0"/>
        <v>0.11749999999999994</v>
      </c>
      <c r="F19" s="362">
        <f t="shared" si="1"/>
        <v>0.08086717136958013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>
      <c r="A20" s="338">
        <v>6</v>
      </c>
      <c r="B20" s="365" t="s">
        <v>723</v>
      </c>
      <c r="C20" s="376">
        <f>C18*C19</f>
        <v>3824.2960000000003</v>
      </c>
      <c r="D20" s="376">
        <f>LN_IA4*LN_IA5</f>
        <v>3805.3215</v>
      </c>
      <c r="E20" s="376">
        <f t="shared" si="0"/>
        <v>-18.974500000000262</v>
      </c>
      <c r="F20" s="362">
        <f t="shared" si="1"/>
        <v>-0.004961566782487616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>
      <c r="A21" s="364">
        <v>7</v>
      </c>
      <c r="B21" s="360" t="s">
        <v>724</v>
      </c>
      <c r="C21" s="378">
        <f>IF(C20=0,0,C16/C20)</f>
        <v>7037.198218966314</v>
      </c>
      <c r="D21" s="378">
        <f>IF(LN_IA6=0,0,LN_IA2/LN_IA6)</f>
        <v>6728.033623440227</v>
      </c>
      <c r="E21" s="378">
        <f t="shared" si="0"/>
        <v>-309.1645955260874</v>
      </c>
      <c r="F21" s="362">
        <f t="shared" si="1"/>
        <v>-0.043932909931802405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>
      <c r="A22" s="364">
        <v>8</v>
      </c>
      <c r="B22" s="360" t="s">
        <v>254</v>
      </c>
      <c r="C22" s="369">
        <v>13656</v>
      </c>
      <c r="D22" s="369">
        <v>11854</v>
      </c>
      <c r="E22" s="369">
        <f t="shared" si="0"/>
        <v>-1802</v>
      </c>
      <c r="F22" s="362">
        <f t="shared" si="1"/>
        <v>-0.13195664909197422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>
      <c r="A23" s="364">
        <v>9</v>
      </c>
      <c r="B23" s="360" t="s">
        <v>725</v>
      </c>
      <c r="C23" s="378">
        <f>IF(C22=0,0,C16/C22)</f>
        <v>1970.7329379027533</v>
      </c>
      <c r="D23" s="378">
        <f>IF(LN_IA8=0,0,LN_IA2/LN_IA8)</f>
        <v>2159.8052134300656</v>
      </c>
      <c r="E23" s="378">
        <f t="shared" si="0"/>
        <v>189.07227552731229</v>
      </c>
      <c r="F23" s="362">
        <f t="shared" si="1"/>
        <v>0.09594007990170515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>
      <c r="A24" s="364">
        <v>10</v>
      </c>
      <c r="B24" s="360" t="s">
        <v>726</v>
      </c>
      <c r="C24" s="379">
        <f>IF(C18=0,0,C22/C18)</f>
        <v>5.188449848024316</v>
      </c>
      <c r="D24" s="379">
        <f>IF(LN_IA4=0,0,LN_IA8/LN_IA4)</f>
        <v>4.892282294676021</v>
      </c>
      <c r="E24" s="379">
        <f t="shared" si="0"/>
        <v>-0.2961675533482948</v>
      </c>
      <c r="F24" s="362">
        <f t="shared" si="1"/>
        <v>-0.05708208848950732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>
      <c r="A26" s="364"/>
      <c r="B26" s="358" t="s">
        <v>727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>
      <c r="A27" s="364">
        <v>11</v>
      </c>
      <c r="B27" s="360" t="s">
        <v>728</v>
      </c>
      <c r="C27" s="361">
        <v>26676091</v>
      </c>
      <c r="D27" s="361">
        <v>25008398</v>
      </c>
      <c r="E27" s="361">
        <f aca="true" t="shared" si="2" ref="E27:E32">D27-C27</f>
        <v>-1667693</v>
      </c>
      <c r="F27" s="362">
        <f aca="true" t="shared" si="3" ref="F27:F32">IF(C27=0,0,E27/C27)</f>
        <v>-0.06251639342510865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>
      <c r="A28" s="364">
        <v>12</v>
      </c>
      <c r="B28" s="360" t="s">
        <v>729</v>
      </c>
      <c r="C28" s="361">
        <v>7101638</v>
      </c>
      <c r="D28" s="361">
        <v>6242107</v>
      </c>
      <c r="E28" s="361">
        <f t="shared" si="2"/>
        <v>-859531</v>
      </c>
      <c r="F28" s="362">
        <f t="shared" si="3"/>
        <v>-0.12103278145126518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>
      <c r="A29" s="364">
        <v>13</v>
      </c>
      <c r="B29" s="360" t="s">
        <v>730</v>
      </c>
      <c r="C29" s="366">
        <f>IF(C27=0,0,C28/C27)</f>
        <v>0.26621734046416323</v>
      </c>
      <c r="D29" s="366">
        <f>IF(LN_IA11=0,0,LN_IA12/LN_IA11)</f>
        <v>0.2496004342221361</v>
      </c>
      <c r="E29" s="367">
        <f t="shared" si="2"/>
        <v>-0.016616906242027135</v>
      </c>
      <c r="F29" s="362">
        <f t="shared" si="3"/>
        <v>-0.06241857203236547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>
      <c r="A30" s="364">
        <v>14</v>
      </c>
      <c r="B30" s="360" t="s">
        <v>731</v>
      </c>
      <c r="C30" s="366">
        <f>IF(C15=0,0,C27/C15)</f>
        <v>0.31320785970580656</v>
      </c>
      <c r="D30" s="366">
        <f>IF(LN_IA1=0,0,LN_IA11/LN_IA1)</f>
        <v>0.3109423043103915</v>
      </c>
      <c r="E30" s="367">
        <f t="shared" si="2"/>
        <v>-0.0022655553954150642</v>
      </c>
      <c r="F30" s="362">
        <f t="shared" si="3"/>
        <v>-0.007233392538562349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>
      <c r="A31" s="364">
        <v>15</v>
      </c>
      <c r="B31" s="360" t="s">
        <v>732</v>
      </c>
      <c r="C31" s="376">
        <f>C30*C18</f>
        <v>824.3630867456828</v>
      </c>
      <c r="D31" s="376">
        <f>LN_IA14*LN_IA4</f>
        <v>753.4132033440786</v>
      </c>
      <c r="E31" s="376">
        <f t="shared" si="2"/>
        <v>-70.94988340160421</v>
      </c>
      <c r="F31" s="362">
        <f t="shared" si="3"/>
        <v>-0.08606630323743783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>
      <c r="A32" s="364">
        <v>16</v>
      </c>
      <c r="B32" s="365" t="s">
        <v>733</v>
      </c>
      <c r="C32" s="378">
        <f>IF(C31=0,0,C28/C31)</f>
        <v>8614.696744895451</v>
      </c>
      <c r="D32" s="378">
        <f>IF(LN_IA15=0,0,LN_IA12/LN_IA15)</f>
        <v>8285.104338885965</v>
      </c>
      <c r="E32" s="378">
        <f t="shared" si="2"/>
        <v>-329.5924060094858</v>
      </c>
      <c r="F32" s="362">
        <f t="shared" si="3"/>
        <v>-0.03825931611635457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>
      <c r="A34" s="364"/>
      <c r="B34" s="358" t="s">
        <v>734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>
      <c r="A35" s="364">
        <v>17</v>
      </c>
      <c r="B35" s="360" t="s">
        <v>735</v>
      </c>
      <c r="C35" s="361">
        <f>C15+C27</f>
        <v>111846658</v>
      </c>
      <c r="D35" s="361">
        <f>LN_IA1+LN_IA11</f>
        <v>105436174</v>
      </c>
      <c r="E35" s="361">
        <f>D35-C35</f>
        <v>-6410484</v>
      </c>
      <c r="F35" s="362">
        <f>IF(C35=0,0,E35/C35)</f>
        <v>-0.05731493559691341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>
      <c r="A36" s="364">
        <v>18</v>
      </c>
      <c r="B36" s="360" t="s">
        <v>736</v>
      </c>
      <c r="C36" s="361">
        <f>C16+C28</f>
        <v>34013967</v>
      </c>
      <c r="D36" s="361">
        <f>LN_IA2+LN_IA12</f>
        <v>31844438</v>
      </c>
      <c r="E36" s="361">
        <f>D36-C36</f>
        <v>-2169529</v>
      </c>
      <c r="F36" s="362">
        <f>IF(C36=0,0,E36/C36)</f>
        <v>-0.06378347459442175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>
      <c r="A37" s="385">
        <v>19</v>
      </c>
      <c r="B37" s="360" t="s">
        <v>737</v>
      </c>
      <c r="C37" s="361">
        <f>C35-C36</f>
        <v>77832691</v>
      </c>
      <c r="D37" s="361">
        <f>LN_IA17-LN_IA18</f>
        <v>73591736</v>
      </c>
      <c r="E37" s="361">
        <f>D37-C37</f>
        <v>-4240955</v>
      </c>
      <c r="F37" s="362">
        <f>IF(C37=0,0,E37/C37)</f>
        <v>-0.05448809421223789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>
      <c r="A39" s="355" t="s">
        <v>141</v>
      </c>
      <c r="B39" s="356" t="s">
        <v>738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>
      <c r="A41" s="364"/>
      <c r="B41" s="359" t="s">
        <v>739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>
      <c r="A42" s="338">
        <v>1</v>
      </c>
      <c r="B42" s="360" t="s">
        <v>719</v>
      </c>
      <c r="C42" s="361">
        <v>38542269</v>
      </c>
      <c r="D42" s="361">
        <v>40385831</v>
      </c>
      <c r="E42" s="361">
        <f aca="true" t="shared" si="4" ref="E42:E53">D42-C42</f>
        <v>1843562</v>
      </c>
      <c r="F42" s="362">
        <f aca="true" t="shared" si="5" ref="F42:F53">IF(C42=0,0,E42/C42)</f>
        <v>0.04783221247301242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>
      <c r="A43" s="364">
        <v>2</v>
      </c>
      <c r="B43" s="360" t="s">
        <v>720</v>
      </c>
      <c r="C43" s="361">
        <v>15449660</v>
      </c>
      <c r="D43" s="361">
        <v>15819603</v>
      </c>
      <c r="E43" s="361">
        <f t="shared" si="4"/>
        <v>369943</v>
      </c>
      <c r="F43" s="362">
        <f t="shared" si="5"/>
        <v>0.023945057690589956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>
      <c r="A44" s="364">
        <v>3</v>
      </c>
      <c r="B44" s="365" t="s">
        <v>721</v>
      </c>
      <c r="C44" s="366">
        <f>IF(C42=0,0,C43/C42)</f>
        <v>0.4008497787195663</v>
      </c>
      <c r="D44" s="366">
        <f>IF(LN_IB1=0,0,LN_IB2/LN_IB1)</f>
        <v>0.391711711961554</v>
      </c>
      <c r="E44" s="367">
        <f t="shared" si="4"/>
        <v>-0.009138066758012264</v>
      </c>
      <c r="F44" s="362">
        <f t="shared" si="5"/>
        <v>-0.022796736441272274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>
      <c r="A45" s="364">
        <v>4</v>
      </c>
      <c r="B45" s="360" t="s">
        <v>252</v>
      </c>
      <c r="C45" s="369">
        <v>1879</v>
      </c>
      <c r="D45" s="369">
        <v>1930</v>
      </c>
      <c r="E45" s="369">
        <f t="shared" si="4"/>
        <v>51</v>
      </c>
      <c r="F45" s="362">
        <f t="shared" si="5"/>
        <v>0.027142096860031932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>
      <c r="A46" s="364">
        <v>5</v>
      </c>
      <c r="B46" s="365" t="s">
        <v>722</v>
      </c>
      <c r="C46" s="372">
        <v>1.0575</v>
      </c>
      <c r="D46" s="372">
        <v>1.06468</v>
      </c>
      <c r="E46" s="373">
        <f t="shared" si="4"/>
        <v>0.007179999999999964</v>
      </c>
      <c r="F46" s="362">
        <f t="shared" si="5"/>
        <v>0.0067895981087470105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>
      <c r="A47" s="338">
        <v>6</v>
      </c>
      <c r="B47" s="365" t="s">
        <v>723</v>
      </c>
      <c r="C47" s="376">
        <f>C45*C46</f>
        <v>1987.0425000000002</v>
      </c>
      <c r="D47" s="376">
        <f>LN_IB4*LN_IB5</f>
        <v>2054.8324000000002</v>
      </c>
      <c r="E47" s="376">
        <f t="shared" si="4"/>
        <v>67.78989999999999</v>
      </c>
      <c r="F47" s="362">
        <f t="shared" si="5"/>
        <v>0.03411597889828727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>
      <c r="A48" s="364">
        <v>7</v>
      </c>
      <c r="B48" s="360" t="s">
        <v>724</v>
      </c>
      <c r="C48" s="378">
        <f>IF(C47=0,0,C43/C47)</f>
        <v>7775.203600325609</v>
      </c>
      <c r="D48" s="378">
        <f>IF(LN_IB6=0,0,LN_IB2/LN_IB6)</f>
        <v>7698.731536450368</v>
      </c>
      <c r="E48" s="378">
        <f t="shared" si="4"/>
        <v>-76.47206387524056</v>
      </c>
      <c r="F48" s="362">
        <f t="shared" si="5"/>
        <v>-0.009835377670629497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>
      <c r="A49" s="364">
        <v>8</v>
      </c>
      <c r="B49" s="365" t="s">
        <v>740</v>
      </c>
      <c r="C49" s="378">
        <f>C21-C48</f>
        <v>-738.0053813592949</v>
      </c>
      <c r="D49" s="378">
        <f>LN_IA7-LN_IB7</f>
        <v>-970.6979130101417</v>
      </c>
      <c r="E49" s="378">
        <f t="shared" si="4"/>
        <v>-232.69253165084683</v>
      </c>
      <c r="F49" s="362">
        <f t="shared" si="5"/>
        <v>0.3152992342986201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>
      <c r="A50" s="364">
        <v>9</v>
      </c>
      <c r="B50" s="360" t="s">
        <v>741</v>
      </c>
      <c r="C50" s="391">
        <f>C49*C47</f>
        <v>-1466448.057989627</v>
      </c>
      <c r="D50" s="391">
        <f>LN_IB8*LN_IB6</f>
        <v>-1994621.522265621</v>
      </c>
      <c r="E50" s="391">
        <f t="shared" si="4"/>
        <v>-528173.4642759941</v>
      </c>
      <c r="F50" s="362">
        <f t="shared" si="5"/>
        <v>0.3601719552208853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>
      <c r="A51" s="364">
        <v>10</v>
      </c>
      <c r="B51" s="360" t="s">
        <v>254</v>
      </c>
      <c r="C51" s="369">
        <v>6154</v>
      </c>
      <c r="D51" s="369">
        <v>6915</v>
      </c>
      <c r="E51" s="369">
        <f t="shared" si="4"/>
        <v>761</v>
      </c>
      <c r="F51" s="362">
        <f t="shared" si="5"/>
        <v>0.12365940851478713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>
      <c r="A52" s="364">
        <v>11</v>
      </c>
      <c r="B52" s="360" t="s">
        <v>725</v>
      </c>
      <c r="C52" s="378">
        <f>IF(C51=0,0,C43/C51)</f>
        <v>2510.506987325317</v>
      </c>
      <c r="D52" s="378">
        <f>IF(LN_IB10=0,0,LN_IB2/LN_IB10)</f>
        <v>2287.722776572668</v>
      </c>
      <c r="E52" s="378">
        <f t="shared" si="4"/>
        <v>-222.78421075264896</v>
      </c>
      <c r="F52" s="362">
        <f t="shared" si="5"/>
        <v>-0.08874072523096312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>
      <c r="A53" s="364">
        <v>12</v>
      </c>
      <c r="B53" s="360" t="s">
        <v>726</v>
      </c>
      <c r="C53" s="379">
        <f>IF(C45=0,0,C51/C45)</f>
        <v>3.2751463544438533</v>
      </c>
      <c r="D53" s="379">
        <f>IF(LN_IB4=0,0,LN_IB10/LN_IB4)</f>
        <v>3.582901554404145</v>
      </c>
      <c r="E53" s="379">
        <f t="shared" si="4"/>
        <v>0.30775519996029166</v>
      </c>
      <c r="F53" s="362">
        <f t="shared" si="5"/>
        <v>0.09396685419652064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>
      <c r="A55" s="338"/>
      <c r="B55" s="359" t="s">
        <v>742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>
      <c r="A56" s="364">
        <v>13</v>
      </c>
      <c r="B56" s="360" t="s">
        <v>728</v>
      </c>
      <c r="C56" s="361">
        <v>54459439</v>
      </c>
      <c r="D56" s="361">
        <v>54681379</v>
      </c>
      <c r="E56" s="361">
        <f aca="true" t="shared" si="6" ref="E56:E63">D56-C56</f>
        <v>221940</v>
      </c>
      <c r="F56" s="362">
        <f aca="true" t="shared" si="7" ref="F56:F63">IF(C56=0,0,E56/C56)</f>
        <v>0.004075326593063142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>
      <c r="A57" s="364">
        <v>14</v>
      </c>
      <c r="B57" s="360" t="s">
        <v>729</v>
      </c>
      <c r="C57" s="361">
        <v>23795887</v>
      </c>
      <c r="D57" s="361">
        <v>22280688</v>
      </c>
      <c r="E57" s="361">
        <f t="shared" si="6"/>
        <v>-1515199</v>
      </c>
      <c r="F57" s="362">
        <f t="shared" si="7"/>
        <v>-0.0636748275027529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>
      <c r="A58" s="364">
        <v>15</v>
      </c>
      <c r="B58" s="360" t="s">
        <v>730</v>
      </c>
      <c r="C58" s="366">
        <f>IF(C56=0,0,C57/C56)</f>
        <v>0.4369469725900041</v>
      </c>
      <c r="D58" s="366">
        <f>IF(LN_IB13=0,0,LN_IB14/LN_IB13)</f>
        <v>0.4074639010109822</v>
      </c>
      <c r="E58" s="367">
        <f t="shared" si="6"/>
        <v>-0.029483071579021913</v>
      </c>
      <c r="F58" s="362">
        <f t="shared" si="7"/>
        <v>-0.06747517073813544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>
      <c r="A59" s="364">
        <v>16</v>
      </c>
      <c r="B59" s="360" t="s">
        <v>731</v>
      </c>
      <c r="C59" s="366">
        <f>IF(C42=0,0,C56/C42)</f>
        <v>1.4129795783429357</v>
      </c>
      <c r="D59" s="366">
        <f>IF(LN_IB1=0,0,LN_IB13/LN_IB1)</f>
        <v>1.3539743431303914</v>
      </c>
      <c r="E59" s="367">
        <f t="shared" si="6"/>
        <v>-0.059005235212544305</v>
      </c>
      <c r="F59" s="362">
        <f t="shared" si="7"/>
        <v>-0.041759439497166956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>
      <c r="A60" s="364">
        <v>17</v>
      </c>
      <c r="B60" s="360" t="s">
        <v>732</v>
      </c>
      <c r="C60" s="376">
        <f>C59*C45</f>
        <v>2654.988627706376</v>
      </c>
      <c r="D60" s="376">
        <f>LN_IB16*LN_IB4</f>
        <v>2613.1704822416555</v>
      </c>
      <c r="E60" s="376">
        <f t="shared" si="6"/>
        <v>-41.8181454647206</v>
      </c>
      <c r="F60" s="362">
        <f t="shared" si="7"/>
        <v>-0.015750781388787705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>
      <c r="A61" s="364">
        <v>18</v>
      </c>
      <c r="B61" s="365" t="s">
        <v>733</v>
      </c>
      <c r="C61" s="378">
        <f>IF(C60=0,0,C57/C60)</f>
        <v>8962.707693613393</v>
      </c>
      <c r="D61" s="378">
        <f>IF(LN_IB17=0,0,LN_IB14/LN_IB17)</f>
        <v>8526.30479006749</v>
      </c>
      <c r="E61" s="378">
        <f t="shared" si="6"/>
        <v>-436.4029035459025</v>
      </c>
      <c r="F61" s="362">
        <f t="shared" si="7"/>
        <v>-0.04869096688904321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>
      <c r="A62" s="385">
        <v>19</v>
      </c>
      <c r="B62" s="360" t="s">
        <v>743</v>
      </c>
      <c r="C62" s="378">
        <f>C32-C61</f>
        <v>-348.0109487179416</v>
      </c>
      <c r="D62" s="378">
        <f>LN_IA16-LN_IB18</f>
        <v>-241.20045118152484</v>
      </c>
      <c r="E62" s="378">
        <f t="shared" si="6"/>
        <v>106.81049753641673</v>
      </c>
      <c r="F62" s="362">
        <f t="shared" si="7"/>
        <v>-0.30691706088530357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>
      <c r="A63" s="385">
        <v>20</v>
      </c>
      <c r="B63" s="365" t="s">
        <v>744</v>
      </c>
      <c r="C63" s="361">
        <f>C62*C60</f>
        <v>-923965.1111634417</v>
      </c>
      <c r="D63" s="361">
        <f>LN_IB19*LN_IB17</f>
        <v>-630297.8993309302</v>
      </c>
      <c r="E63" s="361">
        <f t="shared" si="6"/>
        <v>293667.2118325115</v>
      </c>
      <c r="F63" s="362">
        <f t="shared" si="7"/>
        <v>-0.31783365874359754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>
      <c r="A65" s="338"/>
      <c r="B65" s="358" t="s">
        <v>745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>
      <c r="A66" s="385">
        <v>21</v>
      </c>
      <c r="B66" s="360" t="s">
        <v>735</v>
      </c>
      <c r="C66" s="361">
        <f>C42+C56</f>
        <v>93001708</v>
      </c>
      <c r="D66" s="361">
        <f>LN_IB1+LN_IB13</f>
        <v>95067210</v>
      </c>
      <c r="E66" s="361">
        <f>D66-C66</f>
        <v>2065502</v>
      </c>
      <c r="F66" s="362">
        <f>IF(C66=0,0,E66/C66)</f>
        <v>0.022209291037966743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>
      <c r="A67" s="385">
        <v>22</v>
      </c>
      <c r="B67" s="360" t="s">
        <v>736</v>
      </c>
      <c r="C67" s="361">
        <f>C43+C57</f>
        <v>39245547</v>
      </c>
      <c r="D67" s="361">
        <f>LN_IB2+LN_IB14</f>
        <v>38100291</v>
      </c>
      <c r="E67" s="361">
        <f>D67-C67</f>
        <v>-1145256</v>
      </c>
      <c r="F67" s="362">
        <f>IF(C67=0,0,E67/C67)</f>
        <v>-0.029181807556408885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>
      <c r="A68" s="385">
        <v>23</v>
      </c>
      <c r="B68" s="360" t="s">
        <v>737</v>
      </c>
      <c r="C68" s="361">
        <f>C66-C67</f>
        <v>53756161</v>
      </c>
      <c r="D68" s="361">
        <f>LN_IB21-LN_IB22</f>
        <v>56966919</v>
      </c>
      <c r="E68" s="361">
        <f>D68-C68</f>
        <v>3210758</v>
      </c>
      <c r="F68" s="362">
        <f>IF(C68=0,0,E68/C68)</f>
        <v>0.05972818631895979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>
      <c r="A70" s="385">
        <v>24</v>
      </c>
      <c r="B70" s="360" t="s">
        <v>746</v>
      </c>
      <c r="C70" s="353">
        <f>C50+C63</f>
        <v>-2390413.1691530687</v>
      </c>
      <c r="D70" s="353">
        <f>LN_IB9+LN_IB20</f>
        <v>-2624919.4215965513</v>
      </c>
      <c r="E70" s="361">
        <f>D70-C70</f>
        <v>-234506.25244348263</v>
      </c>
      <c r="F70" s="362">
        <f>IF(C70=0,0,E70/C70)</f>
        <v>0.09810281145939678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>
      <c r="A71" s="338"/>
      <c r="C71" s="330"/>
      <c r="Q71" s="330"/>
      <c r="U71" s="353"/>
    </row>
    <row r="72" spans="1:21" ht="11.25" customHeight="1">
      <c r="A72" s="338"/>
      <c r="B72" s="397" t="s">
        <v>747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>
      <c r="A73" s="338">
        <v>25</v>
      </c>
      <c r="B73" s="357" t="s">
        <v>748</v>
      </c>
      <c r="C73" s="400">
        <v>83765311</v>
      </c>
      <c r="D73" s="400">
        <v>84371463</v>
      </c>
      <c r="E73" s="400">
        <f>D73-C73</f>
        <v>606152</v>
      </c>
      <c r="F73" s="401">
        <f>IF(C73=0,0,E73/C73)</f>
        <v>0.007236312893293025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>
      <c r="A74" s="338">
        <v>26</v>
      </c>
      <c r="B74" s="357" t="s">
        <v>749</v>
      </c>
      <c r="C74" s="400">
        <v>36619649</v>
      </c>
      <c r="D74" s="400">
        <v>36447939</v>
      </c>
      <c r="E74" s="400">
        <f>D74-C74</f>
        <v>-171710</v>
      </c>
      <c r="F74" s="401">
        <f>IF(C74=0,0,E74/C74)</f>
        <v>-0.004689012721012154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>
      <c r="A75" s="338"/>
      <c r="B75" s="357" t="s">
        <v>750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>
      <c r="A76" s="364">
        <v>27</v>
      </c>
      <c r="B76" s="360" t="s">
        <v>751</v>
      </c>
      <c r="C76" s="353">
        <f>C73-C74</f>
        <v>47145662</v>
      </c>
      <c r="D76" s="353">
        <f>LN_IB32-LN_IB33</f>
        <v>47923524</v>
      </c>
      <c r="E76" s="400">
        <f>D76-C76</f>
        <v>777862</v>
      </c>
      <c r="F76" s="401">
        <f>IF(C76=0,0,E76/C76)</f>
        <v>0.016499121382578103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>
      <c r="A77" s="364">
        <v>28</v>
      </c>
      <c r="B77" s="360" t="s">
        <v>752</v>
      </c>
      <c r="C77" s="366">
        <f>IF(C73=0,0,C76/C73)</f>
        <v>0.5628303821375414</v>
      </c>
      <c r="D77" s="366">
        <f>IF(LN_IB1=0,0,LN_IB34/LN_IB32)</f>
        <v>0.5680063174914959</v>
      </c>
      <c r="E77" s="405">
        <f>D77-C77</f>
        <v>0.005175935353954442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customHeight="1" hidden="1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>
      <c r="A79" s="355" t="s">
        <v>151</v>
      </c>
      <c r="B79" s="356" t="s">
        <v>753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customHeight="1" hidden="1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>
      <c r="A82" s="364"/>
      <c r="B82" s="359" t="s">
        <v>754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>
      <c r="A83" s="338">
        <v>1</v>
      </c>
      <c r="B83" s="360" t="s">
        <v>719</v>
      </c>
      <c r="C83" s="361">
        <v>2529704</v>
      </c>
      <c r="D83" s="361">
        <v>2605659</v>
      </c>
      <c r="E83" s="361">
        <f aca="true" t="shared" si="8" ref="E83:E95">D83-C83</f>
        <v>75955</v>
      </c>
      <c r="F83" s="362">
        <f aca="true" t="shared" si="9" ref="F83:F95">IF(C83=0,0,E83/C83)</f>
        <v>0.030025251966237947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>
      <c r="A84" s="364">
        <v>2</v>
      </c>
      <c r="B84" s="360" t="s">
        <v>720</v>
      </c>
      <c r="C84" s="361">
        <v>570962</v>
      </c>
      <c r="D84" s="361">
        <v>188048</v>
      </c>
      <c r="E84" s="361">
        <f t="shared" si="8"/>
        <v>-382914</v>
      </c>
      <c r="F84" s="362">
        <f t="shared" si="9"/>
        <v>-0.67064708334355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>
      <c r="A85" s="338">
        <v>3</v>
      </c>
      <c r="B85" s="365" t="s">
        <v>721</v>
      </c>
      <c r="C85" s="366">
        <f>IF(C83=0,0,C84/C83)</f>
        <v>0.22570308621087684</v>
      </c>
      <c r="D85" s="366">
        <f>IF(LN_IC1=0,0,LN_IC2/LN_IC1)</f>
        <v>0.07216907507851181</v>
      </c>
      <c r="E85" s="367">
        <f t="shared" si="8"/>
        <v>-0.15353401113236503</v>
      </c>
      <c r="F85" s="362">
        <f t="shared" si="9"/>
        <v>-0.6802477259390088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>
      <c r="A86" s="364">
        <v>4</v>
      </c>
      <c r="B86" s="360" t="s">
        <v>252</v>
      </c>
      <c r="C86" s="369">
        <v>116</v>
      </c>
      <c r="D86" s="369">
        <v>99</v>
      </c>
      <c r="E86" s="369">
        <f t="shared" si="8"/>
        <v>-17</v>
      </c>
      <c r="F86" s="362">
        <f t="shared" si="9"/>
        <v>-0.14655172413793102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>
      <c r="A87" s="338">
        <v>5</v>
      </c>
      <c r="B87" s="365" t="s">
        <v>722</v>
      </c>
      <c r="C87" s="372">
        <v>1.0417</v>
      </c>
      <c r="D87" s="372">
        <v>1.11723</v>
      </c>
      <c r="E87" s="373">
        <f t="shared" si="8"/>
        <v>0.07552999999999988</v>
      </c>
      <c r="F87" s="362">
        <f t="shared" si="9"/>
        <v>0.07250647979264652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>
      <c r="A88" s="364">
        <v>6</v>
      </c>
      <c r="B88" s="365" t="s">
        <v>723</v>
      </c>
      <c r="C88" s="376">
        <f>C86*C87</f>
        <v>120.83720000000001</v>
      </c>
      <c r="D88" s="376">
        <f>LN_IC4*LN_IC5</f>
        <v>110.60576999999999</v>
      </c>
      <c r="E88" s="376">
        <f t="shared" si="8"/>
        <v>-10.231430000000017</v>
      </c>
      <c r="F88" s="362">
        <f t="shared" si="9"/>
        <v>-0.08467119397006896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>
      <c r="A89" s="338">
        <v>7</v>
      </c>
      <c r="B89" s="360" t="s">
        <v>724</v>
      </c>
      <c r="C89" s="378">
        <f>IF(C88=0,0,C84/C88)</f>
        <v>4725.051556970866</v>
      </c>
      <c r="D89" s="378">
        <f>IF(LN_IC6=0,0,LN_IC2/LN_IC6)</f>
        <v>1700.1644670074627</v>
      </c>
      <c r="E89" s="378">
        <f t="shared" si="8"/>
        <v>-3024.887089963403</v>
      </c>
      <c r="F89" s="362">
        <f t="shared" si="9"/>
        <v>-0.640180758557182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>
      <c r="A90" s="364">
        <v>8</v>
      </c>
      <c r="B90" s="360" t="s">
        <v>755</v>
      </c>
      <c r="C90" s="378">
        <f>C48-C89</f>
        <v>3050.152043354743</v>
      </c>
      <c r="D90" s="378">
        <f>LN_IB7-LN_IC7</f>
        <v>5998.567069442905</v>
      </c>
      <c r="E90" s="378">
        <f t="shared" si="8"/>
        <v>2948.4150260881624</v>
      </c>
      <c r="F90" s="362">
        <f t="shared" si="9"/>
        <v>0.9666452636391581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>
      <c r="A91" s="338">
        <v>9</v>
      </c>
      <c r="B91" s="360" t="s">
        <v>756</v>
      </c>
      <c r="C91" s="378">
        <f>C21-C89</f>
        <v>2312.146661995448</v>
      </c>
      <c r="D91" s="378">
        <f>LN_IA7-LN_IC7</f>
        <v>5027.869156432764</v>
      </c>
      <c r="E91" s="378">
        <f t="shared" si="8"/>
        <v>2715.7224944373156</v>
      </c>
      <c r="F91" s="362">
        <f t="shared" si="9"/>
        <v>1.1745459486093197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>
      <c r="A92" s="364">
        <v>10</v>
      </c>
      <c r="B92" s="360" t="s">
        <v>741</v>
      </c>
      <c r="C92" s="353">
        <f>C91*C88</f>
        <v>279393.3286248764</v>
      </c>
      <c r="D92" s="353">
        <f>LN_IC9*LN_IC6</f>
        <v>556111.3395064962</v>
      </c>
      <c r="E92" s="353">
        <f t="shared" si="8"/>
        <v>276718.0108816198</v>
      </c>
      <c r="F92" s="362">
        <f t="shared" si="9"/>
        <v>0.9904245467977922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>
      <c r="A93" s="338">
        <v>11</v>
      </c>
      <c r="B93" s="360" t="s">
        <v>254</v>
      </c>
      <c r="C93" s="369">
        <v>386</v>
      </c>
      <c r="D93" s="369">
        <v>440</v>
      </c>
      <c r="E93" s="369">
        <f t="shared" si="8"/>
        <v>54</v>
      </c>
      <c r="F93" s="362">
        <f t="shared" si="9"/>
        <v>0.13989637305699482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>
      <c r="A94" s="364">
        <v>12</v>
      </c>
      <c r="B94" s="360" t="s">
        <v>725</v>
      </c>
      <c r="C94" s="411">
        <f>IF(C93=0,0,C84/C93)</f>
        <v>1479.176165803109</v>
      </c>
      <c r="D94" s="411">
        <f>IF(LN_IC11=0,0,LN_IC2/LN_IC11)</f>
        <v>427.3818181818182</v>
      </c>
      <c r="E94" s="411">
        <f t="shared" si="8"/>
        <v>-1051.7943476212909</v>
      </c>
      <c r="F94" s="362">
        <f t="shared" si="9"/>
        <v>-0.7110676685695689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>
      <c r="A95" s="338">
        <v>13</v>
      </c>
      <c r="B95" s="360" t="s">
        <v>726</v>
      </c>
      <c r="C95" s="379">
        <f>IF(C86=0,0,C93/C86)</f>
        <v>3.3275862068965516</v>
      </c>
      <c r="D95" s="379">
        <f>IF(LN_IC4=0,0,LN_IC11/LN_IC4)</f>
        <v>4.444444444444445</v>
      </c>
      <c r="E95" s="379">
        <f t="shared" si="8"/>
        <v>1.116858237547893</v>
      </c>
      <c r="F95" s="362">
        <f t="shared" si="9"/>
        <v>0.3356361542890041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>
      <c r="A97" s="364"/>
      <c r="B97" s="359" t="s">
        <v>757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>
      <c r="A98" s="364">
        <v>14</v>
      </c>
      <c r="B98" s="360" t="s">
        <v>728</v>
      </c>
      <c r="C98" s="361">
        <v>4252320</v>
      </c>
      <c r="D98" s="361">
        <v>5204794</v>
      </c>
      <c r="E98" s="361">
        <f aca="true" t="shared" si="10" ref="E98:E106">D98-C98</f>
        <v>952474</v>
      </c>
      <c r="F98" s="362">
        <f aca="true" t="shared" si="11" ref="F98:F106">IF(C98=0,0,E98/C98)</f>
        <v>0.22398925762877675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>
      <c r="A99" s="364">
        <v>15</v>
      </c>
      <c r="B99" s="360" t="s">
        <v>729</v>
      </c>
      <c r="C99" s="361">
        <v>1183976</v>
      </c>
      <c r="D99" s="361">
        <v>462477</v>
      </c>
      <c r="E99" s="361">
        <f t="shared" si="10"/>
        <v>-721499</v>
      </c>
      <c r="F99" s="362">
        <f t="shared" si="11"/>
        <v>-0.6093865078346182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>
      <c r="A100" s="364">
        <v>16</v>
      </c>
      <c r="B100" s="360" t="s">
        <v>730</v>
      </c>
      <c r="C100" s="366">
        <f>IF(C98=0,0,C99/C98)</f>
        <v>0.2784305978853896</v>
      </c>
      <c r="D100" s="366">
        <f>IF(LN_IC14=0,0,LN_IC15/LN_IC14)</f>
        <v>0.08885596624957683</v>
      </c>
      <c r="E100" s="367">
        <f t="shared" si="10"/>
        <v>-0.18957463163581278</v>
      </c>
      <c r="F100" s="362">
        <f t="shared" si="11"/>
        <v>-0.6808685290897785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>
      <c r="A101" s="364">
        <v>17</v>
      </c>
      <c r="B101" s="360" t="s">
        <v>731</v>
      </c>
      <c r="C101" s="366">
        <f>IF(C83=0,0,C98/C83)</f>
        <v>1.6809555584368765</v>
      </c>
      <c r="D101" s="366">
        <f>IF(LN_IC1=0,0,LN_IC14/LN_IC1)</f>
        <v>1.9974962188068355</v>
      </c>
      <c r="E101" s="367">
        <f t="shared" si="10"/>
        <v>0.316540660369959</v>
      </c>
      <c r="F101" s="362">
        <f t="shared" si="11"/>
        <v>0.18830995190872904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>
      <c r="A102" s="364">
        <v>18</v>
      </c>
      <c r="B102" s="360" t="s">
        <v>732</v>
      </c>
      <c r="C102" s="376">
        <f>C101*C86</f>
        <v>194.99084477867768</v>
      </c>
      <c r="D102" s="376">
        <f>LN_IC17*LN_IC4</f>
        <v>197.7521256618767</v>
      </c>
      <c r="E102" s="376">
        <f t="shared" si="10"/>
        <v>2.7612808831990208</v>
      </c>
      <c r="F102" s="362">
        <f t="shared" si="11"/>
        <v>0.014161079646242795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>
      <c r="A103" s="364">
        <v>19</v>
      </c>
      <c r="B103" s="365" t="s">
        <v>733</v>
      </c>
      <c r="C103" s="378">
        <f>IF(C102=0,0,C99/C102)</f>
        <v>6071.95687235398</v>
      </c>
      <c r="D103" s="378">
        <f>IF(LN_IC18=0,0,LN_IC15/LN_IC18)</f>
        <v>2338.670183453597</v>
      </c>
      <c r="E103" s="378">
        <f t="shared" si="10"/>
        <v>-3733.2866889003826</v>
      </c>
      <c r="F103" s="362">
        <f t="shared" si="11"/>
        <v>-0.6148407782503007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>
      <c r="A104" s="364">
        <v>20</v>
      </c>
      <c r="B104" s="365" t="s">
        <v>758</v>
      </c>
      <c r="C104" s="378">
        <f>C61-C103</f>
        <v>2890.750821259413</v>
      </c>
      <c r="D104" s="378">
        <f>LN_IB18-LN_IC19</f>
        <v>6187.634606613893</v>
      </c>
      <c r="E104" s="378">
        <f t="shared" si="10"/>
        <v>3296.88378535448</v>
      </c>
      <c r="F104" s="362">
        <f t="shared" si="11"/>
        <v>1.140493937114278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>
      <c r="A105" s="364">
        <v>21</v>
      </c>
      <c r="B105" s="360" t="s">
        <v>759</v>
      </c>
      <c r="C105" s="378">
        <f>C32-C103</f>
        <v>2542.7398725414714</v>
      </c>
      <c r="D105" s="378">
        <f>LN_IA16-LN_IC19</f>
        <v>5946.434155432368</v>
      </c>
      <c r="E105" s="378">
        <f t="shared" si="10"/>
        <v>3403.694282890897</v>
      </c>
      <c r="F105" s="362">
        <f t="shared" si="11"/>
        <v>1.3385931921887473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>
      <c r="A106" s="364">
        <v>22</v>
      </c>
      <c r="B106" s="365" t="s">
        <v>744</v>
      </c>
      <c r="C106" s="361">
        <f>C105*C102</f>
        <v>495810.99579928874</v>
      </c>
      <c r="D106" s="361">
        <f>LN_IC21*LN_IC18</f>
        <v>1175919.9943451374</v>
      </c>
      <c r="E106" s="361">
        <f t="shared" si="10"/>
        <v>680108.9985458486</v>
      </c>
      <c r="F106" s="362">
        <f t="shared" si="11"/>
        <v>1.3717101966434935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>
      <c r="A108" s="414"/>
      <c r="B108" s="359" t="s">
        <v>760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>
      <c r="A109" s="364">
        <v>23</v>
      </c>
      <c r="B109" s="360" t="s">
        <v>735</v>
      </c>
      <c r="C109" s="361">
        <f>C83+C98</f>
        <v>6782024</v>
      </c>
      <c r="D109" s="361">
        <f>LN_IC1+LN_IC14</f>
        <v>7810453</v>
      </c>
      <c r="E109" s="361">
        <f>D109-C109</f>
        <v>1028429</v>
      </c>
      <c r="F109" s="362">
        <f>IF(C109=0,0,E109/C109)</f>
        <v>0.15164042474635891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>
      <c r="A110" s="364">
        <v>24</v>
      </c>
      <c r="B110" s="360" t="s">
        <v>736</v>
      </c>
      <c r="C110" s="361">
        <f>C84+C99</f>
        <v>1754938</v>
      </c>
      <c r="D110" s="361">
        <f>LN_IC2+LN_IC15</f>
        <v>650525</v>
      </c>
      <c r="E110" s="361">
        <f>D110-C110</f>
        <v>-1104413</v>
      </c>
      <c r="F110" s="362">
        <f>IF(C110=0,0,E110/C110)</f>
        <v>-0.6293173889903803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>
      <c r="A111" s="364">
        <v>25</v>
      </c>
      <c r="B111" s="360" t="s">
        <v>737</v>
      </c>
      <c r="C111" s="361">
        <f>C109-C110</f>
        <v>5027086</v>
      </c>
      <c r="D111" s="361">
        <f>LN_IC23-LN_IC24</f>
        <v>7159928</v>
      </c>
      <c r="E111" s="361">
        <f>D111-C111</f>
        <v>2132842</v>
      </c>
      <c r="F111" s="362">
        <f>IF(C111=0,0,E111/C111)</f>
        <v>0.42427004431593174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>
      <c r="A113" s="364">
        <v>26</v>
      </c>
      <c r="B113" s="360" t="s">
        <v>746</v>
      </c>
      <c r="C113" s="361">
        <f>C92+C106</f>
        <v>775204.3244241651</v>
      </c>
      <c r="D113" s="361">
        <f>LN_IC10+LN_IC22</f>
        <v>1732031.3338516336</v>
      </c>
      <c r="E113" s="361">
        <f>D113-C113</f>
        <v>956827.0094274685</v>
      </c>
      <c r="F113" s="362">
        <f>IF(C113=0,0,E113/C113)</f>
        <v>1.2342900823446978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>
      <c r="A115" s="355" t="s">
        <v>436</v>
      </c>
      <c r="B115" s="356" t="s">
        <v>761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>
      <c r="A117" s="364"/>
      <c r="B117" s="358" t="s">
        <v>762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>
      <c r="A118" s="338">
        <v>1</v>
      </c>
      <c r="B118" s="360" t="s">
        <v>719</v>
      </c>
      <c r="C118" s="361">
        <v>8413551</v>
      </c>
      <c r="D118" s="361">
        <v>6734400</v>
      </c>
      <c r="E118" s="361">
        <f aca="true" t="shared" si="12" ref="E118:E130">D118-C118</f>
        <v>-1679151</v>
      </c>
      <c r="F118" s="362">
        <f aca="true" t="shared" si="13" ref="F118:F130">IF(C118=0,0,E118/C118)</f>
        <v>-0.1995769681553009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>
      <c r="A119" s="364">
        <v>2</v>
      </c>
      <c r="B119" s="360" t="s">
        <v>720</v>
      </c>
      <c r="C119" s="361">
        <v>1837748</v>
      </c>
      <c r="D119" s="361">
        <v>1481372</v>
      </c>
      <c r="E119" s="361">
        <f t="shared" si="12"/>
        <v>-356376</v>
      </c>
      <c r="F119" s="362">
        <f t="shared" si="13"/>
        <v>-0.19391994985166627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>
      <c r="A120" s="364">
        <v>3</v>
      </c>
      <c r="B120" s="365" t="s">
        <v>721</v>
      </c>
      <c r="C120" s="366">
        <f>IF(C118=0,0,C119/C118)</f>
        <v>0.21842715400429616</v>
      </c>
      <c r="D120" s="366">
        <f>IF(LN_ID1=0,0,LN_1D2/LN_ID1)</f>
        <v>0.21997089569969114</v>
      </c>
      <c r="E120" s="367">
        <f t="shared" si="12"/>
        <v>0.001543741695394979</v>
      </c>
      <c r="F120" s="362">
        <f t="shared" si="13"/>
        <v>0.007067535638744877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>
      <c r="A121" s="364">
        <v>4</v>
      </c>
      <c r="B121" s="360" t="s">
        <v>252</v>
      </c>
      <c r="C121" s="369">
        <v>414</v>
      </c>
      <c r="D121" s="369">
        <v>417</v>
      </c>
      <c r="E121" s="369">
        <f t="shared" si="12"/>
        <v>3</v>
      </c>
      <c r="F121" s="362">
        <f t="shared" si="13"/>
        <v>0.007246376811594203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>
      <c r="A122" s="364">
        <v>5</v>
      </c>
      <c r="B122" s="365" t="s">
        <v>722</v>
      </c>
      <c r="C122" s="372">
        <v>0.9179</v>
      </c>
      <c r="D122" s="372">
        <v>0.82345</v>
      </c>
      <c r="E122" s="373">
        <f t="shared" si="12"/>
        <v>-0.09445000000000003</v>
      </c>
      <c r="F122" s="362">
        <f t="shared" si="13"/>
        <v>-0.10289791916330758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>
      <c r="A123" s="364">
        <v>6</v>
      </c>
      <c r="B123" s="365" t="s">
        <v>723</v>
      </c>
      <c r="C123" s="376">
        <f>C121*C122</f>
        <v>380.0106</v>
      </c>
      <c r="D123" s="376">
        <f>LN_ID4*LN_ID5</f>
        <v>343.37865</v>
      </c>
      <c r="E123" s="376">
        <f t="shared" si="12"/>
        <v>-36.63195000000002</v>
      </c>
      <c r="F123" s="362">
        <f t="shared" si="13"/>
        <v>-0.09639717944709968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>
      <c r="A124" s="364">
        <v>7</v>
      </c>
      <c r="B124" s="360" t="s">
        <v>724</v>
      </c>
      <c r="C124" s="378">
        <f>IF(C123=0,0,C119/C123)</f>
        <v>4836.0440471923675</v>
      </c>
      <c r="D124" s="378">
        <f>IF(LN_ID6=0,0,LN_1D2/LN_ID6)</f>
        <v>4314.10630800721</v>
      </c>
      <c r="E124" s="378">
        <f t="shared" si="12"/>
        <v>-521.9377391851576</v>
      </c>
      <c r="F124" s="362">
        <f t="shared" si="13"/>
        <v>-0.10792658918981017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>
      <c r="A125" s="364">
        <v>8</v>
      </c>
      <c r="B125" s="360" t="s">
        <v>763</v>
      </c>
      <c r="C125" s="378">
        <f>C48-C124</f>
        <v>2939.1595531332414</v>
      </c>
      <c r="D125" s="378">
        <f>LN_IB7-LN_ID7</f>
        <v>3384.6252284431584</v>
      </c>
      <c r="E125" s="378">
        <f t="shared" si="12"/>
        <v>445.46567530991706</v>
      </c>
      <c r="F125" s="362">
        <f t="shared" si="13"/>
        <v>0.15156226372094564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>
      <c r="A126" s="364">
        <v>9</v>
      </c>
      <c r="B126" s="360" t="s">
        <v>764</v>
      </c>
      <c r="C126" s="378">
        <f>C21-C124</f>
        <v>2201.1541717739465</v>
      </c>
      <c r="D126" s="378">
        <f>LN_IA7-LN_ID7</f>
        <v>2413.9273154330167</v>
      </c>
      <c r="E126" s="378">
        <f t="shared" si="12"/>
        <v>212.77314365907023</v>
      </c>
      <c r="F126" s="362">
        <f t="shared" si="13"/>
        <v>0.09666435290518194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>
      <c r="A127" s="364">
        <v>10</v>
      </c>
      <c r="B127" s="360" t="s">
        <v>741</v>
      </c>
      <c r="C127" s="391">
        <f>C126*C123</f>
        <v>836461.9175083205</v>
      </c>
      <c r="D127" s="391">
        <f>LN_ID9*LN_ID6</f>
        <v>828891.1027715134</v>
      </c>
      <c r="E127" s="391">
        <f t="shared" si="12"/>
        <v>-7570.814736807137</v>
      </c>
      <c r="F127" s="362">
        <f t="shared" si="13"/>
        <v>-0.00905099751505642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>
      <c r="A128" s="364">
        <v>11</v>
      </c>
      <c r="B128" s="360" t="s">
        <v>254</v>
      </c>
      <c r="C128" s="369">
        <v>1787</v>
      </c>
      <c r="D128" s="369">
        <v>1485</v>
      </c>
      <c r="E128" s="369">
        <f t="shared" si="12"/>
        <v>-302</v>
      </c>
      <c r="F128" s="362">
        <f t="shared" si="13"/>
        <v>-0.1689983212087297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>
      <c r="A129" s="364">
        <v>12</v>
      </c>
      <c r="B129" s="360" t="s">
        <v>725</v>
      </c>
      <c r="C129" s="378">
        <f>IF(C128=0,0,C119/C128)</f>
        <v>1028.3984331281476</v>
      </c>
      <c r="D129" s="378">
        <f>IF(LN_ID11=0,0,LN_1D2/LN_ID11)</f>
        <v>997.5569023569024</v>
      </c>
      <c r="E129" s="378">
        <f t="shared" si="12"/>
        <v>-30.84153077124529</v>
      </c>
      <c r="F129" s="362">
        <f t="shared" si="13"/>
        <v>-0.029989865579075767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>
      <c r="A130" s="364">
        <v>13</v>
      </c>
      <c r="B130" s="360" t="s">
        <v>726</v>
      </c>
      <c r="C130" s="379">
        <f>IF(C121=0,0,C128/C121)</f>
        <v>4.316425120772947</v>
      </c>
      <c r="D130" s="379">
        <f>IF(LN_ID4=0,0,LN_ID11/LN_ID4)</f>
        <v>3.5611510791366907</v>
      </c>
      <c r="E130" s="379">
        <f t="shared" si="12"/>
        <v>-0.7552740416362562</v>
      </c>
      <c r="F130" s="362">
        <f t="shared" si="13"/>
        <v>-0.1749767505525518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>
      <c r="A132" s="364"/>
      <c r="B132" s="359" t="s">
        <v>765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>
      <c r="A133" s="364">
        <v>14</v>
      </c>
      <c r="B133" s="360" t="s">
        <v>728</v>
      </c>
      <c r="C133" s="361">
        <v>8704215</v>
      </c>
      <c r="D133" s="361">
        <v>8750141</v>
      </c>
      <c r="E133" s="361">
        <f aca="true" t="shared" si="14" ref="E133:E141">D133-C133</f>
        <v>45926</v>
      </c>
      <c r="F133" s="362">
        <f aca="true" t="shared" si="15" ref="F133:F141">IF(C133=0,0,E133/C133)</f>
        <v>0.005276294301094355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>
      <c r="A134" s="364">
        <v>15</v>
      </c>
      <c r="B134" s="360" t="s">
        <v>729</v>
      </c>
      <c r="C134" s="361">
        <v>1537726</v>
      </c>
      <c r="D134" s="361">
        <v>1808365</v>
      </c>
      <c r="E134" s="361">
        <f t="shared" si="14"/>
        <v>270639</v>
      </c>
      <c r="F134" s="362">
        <f t="shared" si="15"/>
        <v>0.17599949535873102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>
      <c r="A135" s="364">
        <v>16</v>
      </c>
      <c r="B135" s="360" t="s">
        <v>730</v>
      </c>
      <c r="C135" s="366">
        <f>IF(C133=0,0,C134/C133)</f>
        <v>0.17666452402657792</v>
      </c>
      <c r="D135" s="366">
        <f>IF(LN_ID14=0,0,LN_ID15/LN_ID14)</f>
        <v>0.2066669554239183</v>
      </c>
      <c r="E135" s="367">
        <f t="shared" si="14"/>
        <v>0.03000243139734038</v>
      </c>
      <c r="F135" s="362">
        <f t="shared" si="15"/>
        <v>0.16982714307048272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>
      <c r="A136" s="364">
        <v>17</v>
      </c>
      <c r="B136" s="360" t="s">
        <v>731</v>
      </c>
      <c r="C136" s="366">
        <f>IF(C118=0,0,C133/C118)</f>
        <v>1.0345471252269107</v>
      </c>
      <c r="D136" s="366">
        <f>IF(LN_ID1=0,0,LN_ID14/LN_ID1)</f>
        <v>1.2993200582086006</v>
      </c>
      <c r="E136" s="367">
        <f t="shared" si="14"/>
        <v>0.2647729329816899</v>
      </c>
      <c r="F136" s="362">
        <f t="shared" si="15"/>
        <v>0.25593124423753666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>
      <c r="A137" s="364">
        <v>18</v>
      </c>
      <c r="B137" s="360" t="s">
        <v>732</v>
      </c>
      <c r="C137" s="376">
        <f>C136*C121</f>
        <v>428.30250984394104</v>
      </c>
      <c r="D137" s="376">
        <f>LN_ID17*LN_ID4</f>
        <v>541.8164642729864</v>
      </c>
      <c r="E137" s="376">
        <f t="shared" si="14"/>
        <v>113.51395442904538</v>
      </c>
      <c r="F137" s="362">
        <f t="shared" si="15"/>
        <v>0.2650321952827361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>
      <c r="A138" s="364">
        <v>19</v>
      </c>
      <c r="B138" s="365" t="s">
        <v>733</v>
      </c>
      <c r="C138" s="378">
        <f>IF(C137=0,0,C134/C137)</f>
        <v>3590.280151662654</v>
      </c>
      <c r="D138" s="378">
        <f>IF(LN_ID18=0,0,LN_ID15/LN_ID18)</f>
        <v>3337.5969894648333</v>
      </c>
      <c r="E138" s="378">
        <f t="shared" si="14"/>
        <v>-252.68316219782082</v>
      </c>
      <c r="F138" s="362">
        <f t="shared" si="15"/>
        <v>-0.07037978974448654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>
      <c r="A139" s="364">
        <v>20</v>
      </c>
      <c r="B139" s="365" t="s">
        <v>766</v>
      </c>
      <c r="C139" s="378">
        <f>C61-C138</f>
        <v>5372.4275419507385</v>
      </c>
      <c r="D139" s="378">
        <f>LN_IB18-LN_ID19</f>
        <v>5188.707800602657</v>
      </c>
      <c r="E139" s="378">
        <f t="shared" si="14"/>
        <v>-183.7197413480817</v>
      </c>
      <c r="F139" s="362">
        <f t="shared" si="15"/>
        <v>-0.034196783467715736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>
      <c r="A140" s="364">
        <v>21</v>
      </c>
      <c r="B140" s="360" t="s">
        <v>767</v>
      </c>
      <c r="C140" s="378">
        <f>C32-C138</f>
        <v>5024.416593232797</v>
      </c>
      <c r="D140" s="378">
        <f>LN_IA16-LN_ID19</f>
        <v>4947.507349421132</v>
      </c>
      <c r="E140" s="378">
        <f t="shared" si="14"/>
        <v>-76.90924381166496</v>
      </c>
      <c r="F140" s="362">
        <f t="shared" si="15"/>
        <v>-0.015307099318804737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>
      <c r="A141" s="338">
        <v>22</v>
      </c>
      <c r="B141" s="365" t="s">
        <v>744</v>
      </c>
      <c r="C141" s="353">
        <f>C140*C137</f>
        <v>2151970.2373831505</v>
      </c>
      <c r="D141" s="353">
        <f>LN_ID21*LN_ID18</f>
        <v>2680640.9390279725</v>
      </c>
      <c r="E141" s="353">
        <f t="shared" si="14"/>
        <v>528670.701644822</v>
      </c>
      <c r="F141" s="362">
        <f t="shared" si="15"/>
        <v>0.2456682218280578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>
      <c r="A143" s="338"/>
      <c r="B143" s="418" t="s">
        <v>768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>
      <c r="A144" s="364">
        <v>23</v>
      </c>
      <c r="B144" s="360" t="s">
        <v>735</v>
      </c>
      <c r="C144" s="361">
        <f>C118+C133</f>
        <v>17117766</v>
      </c>
      <c r="D144" s="361">
        <f>LN_ID1+LN_ID14</f>
        <v>15484541</v>
      </c>
      <c r="E144" s="361">
        <f>D144-C144</f>
        <v>-1633225</v>
      </c>
      <c r="F144" s="362">
        <f>IF(C144=0,0,E144/C144)</f>
        <v>-0.09541110679980086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>
      <c r="A145" s="364">
        <v>24</v>
      </c>
      <c r="B145" s="360" t="s">
        <v>736</v>
      </c>
      <c r="C145" s="361">
        <f>C119+C134</f>
        <v>3375474</v>
      </c>
      <c r="D145" s="361">
        <f>LN_1D2+LN_ID15</f>
        <v>3289737</v>
      </c>
      <c r="E145" s="361">
        <f>D145-C145</f>
        <v>-85737</v>
      </c>
      <c r="F145" s="362">
        <f>IF(C145=0,0,E145/C145)</f>
        <v>-0.025399988268314317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>
      <c r="A146" s="364">
        <v>25</v>
      </c>
      <c r="B146" s="360" t="s">
        <v>737</v>
      </c>
      <c r="C146" s="361">
        <f>C144-C145</f>
        <v>13742292</v>
      </c>
      <c r="D146" s="361">
        <f>LN_ID23-LN_ID24</f>
        <v>12194804</v>
      </c>
      <c r="E146" s="361">
        <f>D146-C146</f>
        <v>-1547488</v>
      </c>
      <c r="F146" s="362">
        <f>IF(C146=0,0,E146/C146)</f>
        <v>-0.11260770765167848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>
      <c r="A148" s="364">
        <v>26</v>
      </c>
      <c r="B148" s="360" t="s">
        <v>746</v>
      </c>
      <c r="C148" s="361">
        <f>C127+C141</f>
        <v>2988432.154891471</v>
      </c>
      <c r="D148" s="361">
        <f>LN_ID10+LN_ID22</f>
        <v>3509532.0417994857</v>
      </c>
      <c r="E148" s="361">
        <f>D148-C148</f>
        <v>521099.88690801477</v>
      </c>
      <c r="F148" s="415">
        <f>IF(C148=0,0,E148/C148)</f>
        <v>0.17437233301585167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>
      <c r="A150" s="355" t="s">
        <v>457</v>
      </c>
      <c r="B150" s="356" t="s">
        <v>769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>
      <c r="A152" s="364"/>
      <c r="B152" s="359" t="s">
        <v>770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>
      <c r="A153" s="338">
        <v>1</v>
      </c>
      <c r="B153" s="360" t="s">
        <v>719</v>
      </c>
      <c r="C153" s="361">
        <v>69364</v>
      </c>
      <c r="D153" s="361">
        <v>755730</v>
      </c>
      <c r="E153" s="361">
        <f aca="true" t="shared" si="16" ref="E153:E165">D153-C153</f>
        <v>686366</v>
      </c>
      <c r="F153" s="362">
        <f aca="true" t="shared" si="17" ref="F153:F165">IF(C153=0,0,E153/C153)</f>
        <v>9.895132921976819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>
      <c r="A154" s="364">
        <v>2</v>
      </c>
      <c r="B154" s="360" t="s">
        <v>720</v>
      </c>
      <c r="C154" s="361">
        <v>26801</v>
      </c>
      <c r="D154" s="361">
        <v>59200</v>
      </c>
      <c r="E154" s="361">
        <f t="shared" si="16"/>
        <v>32399</v>
      </c>
      <c r="F154" s="362">
        <f t="shared" si="17"/>
        <v>1.20887280325361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>
      <c r="A155" s="364">
        <v>3</v>
      </c>
      <c r="B155" s="365" t="s">
        <v>721</v>
      </c>
      <c r="C155" s="366">
        <f>IF(C153=0,0,C154/C153)</f>
        <v>0.3863819848912981</v>
      </c>
      <c r="D155" s="366">
        <f>IF(LN_IE1=0,0,LN_IE2/LN_IE1)</f>
        <v>0.07833485504082145</v>
      </c>
      <c r="E155" s="367">
        <f t="shared" si="16"/>
        <v>-0.30804712985047666</v>
      </c>
      <c r="F155" s="362">
        <f t="shared" si="17"/>
        <v>-0.7972605915804807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>
      <c r="A156" s="364">
        <v>4</v>
      </c>
      <c r="B156" s="360" t="s">
        <v>252</v>
      </c>
      <c r="C156" s="419">
        <v>2</v>
      </c>
      <c r="D156" s="419">
        <v>27</v>
      </c>
      <c r="E156" s="419">
        <f t="shared" si="16"/>
        <v>25</v>
      </c>
      <c r="F156" s="362">
        <f t="shared" si="17"/>
        <v>12.5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>
      <c r="A157" s="364">
        <v>5</v>
      </c>
      <c r="B157" s="365" t="s">
        <v>722</v>
      </c>
      <c r="C157" s="372">
        <v>0.8272</v>
      </c>
      <c r="D157" s="372">
        <v>1.19089</v>
      </c>
      <c r="E157" s="373">
        <f t="shared" si="16"/>
        <v>0.36368999999999996</v>
      </c>
      <c r="F157" s="362">
        <f t="shared" si="17"/>
        <v>0.4396639264990328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>
      <c r="A158" s="364">
        <v>6</v>
      </c>
      <c r="B158" s="365" t="s">
        <v>723</v>
      </c>
      <c r="C158" s="376">
        <f>C156*C157</f>
        <v>1.6544</v>
      </c>
      <c r="D158" s="376">
        <f>LN_IE4*LN_IE5</f>
        <v>32.15403</v>
      </c>
      <c r="E158" s="376">
        <f t="shared" si="16"/>
        <v>30.49963</v>
      </c>
      <c r="F158" s="362">
        <f t="shared" si="17"/>
        <v>18.435463007736942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>
      <c r="A159" s="364">
        <v>7</v>
      </c>
      <c r="B159" s="360" t="s">
        <v>724</v>
      </c>
      <c r="C159" s="378">
        <f>IF(C158=0,0,C154/C158)</f>
        <v>16199.83075435203</v>
      </c>
      <c r="D159" s="378">
        <f>IF(LN_IE6=0,0,LN_IE2/LN_IE6)</f>
        <v>1841.137798279096</v>
      </c>
      <c r="E159" s="378">
        <f t="shared" si="16"/>
        <v>-14358.692956072933</v>
      </c>
      <c r="F159" s="362">
        <f t="shared" si="17"/>
        <v>-0.8863483312759622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>
      <c r="A160" s="364">
        <v>8</v>
      </c>
      <c r="B160" s="423" t="s">
        <v>771</v>
      </c>
      <c r="C160" s="378">
        <f>C48-C159</f>
        <v>-8424.62715402642</v>
      </c>
      <c r="D160" s="378">
        <f>LN_IB7-LN_IE7</f>
        <v>5857.593738171272</v>
      </c>
      <c r="E160" s="378">
        <f t="shared" si="16"/>
        <v>14282.220892197693</v>
      </c>
      <c r="F160" s="362">
        <f t="shared" si="17"/>
        <v>-1.6952941217548987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>
      <c r="A161" s="364">
        <v>9</v>
      </c>
      <c r="B161" s="423" t="s">
        <v>772</v>
      </c>
      <c r="C161" s="378">
        <f>C21-C159</f>
        <v>-9162.632535385716</v>
      </c>
      <c r="D161" s="378">
        <f>LN_IA7-LN_IE7</f>
        <v>4886.895825161131</v>
      </c>
      <c r="E161" s="378">
        <f t="shared" si="16"/>
        <v>14049.528360546847</v>
      </c>
      <c r="F161" s="362">
        <f t="shared" si="17"/>
        <v>-1.5333506289036625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>
      <c r="A162" s="364">
        <v>10</v>
      </c>
      <c r="B162" s="360" t="s">
        <v>741</v>
      </c>
      <c r="C162" s="391">
        <f>C161*C158</f>
        <v>-15158.659266542129</v>
      </c>
      <c r="D162" s="391">
        <f>LN_IE9*LN_IE6</f>
        <v>157133.39496910575</v>
      </c>
      <c r="E162" s="391">
        <f t="shared" si="16"/>
        <v>172292.05423564787</v>
      </c>
      <c r="F162" s="362">
        <f t="shared" si="17"/>
        <v>-11.365916418210364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>
      <c r="A163" s="364">
        <v>11</v>
      </c>
      <c r="B163" s="360" t="s">
        <v>254</v>
      </c>
      <c r="C163" s="369">
        <v>7</v>
      </c>
      <c r="D163" s="369">
        <v>105</v>
      </c>
      <c r="E163" s="419">
        <f t="shared" si="16"/>
        <v>98</v>
      </c>
      <c r="F163" s="362">
        <f t="shared" si="17"/>
        <v>14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>
      <c r="A164" s="364">
        <v>12</v>
      </c>
      <c r="B164" s="360" t="s">
        <v>725</v>
      </c>
      <c r="C164" s="378">
        <f>IF(C163=0,0,C154/C163)</f>
        <v>3828.714285714286</v>
      </c>
      <c r="D164" s="378">
        <f>IF(LN_IE11=0,0,LN_IE2/LN_IE11)</f>
        <v>563.8095238095239</v>
      </c>
      <c r="E164" s="378">
        <f t="shared" si="16"/>
        <v>-3264.904761904762</v>
      </c>
      <c r="F164" s="362">
        <f t="shared" si="17"/>
        <v>-0.852741813116426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>
      <c r="A165" s="364">
        <v>13</v>
      </c>
      <c r="B165" s="360" t="s">
        <v>726</v>
      </c>
      <c r="C165" s="379">
        <f>IF(C156=0,0,C163/C156)</f>
        <v>3.5</v>
      </c>
      <c r="D165" s="379">
        <f>IF(LN_IE4=0,0,LN_IE11/LN_IE4)</f>
        <v>3.888888888888889</v>
      </c>
      <c r="E165" s="379">
        <f t="shared" si="16"/>
        <v>0.38888888888888884</v>
      </c>
      <c r="F165" s="362">
        <f t="shared" si="17"/>
        <v>0.11111111111111109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>
      <c r="A167" s="364"/>
      <c r="B167" s="359" t="s">
        <v>773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>
      <c r="A168" s="364">
        <v>14</v>
      </c>
      <c r="B168" s="360" t="s">
        <v>728</v>
      </c>
      <c r="C168" s="424">
        <v>70251</v>
      </c>
      <c r="D168" s="424">
        <v>2115622</v>
      </c>
      <c r="E168" s="424">
        <f aca="true" t="shared" si="18" ref="E168:E176">D168-C168</f>
        <v>2045371</v>
      </c>
      <c r="F168" s="362">
        <f aca="true" t="shared" si="19" ref="F168:F176">IF(C168=0,0,E168/C168)</f>
        <v>29.115186972427438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>
      <c r="A169" s="364">
        <v>15</v>
      </c>
      <c r="B169" s="360" t="s">
        <v>729</v>
      </c>
      <c r="C169" s="424">
        <v>34365</v>
      </c>
      <c r="D169" s="424">
        <v>244073</v>
      </c>
      <c r="E169" s="424">
        <f t="shared" si="18"/>
        <v>209708</v>
      </c>
      <c r="F169" s="362">
        <f t="shared" si="19"/>
        <v>6.102371599010621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>
      <c r="A170" s="364">
        <v>16</v>
      </c>
      <c r="B170" s="360" t="s">
        <v>730</v>
      </c>
      <c r="C170" s="366">
        <f>IF(C168=0,0,C169/C168)</f>
        <v>0.48917453132339755</v>
      </c>
      <c r="D170" s="366">
        <f>IF(LN_IE14=0,0,LN_IE15/LN_IE14)</f>
        <v>0.11536701735943378</v>
      </c>
      <c r="E170" s="367">
        <f t="shared" si="18"/>
        <v>-0.3738075139639638</v>
      </c>
      <c r="F170" s="362">
        <f t="shared" si="19"/>
        <v>-0.764159803971553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>
      <c r="A171" s="364">
        <v>17</v>
      </c>
      <c r="B171" s="360" t="s">
        <v>731</v>
      </c>
      <c r="C171" s="366">
        <f>IF(C153=0,0,C168/C153)</f>
        <v>1.0127876131710973</v>
      </c>
      <c r="D171" s="366">
        <f>IF(LN_IE1=0,0,LN_IE14/LN_IE1)</f>
        <v>2.7994415995130537</v>
      </c>
      <c r="E171" s="367">
        <f t="shared" si="18"/>
        <v>1.7866539863419564</v>
      </c>
      <c r="F171" s="362">
        <f t="shared" si="19"/>
        <v>1.7640954165581055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>
      <c r="A172" s="364">
        <v>18</v>
      </c>
      <c r="B172" s="360" t="s">
        <v>732</v>
      </c>
      <c r="C172" s="376">
        <f>C171*C156</f>
        <v>2.0255752263421947</v>
      </c>
      <c r="D172" s="376">
        <f>LN_IE17*LN_IE4</f>
        <v>75.58492318685245</v>
      </c>
      <c r="E172" s="376">
        <f t="shared" si="18"/>
        <v>73.55934796051025</v>
      </c>
      <c r="F172" s="362">
        <f t="shared" si="19"/>
        <v>36.31528812353442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>
      <c r="A173" s="364">
        <v>19</v>
      </c>
      <c r="B173" s="365" t="s">
        <v>733</v>
      </c>
      <c r="C173" s="378">
        <f>IF(C172=0,0,C169/C172)</f>
        <v>16965.551095358074</v>
      </c>
      <c r="D173" s="378">
        <f>IF(LN_IE18=0,0,LN_IE15/LN_IE18)</f>
        <v>3229.122815890551</v>
      </c>
      <c r="E173" s="378">
        <f t="shared" si="18"/>
        <v>-13736.428279467524</v>
      </c>
      <c r="F173" s="362">
        <f t="shared" si="19"/>
        <v>-0.8096659048833335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>
      <c r="A174" s="364">
        <v>20</v>
      </c>
      <c r="B174" s="423" t="s">
        <v>774</v>
      </c>
      <c r="C174" s="378">
        <f>C61-C173</f>
        <v>-8002.843401744682</v>
      </c>
      <c r="D174" s="378">
        <f>LN_IB18-LN_IE19</f>
        <v>5297.18197417694</v>
      </c>
      <c r="E174" s="378">
        <f t="shared" si="18"/>
        <v>13300.025375921621</v>
      </c>
      <c r="F174" s="362">
        <f t="shared" si="19"/>
        <v>-1.6619124863822916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>
      <c r="A175" s="364">
        <v>21</v>
      </c>
      <c r="B175" s="423" t="s">
        <v>775</v>
      </c>
      <c r="C175" s="378">
        <f>C32-C173</f>
        <v>-8350.854350462623</v>
      </c>
      <c r="D175" s="378">
        <f>LN_IA16-LN_IE19</f>
        <v>5055.981522995415</v>
      </c>
      <c r="E175" s="378">
        <f t="shared" si="18"/>
        <v>13406.835873458038</v>
      </c>
      <c r="F175" s="362">
        <f t="shared" si="19"/>
        <v>-1.6054448216684944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>
      <c r="A176" s="364">
        <v>22</v>
      </c>
      <c r="B176" s="365" t="s">
        <v>744</v>
      </c>
      <c r="C176" s="353">
        <f>C175*C172</f>
        <v>-16915.28369108903</v>
      </c>
      <c r="D176" s="353">
        <f>LN_IE21*LN_IE18</f>
        <v>382155.9750497537</v>
      </c>
      <c r="E176" s="353">
        <f t="shared" si="18"/>
        <v>399071.2587408427</v>
      </c>
      <c r="F176" s="362">
        <f t="shared" si="19"/>
        <v>-23.59234796346179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1" ht="11.25" customHeight="1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1" ht="11.25" customHeight="1">
      <c r="A178" s="364"/>
      <c r="B178" s="358" t="s">
        <v>776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1" ht="11.25" customHeight="1">
      <c r="A179" s="364">
        <v>23</v>
      </c>
      <c r="B179" s="360" t="s">
        <v>735</v>
      </c>
      <c r="C179" s="361">
        <f>C153+C168</f>
        <v>139615</v>
      </c>
      <c r="D179" s="361">
        <f>LN_IE1+LN_IE14</f>
        <v>2871352</v>
      </c>
      <c r="E179" s="361">
        <f>D179-C179</f>
        <v>2731737</v>
      </c>
      <c r="F179" s="362">
        <f>IF(C179=0,0,E179/C179)</f>
        <v>19.56621423199513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1" ht="11.25" customHeight="1">
      <c r="A180" s="364">
        <v>24</v>
      </c>
      <c r="B180" s="360" t="s">
        <v>736</v>
      </c>
      <c r="C180" s="361">
        <f>C154+C169</f>
        <v>61166</v>
      </c>
      <c r="D180" s="361">
        <f>LN_IE15+LN_IE2</f>
        <v>303273</v>
      </c>
      <c r="E180" s="361">
        <f>D180-C180</f>
        <v>242107</v>
      </c>
      <c r="F180" s="362">
        <f>IF(C180=0,0,E180/C180)</f>
        <v>3.9581957296537293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1" ht="11.25" customHeight="1">
      <c r="A181" s="364">
        <v>25</v>
      </c>
      <c r="B181" s="360" t="s">
        <v>737</v>
      </c>
      <c r="C181" s="361">
        <f>C179-C180</f>
        <v>78449</v>
      </c>
      <c r="D181" s="361">
        <f>LN_IE23-LN_IE24</f>
        <v>2568079</v>
      </c>
      <c r="E181" s="361">
        <f>D181-C181</f>
        <v>2489630</v>
      </c>
      <c r="F181" s="362">
        <f>IF(C181=0,0,E181/C181)</f>
        <v>31.735649912682124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1" ht="11.25" customHeight="1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1" ht="11.25" customHeight="1">
      <c r="A183" s="364">
        <v>26</v>
      </c>
      <c r="B183" s="360" t="s">
        <v>777</v>
      </c>
      <c r="C183" s="361">
        <f>C162+C176</f>
        <v>-32073.94295763116</v>
      </c>
      <c r="D183" s="361">
        <f>LN_IE10+LN_IE22</f>
        <v>539289.3700188594</v>
      </c>
      <c r="E183" s="353">
        <f>D183-C183</f>
        <v>571363.3129764906</v>
      </c>
      <c r="F183" s="362">
        <f>IF(C183=0,0,E183/C183)</f>
        <v>-17.81394054766658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1" ht="11.25" customHeight="1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>
      <c r="A185" s="355" t="s">
        <v>469</v>
      </c>
      <c r="B185" s="356" t="s">
        <v>778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1" ht="15" customHeight="1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1" ht="11.25" customHeight="1">
      <c r="A187" s="364"/>
      <c r="B187" s="359" t="s">
        <v>779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1" ht="11.25" customHeight="1">
      <c r="A188" s="338">
        <v>1</v>
      </c>
      <c r="B188" s="360" t="s">
        <v>719</v>
      </c>
      <c r="C188" s="361">
        <f>C118+C153</f>
        <v>8482915</v>
      </c>
      <c r="D188" s="361">
        <f>LN_ID1+LN_IE1</f>
        <v>7490130</v>
      </c>
      <c r="E188" s="361">
        <f aca="true" t="shared" si="20" ref="E188:E200">D188-C188</f>
        <v>-992785</v>
      </c>
      <c r="F188" s="362">
        <f aca="true" t="shared" si="21" ref="F188:F200">IF(C188=0,0,E188/C188)</f>
        <v>-0.11703347257399137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1" ht="11.25" customHeight="1">
      <c r="A189" s="364">
        <v>2</v>
      </c>
      <c r="B189" s="360" t="s">
        <v>720</v>
      </c>
      <c r="C189" s="361">
        <f>C119+C154</f>
        <v>1864549</v>
      </c>
      <c r="D189" s="361">
        <f>LN_1D2+LN_IE2</f>
        <v>1540572</v>
      </c>
      <c r="E189" s="361">
        <f t="shared" si="20"/>
        <v>-323977</v>
      </c>
      <c r="F189" s="362">
        <f t="shared" si="21"/>
        <v>-0.17375622737723706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1" ht="11.25" customHeight="1">
      <c r="A190" s="364">
        <v>3</v>
      </c>
      <c r="B190" s="365" t="s">
        <v>721</v>
      </c>
      <c r="C190" s="366">
        <f>IF(C188=0,0,C189/C188)</f>
        <v>0.2198005048971963</v>
      </c>
      <c r="D190" s="366">
        <f>IF(LN_IF1=0,0,LN_IF2/LN_IF1)</f>
        <v>0.20568027524221877</v>
      </c>
      <c r="E190" s="367">
        <f t="shared" si="20"/>
        <v>-0.014120229654977529</v>
      </c>
      <c r="F190" s="362">
        <f t="shared" si="21"/>
        <v>-0.06424111564976501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1" ht="11.25" customHeight="1">
      <c r="A191" s="364">
        <v>4</v>
      </c>
      <c r="B191" s="360" t="s">
        <v>252</v>
      </c>
      <c r="C191" s="369">
        <f>C121+C156</f>
        <v>416</v>
      </c>
      <c r="D191" s="369">
        <f>LN_ID4+LN_IE4</f>
        <v>444</v>
      </c>
      <c r="E191" s="369">
        <f t="shared" si="20"/>
        <v>28</v>
      </c>
      <c r="F191" s="362">
        <f t="shared" si="21"/>
        <v>0.0673076923076923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1" ht="11.25" customHeight="1">
      <c r="A192" s="364">
        <v>5</v>
      </c>
      <c r="B192" s="365" t="s">
        <v>722</v>
      </c>
      <c r="C192" s="372">
        <f>IF((C121+C156)=0,0,(C123+C158)/(C121+C156))</f>
        <v>0.9174639423076923</v>
      </c>
      <c r="D192" s="372">
        <f>IF((LN_ID4+LN_IE4)=0,0,(LN_ID6+LN_IE6)/(LN_ID4+LN_IE4))</f>
        <v>0.8457943243243242</v>
      </c>
      <c r="E192" s="373">
        <f t="shared" si="20"/>
        <v>-0.07166961798336813</v>
      </c>
      <c r="F192" s="362">
        <f t="shared" si="21"/>
        <v>-0.07811709504691586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>
      <c r="A193" s="364">
        <v>6</v>
      </c>
      <c r="B193" s="365" t="s">
        <v>723</v>
      </c>
      <c r="C193" s="376">
        <f>C123+C158</f>
        <v>381.665</v>
      </c>
      <c r="D193" s="376">
        <f>LN_IF4*LN_IF5</f>
        <v>375.53267999999997</v>
      </c>
      <c r="E193" s="376">
        <f t="shared" si="20"/>
        <v>-6.13232000000005</v>
      </c>
      <c r="F193" s="362">
        <f t="shared" si="21"/>
        <v>-0.01606728413661208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>
      <c r="A194" s="364">
        <v>7</v>
      </c>
      <c r="B194" s="360" t="s">
        <v>724</v>
      </c>
      <c r="C194" s="378">
        <f>IF(C193=0,0,C189/C193)</f>
        <v>4885.302555906357</v>
      </c>
      <c r="D194" s="378">
        <f>IF(LN_IF6=0,0,LN_IF2/LN_IF6)</f>
        <v>4102.364673029256</v>
      </c>
      <c r="E194" s="378">
        <f t="shared" si="20"/>
        <v>-782.9378828771014</v>
      </c>
      <c r="F194" s="362">
        <f t="shared" si="21"/>
        <v>-0.16026394965661345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>
      <c r="A195" s="364">
        <v>8</v>
      </c>
      <c r="B195" s="357" t="s">
        <v>780</v>
      </c>
      <c r="C195" s="378">
        <f>C48-C194</f>
        <v>2889.901044419252</v>
      </c>
      <c r="D195" s="378">
        <f>LN_IB7-LN_IF7</f>
        <v>3596.3668634211126</v>
      </c>
      <c r="E195" s="378">
        <f t="shared" si="20"/>
        <v>706.4658190018608</v>
      </c>
      <c r="F195" s="362">
        <f t="shared" si="21"/>
        <v>0.24446021097024473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>
      <c r="A196" s="364">
        <v>9</v>
      </c>
      <c r="B196" s="365" t="s">
        <v>781</v>
      </c>
      <c r="C196" s="378">
        <f>C21-C194</f>
        <v>2151.895663059957</v>
      </c>
      <c r="D196" s="378">
        <f>LN_IA7-LN_IF7</f>
        <v>2625.668950410971</v>
      </c>
      <c r="E196" s="378">
        <f t="shared" si="20"/>
        <v>473.773287351014</v>
      </c>
      <c r="F196" s="362">
        <f t="shared" si="21"/>
        <v>0.22016554774654684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>
      <c r="A197" s="364">
        <v>10</v>
      </c>
      <c r="B197" s="360" t="s">
        <v>741</v>
      </c>
      <c r="C197" s="391">
        <f>C127+C162</f>
        <v>821303.2582417784</v>
      </c>
      <c r="D197" s="391">
        <f>LN_IF9*LN_IF6</f>
        <v>986024.4977406189</v>
      </c>
      <c r="E197" s="391">
        <f t="shared" si="20"/>
        <v>164721.23949884053</v>
      </c>
      <c r="F197" s="362">
        <f t="shared" si="21"/>
        <v>0.2005608011971983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>
      <c r="A198" s="364">
        <v>11</v>
      </c>
      <c r="B198" s="360" t="s">
        <v>254</v>
      </c>
      <c r="C198" s="369">
        <f>C128+C163</f>
        <v>1794</v>
      </c>
      <c r="D198" s="369">
        <f>LN_ID11+LN_IE11</f>
        <v>1590</v>
      </c>
      <c r="E198" s="369">
        <f t="shared" si="20"/>
        <v>-204</v>
      </c>
      <c r="F198" s="362">
        <f t="shared" si="21"/>
        <v>-0.11371237458193979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>
      <c r="A199" s="364">
        <v>12</v>
      </c>
      <c r="B199" s="360" t="s">
        <v>725</v>
      </c>
      <c r="C199" s="432">
        <f>IF(C198=0,0,C189/C198)</f>
        <v>1039.32497212932</v>
      </c>
      <c r="D199" s="432">
        <f>IF(LN_IF11=0,0,LN_IF2/LN_IF11)</f>
        <v>968.9132075471698</v>
      </c>
      <c r="E199" s="432">
        <f t="shared" si="20"/>
        <v>-70.41176458215023</v>
      </c>
      <c r="F199" s="362">
        <f t="shared" si="21"/>
        <v>-0.06774759239922228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>
      <c r="A200" s="364">
        <v>13</v>
      </c>
      <c r="B200" s="360" t="s">
        <v>726</v>
      </c>
      <c r="C200" s="379">
        <f>IF(C191=0,0,C198/C191)</f>
        <v>4.3125</v>
      </c>
      <c r="D200" s="379">
        <f>IF(LN_IF4=0,0,LN_IF11/LN_IF4)</f>
        <v>3.581081081081081</v>
      </c>
      <c r="E200" s="379">
        <f t="shared" si="20"/>
        <v>-0.7314189189189189</v>
      </c>
      <c r="F200" s="362">
        <f t="shared" si="21"/>
        <v>-0.16960438699569133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>
      <c r="A202" s="364"/>
      <c r="B202" s="359" t="s">
        <v>782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>
      <c r="A203" s="338">
        <v>14</v>
      </c>
      <c r="B203" s="360" t="s">
        <v>728</v>
      </c>
      <c r="C203" s="361">
        <f>C133+C168</f>
        <v>8774466</v>
      </c>
      <c r="D203" s="361">
        <f>LN_ID14+LN_IE14</f>
        <v>10865763</v>
      </c>
      <c r="E203" s="361">
        <f aca="true" t="shared" si="22" ref="E203:E211">D203-C203</f>
        <v>2091297</v>
      </c>
      <c r="F203" s="362">
        <f aca="true" t="shared" si="23" ref="F203:F211">IF(C203=0,0,E203/C203)</f>
        <v>0.23833894848985682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>
      <c r="A204" s="338">
        <v>15</v>
      </c>
      <c r="B204" s="360" t="s">
        <v>729</v>
      </c>
      <c r="C204" s="361">
        <f>C134+C169</f>
        <v>1572091</v>
      </c>
      <c r="D204" s="361">
        <f>LN_ID15+LN_IE15</f>
        <v>2052438</v>
      </c>
      <c r="E204" s="361">
        <f t="shared" si="22"/>
        <v>480347</v>
      </c>
      <c r="F204" s="362">
        <f t="shared" si="23"/>
        <v>0.3055465618720545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>
      <c r="A205" s="338">
        <v>16</v>
      </c>
      <c r="B205" s="360" t="s">
        <v>730</v>
      </c>
      <c r="C205" s="366">
        <f>IF(C203=0,0,C204/C203)</f>
        <v>0.1791665726438509</v>
      </c>
      <c r="D205" s="366">
        <f>IF(LN_IF14=0,0,LN_IF15/LN_IF14)</f>
        <v>0.18889037060719988</v>
      </c>
      <c r="E205" s="367">
        <f t="shared" si="22"/>
        <v>0.009723797963348962</v>
      </c>
      <c r="F205" s="362">
        <f t="shared" si="23"/>
        <v>0.054272389206651984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>
      <c r="A206" s="338">
        <v>17</v>
      </c>
      <c r="B206" s="360" t="s">
        <v>731</v>
      </c>
      <c r="C206" s="366">
        <f>IF(C188=0,0,C203/C188)</f>
        <v>1.0343691997385334</v>
      </c>
      <c r="D206" s="366">
        <f>IF(LN_IF1=0,0,LN_IF14/LN_IF1)</f>
        <v>1.4506774915789178</v>
      </c>
      <c r="E206" s="367">
        <f t="shared" si="22"/>
        <v>0.4163082918403844</v>
      </c>
      <c r="F206" s="362">
        <f t="shared" si="23"/>
        <v>0.40247552996127334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>
      <c r="A207" s="338">
        <v>18</v>
      </c>
      <c r="B207" s="360" t="s">
        <v>732</v>
      </c>
      <c r="C207" s="376">
        <f>C137+C172</f>
        <v>430.32808507028324</v>
      </c>
      <c r="D207" s="376">
        <f>LN_ID18+LN_IE18</f>
        <v>617.4013874598388</v>
      </c>
      <c r="E207" s="376">
        <f t="shared" si="22"/>
        <v>187.07330238955558</v>
      </c>
      <c r="F207" s="362">
        <f t="shared" si="23"/>
        <v>0.4347225033174441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>
      <c r="A208" s="338">
        <v>19</v>
      </c>
      <c r="B208" s="365" t="s">
        <v>733</v>
      </c>
      <c r="C208" s="378">
        <f>IF(C207=0,0,C204/C207)</f>
        <v>3653.2382025292136</v>
      </c>
      <c r="D208" s="378">
        <f>IF(LN_IF18=0,0,LN_IF15/LN_IF18)</f>
        <v>3324.317116364609</v>
      </c>
      <c r="E208" s="378">
        <f t="shared" si="22"/>
        <v>-328.92108616460473</v>
      </c>
      <c r="F208" s="362">
        <f t="shared" si="23"/>
        <v>-0.09003548849809075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1" ht="11.25" customHeight="1">
      <c r="A209" s="338">
        <v>20</v>
      </c>
      <c r="B209" s="365" t="s">
        <v>783</v>
      </c>
      <c r="C209" s="378">
        <f>C61-C208</f>
        <v>5309.469491084179</v>
      </c>
      <c r="D209" s="378">
        <f>LN_IB18-LN_IF19</f>
        <v>5201.987673702881</v>
      </c>
      <c r="E209" s="378">
        <f t="shared" si="22"/>
        <v>-107.48181738129824</v>
      </c>
      <c r="F209" s="362">
        <f t="shared" si="23"/>
        <v>-0.020243419340064944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1" ht="11.25" customHeight="1">
      <c r="A210" s="338">
        <v>21</v>
      </c>
      <c r="B210" s="365" t="s">
        <v>784</v>
      </c>
      <c r="C210" s="378">
        <f>C32-C208</f>
        <v>4961.458542366237</v>
      </c>
      <c r="D210" s="378">
        <f>LN_IA16-LN_IF19</f>
        <v>4960.787222521356</v>
      </c>
      <c r="E210" s="378">
        <f t="shared" si="22"/>
        <v>-0.6713198448815092</v>
      </c>
      <c r="F210" s="362">
        <f t="shared" si="23"/>
        <v>-0.00013530695442661925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1" ht="11.25" customHeight="1">
      <c r="A211" s="338">
        <v>22</v>
      </c>
      <c r="B211" s="365" t="s">
        <v>744</v>
      </c>
      <c r="C211" s="391">
        <f>C141+C176</f>
        <v>2135054.9536920614</v>
      </c>
      <c r="D211" s="353">
        <f>LN_IF21*LN_IF18</f>
        <v>3062796.9140777253</v>
      </c>
      <c r="E211" s="353">
        <f t="shared" si="22"/>
        <v>927741.9603856639</v>
      </c>
      <c r="F211" s="362">
        <f t="shared" si="23"/>
        <v>0.4345283753850731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1" ht="11.25" customHeight="1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1" ht="11.25" customHeight="1">
      <c r="A213" s="338"/>
      <c r="B213" s="358" t="s">
        <v>785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1" ht="11.25" customHeight="1">
      <c r="A214" s="338">
        <v>23</v>
      </c>
      <c r="B214" s="360" t="s">
        <v>735</v>
      </c>
      <c r="C214" s="361">
        <f>C188+C203</f>
        <v>17257381</v>
      </c>
      <c r="D214" s="361">
        <f>LN_IF1+LN_IF14</f>
        <v>18355893</v>
      </c>
      <c r="E214" s="361">
        <f>D214-C214</f>
        <v>1098512</v>
      </c>
      <c r="F214" s="362">
        <f>IF(C214=0,0,E214/C214)</f>
        <v>0.0636546182760872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1" ht="11.25" customHeight="1">
      <c r="A215" s="338">
        <v>24</v>
      </c>
      <c r="B215" s="360" t="s">
        <v>736</v>
      </c>
      <c r="C215" s="361">
        <f>C189+C204</f>
        <v>3436640</v>
      </c>
      <c r="D215" s="361">
        <f>LN_IF2+LN_IF15</f>
        <v>3593010</v>
      </c>
      <c r="E215" s="361">
        <f>D215-C215</f>
        <v>156370</v>
      </c>
      <c r="F215" s="362">
        <f>IF(C215=0,0,E215/C215)</f>
        <v>0.04550083802784115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1" ht="11.25" customHeight="1">
      <c r="A216" s="338">
        <v>25</v>
      </c>
      <c r="B216" s="360" t="s">
        <v>737</v>
      </c>
      <c r="C216" s="361">
        <f>C214-C215</f>
        <v>13820741</v>
      </c>
      <c r="D216" s="361">
        <f>LN_IF23-LN_IF24</f>
        <v>14762883</v>
      </c>
      <c r="E216" s="361">
        <f>D216-C216</f>
        <v>942142</v>
      </c>
      <c r="F216" s="362">
        <f>IF(C216=0,0,E216/C216)</f>
        <v>0.06816870383433131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1" ht="11.25" customHeight="1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>
      <c r="A218" s="355" t="s">
        <v>481</v>
      </c>
      <c r="B218" s="356" t="s">
        <v>786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1" ht="11.25" customHeight="1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1" ht="11.25" customHeight="1">
      <c r="A220" s="364"/>
      <c r="B220" s="358" t="s">
        <v>787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1" ht="11.25" customHeight="1">
      <c r="A221" s="338">
        <v>1</v>
      </c>
      <c r="B221" s="360" t="s">
        <v>719</v>
      </c>
      <c r="C221" s="361">
        <v>109879</v>
      </c>
      <c r="D221" s="361">
        <v>46587</v>
      </c>
      <c r="E221" s="361">
        <f aca="true" t="shared" si="24" ref="E221:E230">D221-C221</f>
        <v>-63292</v>
      </c>
      <c r="F221" s="362">
        <f aca="true" t="shared" si="25" ref="F221:F230">IF(C221=0,0,E221/C221)</f>
        <v>-0.5760154351604947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1" ht="11.25" customHeight="1">
      <c r="A222" s="364">
        <v>2</v>
      </c>
      <c r="B222" s="360" t="s">
        <v>720</v>
      </c>
      <c r="C222" s="361">
        <v>37229</v>
      </c>
      <c r="D222" s="361">
        <v>9600</v>
      </c>
      <c r="E222" s="361">
        <f t="shared" si="24"/>
        <v>-27629</v>
      </c>
      <c r="F222" s="362">
        <f t="shared" si="25"/>
        <v>-0.7421365064868785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1" ht="11.25" customHeight="1">
      <c r="A223" s="364">
        <v>3</v>
      </c>
      <c r="B223" s="365" t="s">
        <v>721</v>
      </c>
      <c r="C223" s="366">
        <f>IF(C221=0,0,C222/C221)</f>
        <v>0.3388181545154215</v>
      </c>
      <c r="D223" s="366">
        <f>IF(LN_IG1=0,0,LN_IG2/LN_IG1)</f>
        <v>0.2060660699336725</v>
      </c>
      <c r="E223" s="367">
        <f t="shared" si="24"/>
        <v>-0.13275208458174903</v>
      </c>
      <c r="F223" s="362">
        <f t="shared" si="25"/>
        <v>-0.3918092428418169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1" ht="11.25" customHeight="1">
      <c r="A224" s="364">
        <v>4</v>
      </c>
      <c r="B224" s="360" t="s">
        <v>252</v>
      </c>
      <c r="C224" s="369">
        <v>8</v>
      </c>
      <c r="D224" s="369">
        <v>3</v>
      </c>
      <c r="E224" s="369">
        <f t="shared" si="24"/>
        <v>-5</v>
      </c>
      <c r="F224" s="362">
        <f t="shared" si="25"/>
        <v>-0.625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>
      <c r="A225" s="364">
        <v>5</v>
      </c>
      <c r="B225" s="365" t="s">
        <v>722</v>
      </c>
      <c r="C225" s="372">
        <v>0.95987</v>
      </c>
      <c r="D225" s="372">
        <v>0.51895</v>
      </c>
      <c r="E225" s="373">
        <f t="shared" si="24"/>
        <v>-0.44092</v>
      </c>
      <c r="F225" s="362">
        <f t="shared" si="25"/>
        <v>-0.4593538708366758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>
      <c r="A226" s="364">
        <v>6</v>
      </c>
      <c r="B226" s="365" t="s">
        <v>723</v>
      </c>
      <c r="C226" s="376">
        <f>C224*C225</f>
        <v>7.67896</v>
      </c>
      <c r="D226" s="376">
        <f>LN_IG3*LN_IG4</f>
        <v>1.55685</v>
      </c>
      <c r="E226" s="376">
        <f t="shared" si="24"/>
        <v>-6.12211</v>
      </c>
      <c r="F226" s="362">
        <f t="shared" si="25"/>
        <v>-0.7972577015637534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>
      <c r="A227" s="364">
        <v>7</v>
      </c>
      <c r="B227" s="360" t="s">
        <v>724</v>
      </c>
      <c r="C227" s="378">
        <f>IF(C226=0,0,C222/C226)</f>
        <v>4848.182566389199</v>
      </c>
      <c r="D227" s="378">
        <f>IF(LN_IG5=0,0,LN_IG2/LN_IG5)</f>
        <v>6166.297331149436</v>
      </c>
      <c r="E227" s="378">
        <f t="shared" si="24"/>
        <v>1318.1147647602374</v>
      </c>
      <c r="F227" s="362">
        <f t="shared" si="25"/>
        <v>0.27187812065871425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>
      <c r="A228" s="364">
        <v>8</v>
      </c>
      <c r="B228" s="360" t="s">
        <v>254</v>
      </c>
      <c r="C228" s="369">
        <v>25</v>
      </c>
      <c r="D228" s="369">
        <v>11</v>
      </c>
      <c r="E228" s="369">
        <f t="shared" si="24"/>
        <v>-14</v>
      </c>
      <c r="F228" s="362">
        <f t="shared" si="25"/>
        <v>-0.56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>
      <c r="A229" s="364">
        <v>9</v>
      </c>
      <c r="B229" s="360" t="s">
        <v>725</v>
      </c>
      <c r="C229" s="378">
        <f>IF(C228=0,0,C222/C228)</f>
        <v>1489.16</v>
      </c>
      <c r="D229" s="378">
        <f>IF(LN_IG6=0,0,LN_IG2/LN_IG6)</f>
        <v>872.7272727272727</v>
      </c>
      <c r="E229" s="378">
        <f t="shared" si="24"/>
        <v>-616.4327272727273</v>
      </c>
      <c r="F229" s="362">
        <f t="shared" si="25"/>
        <v>-0.41394660565199665</v>
      </c>
      <c r="Q229" s="330"/>
      <c r="U229" s="375"/>
    </row>
    <row r="230" spans="1:21" ht="11.25" customHeight="1">
      <c r="A230" s="364">
        <v>10</v>
      </c>
      <c r="B230" s="360" t="s">
        <v>726</v>
      </c>
      <c r="C230" s="379">
        <f>IF(C224=0,0,C228/C224)</f>
        <v>3.125</v>
      </c>
      <c r="D230" s="379">
        <f>IF(LN_IG3=0,0,LN_IG6/LN_IG3)</f>
        <v>3.6666666666666665</v>
      </c>
      <c r="E230" s="379">
        <f t="shared" si="24"/>
        <v>0.5416666666666665</v>
      </c>
      <c r="F230" s="362">
        <f t="shared" si="25"/>
        <v>0.17333333333333328</v>
      </c>
      <c r="Q230" s="330"/>
      <c r="U230" s="353"/>
    </row>
    <row r="231" spans="1:21" ht="11.25" customHeight="1">
      <c r="A231" s="338"/>
      <c r="C231" s="330"/>
      <c r="Q231" s="330"/>
      <c r="U231" s="434"/>
    </row>
    <row r="232" spans="1:21" ht="11.25" customHeight="1">
      <c r="A232" s="338"/>
      <c r="B232" s="358" t="s">
        <v>788</v>
      </c>
      <c r="C232" s="330"/>
      <c r="Q232" s="330"/>
      <c r="U232" s="399"/>
    </row>
    <row r="233" spans="1:21" ht="11.25" customHeight="1">
      <c r="A233" s="364">
        <v>11</v>
      </c>
      <c r="B233" s="360" t="s">
        <v>728</v>
      </c>
      <c r="C233" s="361">
        <v>162128</v>
      </c>
      <c r="D233" s="361">
        <v>233699</v>
      </c>
      <c r="E233" s="361">
        <f>D233-C233</f>
        <v>71571</v>
      </c>
      <c r="F233" s="362">
        <f>IF(C233=0,0,E233/C233)</f>
        <v>0.44144749827296953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>
      <c r="A234" s="364">
        <v>12</v>
      </c>
      <c r="B234" s="360" t="s">
        <v>729</v>
      </c>
      <c r="C234" s="361">
        <v>74359</v>
      </c>
      <c r="D234" s="361">
        <v>103943</v>
      </c>
      <c r="E234" s="361">
        <f>D234-C234</f>
        <v>29584</v>
      </c>
      <c r="F234" s="362">
        <f>IF(C234=0,0,E234/C234)</f>
        <v>0.39785365591253247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>
      <c r="A236" s="338"/>
      <c r="B236" s="358" t="s">
        <v>789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>
      <c r="A237" s="338">
        <v>13</v>
      </c>
      <c r="B237" s="360" t="s">
        <v>735</v>
      </c>
      <c r="C237" s="361">
        <f>C221+C233</f>
        <v>272007</v>
      </c>
      <c r="D237" s="361">
        <f>LN_IG1+LN_IG9</f>
        <v>280286</v>
      </c>
      <c r="E237" s="361">
        <f>D237-C237</f>
        <v>8279</v>
      </c>
      <c r="F237" s="362">
        <f>IF(C237=0,0,E237/C237)</f>
        <v>0.030436716702143696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>
      <c r="A238" s="338">
        <v>14</v>
      </c>
      <c r="B238" s="360" t="s">
        <v>736</v>
      </c>
      <c r="C238" s="361">
        <f>C222+C234</f>
        <v>111588</v>
      </c>
      <c r="D238" s="361">
        <f>LN_IG2+LN_IG10</f>
        <v>113543</v>
      </c>
      <c r="E238" s="361">
        <f>D238-C238</f>
        <v>1955</v>
      </c>
      <c r="F238" s="362">
        <f>IF(C238=0,0,E238/C238)</f>
        <v>0.01751980499695308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>
      <c r="A239" s="338">
        <v>15</v>
      </c>
      <c r="B239" s="360" t="s">
        <v>737</v>
      </c>
      <c r="C239" s="361">
        <f>C237-C238</f>
        <v>160419</v>
      </c>
      <c r="D239" s="361">
        <f>LN_IG13-LN_IG14</f>
        <v>166743</v>
      </c>
      <c r="E239" s="361">
        <f>D239-C239</f>
        <v>6324</v>
      </c>
      <c r="F239" s="362">
        <f>IF(C239=0,0,E239/C239)</f>
        <v>0.03942176425485759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>
      <c r="A241" s="355" t="s">
        <v>485</v>
      </c>
      <c r="B241" s="356" t="s">
        <v>790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1" ht="8.25" customHeight="1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1" ht="11.25" customHeight="1">
      <c r="A243" s="338">
        <v>1</v>
      </c>
      <c r="B243" s="360" t="s">
        <v>791</v>
      </c>
      <c r="C243" s="361">
        <v>702596</v>
      </c>
      <c r="D243" s="361">
        <v>749027</v>
      </c>
      <c r="E243" s="353">
        <f>D243-C243</f>
        <v>46431</v>
      </c>
      <c r="F243" s="415">
        <f>IF(C243=0,0,E243/C243)</f>
        <v>0.06608491935621609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1" ht="11.25" customHeight="1">
      <c r="A244" s="338">
        <v>2</v>
      </c>
      <c r="B244" s="360" t="s">
        <v>792</v>
      </c>
      <c r="C244" s="361">
        <v>85362191</v>
      </c>
      <c r="D244" s="361">
        <v>88487473</v>
      </c>
      <c r="E244" s="353">
        <f>D244-C244</f>
        <v>3125282</v>
      </c>
      <c r="F244" s="415">
        <f>IF(C244=0,0,E244/C244)</f>
        <v>0.03661201714000054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1" ht="11.25" customHeight="1">
      <c r="A245" s="338">
        <v>3</v>
      </c>
      <c r="B245" s="360" t="s">
        <v>793</v>
      </c>
      <c r="C245" s="400">
        <v>271906</v>
      </c>
      <c r="D245" s="400">
        <v>360327</v>
      </c>
      <c r="E245" s="400">
        <f>D245-C245</f>
        <v>88421</v>
      </c>
      <c r="F245" s="401">
        <f>IF(C245=0,0,E245/C245)</f>
        <v>0.32518958757806005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1" ht="11.25" customHeight="1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1" ht="11.25" customHeight="1">
      <c r="A247" s="364"/>
      <c r="B247" s="359" t="s">
        <v>794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1" ht="11.25" customHeight="1">
      <c r="A248" s="364">
        <v>4</v>
      </c>
      <c r="B248" s="436" t="s">
        <v>795</v>
      </c>
      <c r="C248" s="353">
        <v>165221</v>
      </c>
      <c r="D248" s="353">
        <v>122057</v>
      </c>
      <c r="E248" s="353">
        <f>D248-C248</f>
        <v>-43164</v>
      </c>
      <c r="F248" s="362">
        <f>IF(C248=0,0,E248/C248)</f>
        <v>-0.2612500832218665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1" ht="11.25" customHeight="1">
      <c r="A249" s="364">
        <v>5</v>
      </c>
      <c r="B249" s="436" t="s">
        <v>796</v>
      </c>
      <c r="C249" s="353">
        <v>4873574</v>
      </c>
      <c r="D249" s="353">
        <v>6998451</v>
      </c>
      <c r="E249" s="353">
        <f>D249-C249</f>
        <v>2124877</v>
      </c>
      <c r="F249" s="362">
        <f>IF(C249=0,0,E249/C249)</f>
        <v>0.4359997406420832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1" ht="11.25" customHeight="1">
      <c r="A250" s="364">
        <v>6</v>
      </c>
      <c r="B250" s="365" t="s">
        <v>797</v>
      </c>
      <c r="C250" s="353">
        <f>C248+C249</f>
        <v>5038795</v>
      </c>
      <c r="D250" s="353">
        <f>LN_IH4+LN_IH5</f>
        <v>7120508</v>
      </c>
      <c r="E250" s="353">
        <f>D250-C250</f>
        <v>2081713</v>
      </c>
      <c r="F250" s="362">
        <f>IF(C250=0,0,E250/C250)</f>
        <v>0.41313706947792084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1" ht="11.25" customHeight="1">
      <c r="A251" s="364">
        <v>7</v>
      </c>
      <c r="B251" s="365" t="s">
        <v>798</v>
      </c>
      <c r="C251" s="353">
        <f>C250*C313</f>
        <v>1746526.0708773953</v>
      </c>
      <c r="D251" s="353">
        <f>LN_IH6*LN_III10</f>
        <v>2408237.4213737757</v>
      </c>
      <c r="E251" s="353">
        <f>D251-C251</f>
        <v>661711.3504963804</v>
      </c>
      <c r="F251" s="362">
        <f>IF(C251=0,0,E251/C251)</f>
        <v>0.3788728731452369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1" ht="11.25" customHeight="1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1" ht="11.25" customHeight="1">
      <c r="A253" s="338"/>
      <c r="B253" s="397" t="s">
        <v>799</v>
      </c>
      <c r="C253" s="333"/>
      <c r="D253" s="333"/>
      <c r="E253" s="333"/>
      <c r="F253" s="333"/>
      <c r="Q253" s="330"/>
      <c r="U253" s="388"/>
    </row>
    <row r="254" spans="1:21" ht="11.25" customHeight="1">
      <c r="A254" s="338">
        <v>8</v>
      </c>
      <c r="B254" s="360" t="s">
        <v>735</v>
      </c>
      <c r="C254" s="353">
        <f>C188+C203</f>
        <v>17257381</v>
      </c>
      <c r="D254" s="353">
        <f>LN_IF23</f>
        <v>18355893</v>
      </c>
      <c r="E254" s="353">
        <f>D254-C254</f>
        <v>1098512</v>
      </c>
      <c r="F254" s="362">
        <f>IF(C254=0,0,E254/C254)</f>
        <v>0.0636546182760872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1" ht="11.25" customHeight="1">
      <c r="A255" s="338">
        <v>9</v>
      </c>
      <c r="B255" s="360" t="s">
        <v>736</v>
      </c>
      <c r="C255" s="353">
        <f>C189+C204</f>
        <v>3436640</v>
      </c>
      <c r="D255" s="353">
        <f>LN_IF24</f>
        <v>3593010</v>
      </c>
      <c r="E255" s="353">
        <f>D255-C255</f>
        <v>156370</v>
      </c>
      <c r="F255" s="362">
        <f>IF(C255=0,0,E255/C255)</f>
        <v>0.04550083802784115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1" ht="11.25" customHeight="1">
      <c r="A256" s="338">
        <v>10</v>
      </c>
      <c r="B256" s="360" t="s">
        <v>800</v>
      </c>
      <c r="C256" s="353">
        <f>C254*C313</f>
        <v>5981681.301097627</v>
      </c>
      <c r="D256" s="353">
        <f>LN_IH8*LN_III10</f>
        <v>6208173.409163074</v>
      </c>
      <c r="E256" s="353">
        <f>D256-C256</f>
        <v>226492.10806544684</v>
      </c>
      <c r="F256" s="362">
        <f>IF(C256=0,0,E256/C256)</f>
        <v>0.037864288761737606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>
      <c r="A257" s="338">
        <v>11</v>
      </c>
      <c r="B257" s="365" t="s">
        <v>801</v>
      </c>
      <c r="C257" s="353">
        <f>C256-C255</f>
        <v>2545041.301097627</v>
      </c>
      <c r="D257" s="353">
        <f>LN_IH10-LN_IH9</f>
        <v>2615163.4091630736</v>
      </c>
      <c r="E257" s="353">
        <f>D257-C257</f>
        <v>70122.10806544684</v>
      </c>
      <c r="F257" s="362">
        <f>IF(C257=0,0,E257/C257)</f>
        <v>0.027552444054721053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>
      <c r="A258" s="334" t="s">
        <v>159</v>
      </c>
      <c r="B258" s="349" t="s">
        <v>802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>
      <c r="A260" s="437" t="s">
        <v>129</v>
      </c>
      <c r="B260" s="359" t="s">
        <v>803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>
      <c r="A261" s="338">
        <v>1</v>
      </c>
      <c r="B261" s="360" t="s">
        <v>804</v>
      </c>
      <c r="C261" s="361">
        <f>C15+C42+C188+C221</f>
        <v>132305630</v>
      </c>
      <c r="D261" s="361">
        <f>LN_IA1+LN_IB1+LN_IF1+LN_IG1</f>
        <v>128350324</v>
      </c>
      <c r="E261" s="361">
        <f aca="true" t="shared" si="26" ref="E261:E274">D261-C261</f>
        <v>-3955306</v>
      </c>
      <c r="F261" s="415">
        <f aca="true" t="shared" si="27" ref="F261:F274">IF(C261=0,0,E261/C261)</f>
        <v>-0.029895220634223955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>
      <c r="A262" s="364">
        <v>2</v>
      </c>
      <c r="B262" s="360" t="s">
        <v>805</v>
      </c>
      <c r="C262" s="361">
        <f>C16+C43+C189+C222</f>
        <v>44263767</v>
      </c>
      <c r="D262" s="361">
        <f>+LN_IA2+LN_IB2+LN_IF2+LN_IG2</f>
        <v>42972106</v>
      </c>
      <c r="E262" s="361">
        <f t="shared" si="26"/>
        <v>-1291661</v>
      </c>
      <c r="F262" s="415">
        <f t="shared" si="27"/>
        <v>-0.029181000342786007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>
      <c r="A263" s="364">
        <v>3</v>
      </c>
      <c r="B263" s="365" t="s">
        <v>806</v>
      </c>
      <c r="C263" s="366">
        <f>IF(C261=0,0,C262/C261)</f>
        <v>0.33455694213466197</v>
      </c>
      <c r="D263" s="366">
        <f>IF(LN_IIA1=0,0,LN_IIA2/LN_IIA1)</f>
        <v>0.33480325300931846</v>
      </c>
      <c r="E263" s="367">
        <f t="shared" si="26"/>
        <v>0.0002463108746564857</v>
      </c>
      <c r="F263" s="371">
        <f t="shared" si="27"/>
        <v>0.0007362300512578917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>
      <c r="A264" s="364">
        <v>4</v>
      </c>
      <c r="B264" s="360" t="s">
        <v>807</v>
      </c>
      <c r="C264" s="369">
        <f>C18+C45+C191+C224</f>
        <v>4935</v>
      </c>
      <c r="D264" s="369">
        <f>LN_IA4+LN_IB4+LN_IF4+LN_IG3</f>
        <v>4800</v>
      </c>
      <c r="E264" s="369">
        <f t="shared" si="26"/>
        <v>-135</v>
      </c>
      <c r="F264" s="415">
        <f t="shared" si="27"/>
        <v>-0.02735562310030395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>
      <c r="A265" s="364">
        <v>5</v>
      </c>
      <c r="B265" s="360" t="s">
        <v>808</v>
      </c>
      <c r="C265" s="439">
        <f>IF(C264=0,0,C266/C264)</f>
        <v>1.256470609929078</v>
      </c>
      <c r="D265" s="439">
        <f>IF(LN_IIA4=0,0,LN_IIA6/LN_IIA4)</f>
        <v>1.2994257145833334</v>
      </c>
      <c r="E265" s="439">
        <f t="shared" si="26"/>
        <v>0.04295510465425534</v>
      </c>
      <c r="F265" s="415">
        <f t="shared" si="27"/>
        <v>0.034187114537187584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>
      <c r="A266" s="364">
        <v>6</v>
      </c>
      <c r="B266" s="360" t="s">
        <v>809</v>
      </c>
      <c r="C266" s="376">
        <f>C20+C47+C193+C226</f>
        <v>6200.682460000001</v>
      </c>
      <c r="D266" s="376">
        <f>LN_IA6+LN_IB6+LN_IF6+LN_IG5</f>
        <v>6237.24343</v>
      </c>
      <c r="E266" s="376">
        <f t="shared" si="26"/>
        <v>36.56096999999954</v>
      </c>
      <c r="F266" s="415">
        <f t="shared" si="27"/>
        <v>0.005896281616717321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>
      <c r="A267" s="364">
        <v>7</v>
      </c>
      <c r="B267" s="360" t="s">
        <v>810</v>
      </c>
      <c r="C267" s="361">
        <f>C27+C56+C203+C233</f>
        <v>90072124</v>
      </c>
      <c r="D267" s="361">
        <f>LN_IA11+LN_IB13+LN_IF14+LN_IG9</f>
        <v>90789239</v>
      </c>
      <c r="E267" s="361">
        <f t="shared" si="26"/>
        <v>717115</v>
      </c>
      <c r="F267" s="415">
        <f t="shared" si="27"/>
        <v>0.007961564223799142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>
      <c r="A268" s="364">
        <v>8</v>
      </c>
      <c r="B268" s="365" t="s">
        <v>731</v>
      </c>
      <c r="C268" s="366">
        <f>IF(C261=0,0,C267/C261)</f>
        <v>0.6807882929849621</v>
      </c>
      <c r="D268" s="366">
        <f>IF(LN_IIA1=0,0,LN_IIA7/LN_IIA1)</f>
        <v>0.7073549654615597</v>
      </c>
      <c r="E268" s="367">
        <f t="shared" si="26"/>
        <v>0.026566672476597608</v>
      </c>
      <c r="F268" s="371">
        <f t="shared" si="27"/>
        <v>0.03902339794962431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>
      <c r="A269" s="364">
        <v>9</v>
      </c>
      <c r="B269" s="360" t="s">
        <v>811</v>
      </c>
      <c r="C269" s="361">
        <f>C28+C57+C204+C234</f>
        <v>32543975</v>
      </c>
      <c r="D269" s="361">
        <f>LN_IA12+LN_IB14+LN_IF15+LN_IG10</f>
        <v>30679176</v>
      </c>
      <c r="E269" s="361">
        <f t="shared" si="26"/>
        <v>-1864799</v>
      </c>
      <c r="F269" s="415">
        <f t="shared" si="27"/>
        <v>-0.05730089824614234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>
      <c r="A270" s="364">
        <v>10</v>
      </c>
      <c r="B270" s="365" t="s">
        <v>730</v>
      </c>
      <c r="C270" s="366">
        <f>IF(C267=0,0,C269/C267)</f>
        <v>0.3613101762760696</v>
      </c>
      <c r="D270" s="366">
        <f>IF(LN_IIA7=0,0,LN_IIA9/LN_IIA7)</f>
        <v>0.3379164352286288</v>
      </c>
      <c r="E270" s="367">
        <f t="shared" si="26"/>
        <v>-0.023393741047440797</v>
      </c>
      <c r="F270" s="371">
        <f t="shared" si="27"/>
        <v>-0.06474697526804815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>
      <c r="A271" s="364">
        <v>11</v>
      </c>
      <c r="B271" s="360" t="s">
        <v>812</v>
      </c>
      <c r="C271" s="353">
        <f>C261+C267</f>
        <v>222377754</v>
      </c>
      <c r="D271" s="353">
        <f>LN_IIA1+LN_IIA7</f>
        <v>219139563</v>
      </c>
      <c r="E271" s="353">
        <f t="shared" si="26"/>
        <v>-3238191</v>
      </c>
      <c r="F271" s="415">
        <f t="shared" si="27"/>
        <v>-0.014561667890575062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>
      <c r="A272" s="364">
        <v>12</v>
      </c>
      <c r="B272" s="360" t="s">
        <v>813</v>
      </c>
      <c r="C272" s="353">
        <f>C262+C269</f>
        <v>76807742</v>
      </c>
      <c r="D272" s="353">
        <f>LN_IIA2+LN_IIA9</f>
        <v>73651282</v>
      </c>
      <c r="E272" s="353">
        <f t="shared" si="26"/>
        <v>-3156460</v>
      </c>
      <c r="F272" s="415">
        <f t="shared" si="27"/>
        <v>-0.04109559684751571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>
      <c r="A273" s="364">
        <v>13</v>
      </c>
      <c r="B273" s="365" t="s">
        <v>814</v>
      </c>
      <c r="C273" s="366">
        <f>IF(C271=0,0,C272/C271)</f>
        <v>0.34539310078651125</v>
      </c>
      <c r="D273" s="366">
        <f>IF(LN_IIA11=0,0,LN_IIA12/LN_IIA11)</f>
        <v>0.3360930403972741</v>
      </c>
      <c r="E273" s="367">
        <f t="shared" si="26"/>
        <v>-0.009300060389237141</v>
      </c>
      <c r="F273" s="371">
        <f t="shared" si="27"/>
        <v>-0.026926016669295148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>
      <c r="A274" s="364">
        <v>14</v>
      </c>
      <c r="B274" s="360" t="s">
        <v>254</v>
      </c>
      <c r="C274" s="421">
        <f>C22+C51+C198+C228</f>
        <v>21629</v>
      </c>
      <c r="D274" s="421">
        <f>LN_IA8+LN_IB10+LN_IF11+LN_IG6</f>
        <v>20370</v>
      </c>
      <c r="E274" s="442">
        <f t="shared" si="26"/>
        <v>-1259</v>
      </c>
      <c r="F274" s="371">
        <f t="shared" si="27"/>
        <v>-0.05820888621757825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>
      <c r="A276" s="437" t="s">
        <v>141</v>
      </c>
      <c r="B276" s="359" t="s">
        <v>815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>
      <c r="A277" s="338">
        <v>1</v>
      </c>
      <c r="B277" s="360" t="s">
        <v>816</v>
      </c>
      <c r="C277" s="361">
        <f>C15+C188+C221</f>
        <v>93763361</v>
      </c>
      <c r="D277" s="361">
        <f>LN_IA1+LN_IF1+LN_IG1</f>
        <v>87964493</v>
      </c>
      <c r="E277" s="361">
        <f aca="true" t="shared" si="28" ref="E277:E291">D277-C277</f>
        <v>-5798868</v>
      </c>
      <c r="F277" s="415">
        <f aca="true" t="shared" si="29" ref="F277:F291">IF(C277=0,0,E277/C277)</f>
        <v>-0.061845777904655105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>
      <c r="A278" s="364">
        <v>2</v>
      </c>
      <c r="B278" s="360" t="s">
        <v>817</v>
      </c>
      <c r="C278" s="361">
        <f>C16+C189+C222</f>
        <v>28814107</v>
      </c>
      <c r="D278" s="361">
        <f>LN_IA2+LN_IF2+LN_IG2</f>
        <v>27152503</v>
      </c>
      <c r="E278" s="361">
        <f t="shared" si="28"/>
        <v>-1661604</v>
      </c>
      <c r="F278" s="415">
        <f t="shared" si="29"/>
        <v>-0.057666336839798646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>
      <c r="A279" s="364">
        <v>3</v>
      </c>
      <c r="B279" s="365" t="s">
        <v>818</v>
      </c>
      <c r="C279" s="366">
        <f>IF(C277=0,0,C278/C277)</f>
        <v>0.30730667813838286</v>
      </c>
      <c r="D279" s="366">
        <f>IF(D277=0,0,LN_IIB2/D277)</f>
        <v>0.308675717598918</v>
      </c>
      <c r="E279" s="367">
        <f t="shared" si="28"/>
        <v>0.0013690394605351264</v>
      </c>
      <c r="F279" s="371">
        <f t="shared" si="29"/>
        <v>0.0044549616325572855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>
      <c r="A280" s="364">
        <v>4</v>
      </c>
      <c r="B280" s="360" t="s">
        <v>819</v>
      </c>
      <c r="C280" s="369">
        <f>C18+C191+C224</f>
        <v>3056</v>
      </c>
      <c r="D280" s="369">
        <f>LN_IA4+LN_IF4+LN_IG3</f>
        <v>2870</v>
      </c>
      <c r="E280" s="369">
        <f t="shared" si="28"/>
        <v>-186</v>
      </c>
      <c r="F280" s="415">
        <f t="shared" si="29"/>
        <v>-0.06086387434554974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>
      <c r="A281" s="364">
        <v>5</v>
      </c>
      <c r="B281" s="360" t="s">
        <v>820</v>
      </c>
      <c r="C281" s="439">
        <f>IF(C280=0,0,C282/C280)</f>
        <v>1.3788088874345552</v>
      </c>
      <c r="D281" s="439">
        <f>IF(LN_IIB4=0,0,LN_IIB6/LN_IIB4)</f>
        <v>1.4572860731707318</v>
      </c>
      <c r="E281" s="439">
        <f t="shared" si="28"/>
        <v>0.07847718573617657</v>
      </c>
      <c r="F281" s="415">
        <f t="shared" si="29"/>
        <v>0.05691665208380916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>
      <c r="A282" s="364">
        <v>6</v>
      </c>
      <c r="B282" s="360" t="s">
        <v>821</v>
      </c>
      <c r="C282" s="376">
        <f>C20+C193+C226</f>
        <v>4213.63996</v>
      </c>
      <c r="D282" s="376">
        <f>LN_IA6+LN_IF6+LN_IG5</f>
        <v>4182.41103</v>
      </c>
      <c r="E282" s="376">
        <f t="shared" si="28"/>
        <v>-31.22893000000022</v>
      </c>
      <c r="F282" s="415">
        <f t="shared" si="29"/>
        <v>-0.007411390222338839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>
      <c r="A283" s="364">
        <v>7</v>
      </c>
      <c r="B283" s="360" t="s">
        <v>822</v>
      </c>
      <c r="C283" s="361">
        <f>C27+C203+C233</f>
        <v>35612685</v>
      </c>
      <c r="D283" s="361">
        <f>LN_IA11+LN_IF14+LN_IG9</f>
        <v>36107860</v>
      </c>
      <c r="E283" s="361">
        <f t="shared" si="28"/>
        <v>495175</v>
      </c>
      <c r="F283" s="415">
        <f t="shared" si="29"/>
        <v>0.01390445567358934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>
      <c r="A284" s="364">
        <v>8</v>
      </c>
      <c r="B284" s="360" t="s">
        <v>823</v>
      </c>
      <c r="C284" s="366">
        <f>IF(C277=0,0,C283/C277)</f>
        <v>0.37981450984889503</v>
      </c>
      <c r="D284" s="366">
        <f>IF(D277=0,0,LN_IIB7/D277)</f>
        <v>0.41048221581860306</v>
      </c>
      <c r="E284" s="367">
        <f t="shared" si="28"/>
        <v>0.030667705969708026</v>
      </c>
      <c r="F284" s="371">
        <f t="shared" si="29"/>
        <v>0.08074390307497423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>
      <c r="A285" s="364">
        <v>9</v>
      </c>
      <c r="B285" s="360" t="s">
        <v>824</v>
      </c>
      <c r="C285" s="361">
        <f>C28+C204+C234</f>
        <v>8748088</v>
      </c>
      <c r="D285" s="361">
        <f>LN_IA12+LN_IF15+LN_IG10</f>
        <v>8398488</v>
      </c>
      <c r="E285" s="361">
        <f t="shared" si="28"/>
        <v>-349600</v>
      </c>
      <c r="F285" s="415">
        <f t="shared" si="29"/>
        <v>-0.03996301820466369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>
      <c r="A286" s="364">
        <v>10</v>
      </c>
      <c r="B286" s="360" t="s">
        <v>825</v>
      </c>
      <c r="C286" s="366">
        <f>IF(C283=0,0,C285/C283)</f>
        <v>0.2456452806071769</v>
      </c>
      <c r="D286" s="366">
        <f>IF(LN_IIB7=0,0,LN_IIB9/LN_IIB7)</f>
        <v>0.23259445450381164</v>
      </c>
      <c r="E286" s="367">
        <f t="shared" si="28"/>
        <v>-0.013050826103365276</v>
      </c>
      <c r="F286" s="371">
        <f t="shared" si="29"/>
        <v>-0.053128747562773145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>
      <c r="A287" s="364">
        <v>11</v>
      </c>
      <c r="B287" s="365" t="s">
        <v>826</v>
      </c>
      <c r="C287" s="353">
        <f>C277+C283</f>
        <v>129376046</v>
      </c>
      <c r="D287" s="353">
        <f>D277+LN_IIB7</f>
        <v>124072353</v>
      </c>
      <c r="E287" s="353">
        <f t="shared" si="28"/>
        <v>-5303693</v>
      </c>
      <c r="F287" s="415">
        <f t="shared" si="29"/>
        <v>-0.04099439706172501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>
      <c r="A288" s="364">
        <v>12</v>
      </c>
      <c r="B288" s="365" t="s">
        <v>827</v>
      </c>
      <c r="C288" s="353">
        <f>C278+C285</f>
        <v>37562195</v>
      </c>
      <c r="D288" s="353">
        <f>LN_IIB2+LN_IIB9</f>
        <v>35550991</v>
      </c>
      <c r="E288" s="353">
        <f t="shared" si="28"/>
        <v>-2011204</v>
      </c>
      <c r="F288" s="415">
        <f t="shared" si="29"/>
        <v>-0.053543303313344705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>
      <c r="A289" s="364">
        <v>13</v>
      </c>
      <c r="B289" s="365" t="s">
        <v>828</v>
      </c>
      <c r="C289" s="366">
        <f>IF(C287=0,0,C288/C287)</f>
        <v>0.2903334594102528</v>
      </c>
      <c r="D289" s="366">
        <f>IF(LN_IIB11=0,0,LN_IIB12/LN_IIB11)</f>
        <v>0.28653434984020976</v>
      </c>
      <c r="E289" s="367">
        <f t="shared" si="28"/>
        <v>-0.0037991095700430355</v>
      </c>
      <c r="F289" s="371">
        <f t="shared" si="29"/>
        <v>-0.01308533152796124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>
      <c r="A290" s="338">
        <v>14</v>
      </c>
      <c r="B290" s="360" t="s">
        <v>254</v>
      </c>
      <c r="C290" s="421">
        <f>C22+C198+C228</f>
        <v>15475</v>
      </c>
      <c r="D290" s="421">
        <f>LN_IA8+LN_IF11+LN_IG6</f>
        <v>13455</v>
      </c>
      <c r="E290" s="442">
        <f t="shared" si="28"/>
        <v>-2020</v>
      </c>
      <c r="F290" s="371">
        <f t="shared" si="29"/>
        <v>-0.13053311793214864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>
      <c r="A291" s="338">
        <v>15</v>
      </c>
      <c r="B291" s="357" t="s">
        <v>829</v>
      </c>
      <c r="C291" s="361">
        <f>C287-C288</f>
        <v>91813851</v>
      </c>
      <c r="D291" s="429">
        <f>LN_IIB11-LN_IIB12</f>
        <v>88521362</v>
      </c>
      <c r="E291" s="353">
        <f t="shared" si="28"/>
        <v>-3292489</v>
      </c>
      <c r="F291" s="415">
        <f t="shared" si="29"/>
        <v>-0.0358604825322053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>
      <c r="A293" s="437" t="s">
        <v>151</v>
      </c>
      <c r="B293" s="358" t="s">
        <v>726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>
      <c r="A294" s="338">
        <v>1</v>
      </c>
      <c r="B294" s="365" t="s">
        <v>717</v>
      </c>
      <c r="C294" s="379">
        <f>IF(C18=0,0,C22/C18)</f>
        <v>5.188449848024316</v>
      </c>
      <c r="D294" s="379">
        <f>IF(LN_IA4=0,0,LN_IA8/LN_IA4)</f>
        <v>4.892282294676021</v>
      </c>
      <c r="E294" s="379">
        <f aca="true" t="shared" si="30" ref="E294:E300">D294-C294</f>
        <v>-0.2961675533482948</v>
      </c>
      <c r="F294" s="415">
        <f aca="true" t="shared" si="31" ref="F294:F300">IF(C294=0,0,E294/C294)</f>
        <v>-0.05708208848950732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>
      <c r="A295" s="364">
        <v>2</v>
      </c>
      <c r="B295" s="365" t="s">
        <v>738</v>
      </c>
      <c r="C295" s="379">
        <f>IF(C45=0,0,C51/C45)</f>
        <v>3.2751463544438533</v>
      </c>
      <c r="D295" s="379">
        <f>IF(LN_IB4=0,0,(LN_IB10)/(LN_IB4))</f>
        <v>3.582901554404145</v>
      </c>
      <c r="E295" s="379">
        <f t="shared" si="30"/>
        <v>0.30775519996029166</v>
      </c>
      <c r="F295" s="415">
        <f t="shared" si="31"/>
        <v>0.09396685419652064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>
      <c r="A296" s="364">
        <v>3</v>
      </c>
      <c r="B296" s="365" t="s">
        <v>753</v>
      </c>
      <c r="C296" s="379">
        <f>IF(C86=0,0,C93/C86)</f>
        <v>3.3275862068965516</v>
      </c>
      <c r="D296" s="379">
        <f>IF(LN_IC4=0,0,LN_IC11/LN_IC4)</f>
        <v>4.444444444444445</v>
      </c>
      <c r="E296" s="379">
        <f t="shared" si="30"/>
        <v>1.116858237547893</v>
      </c>
      <c r="F296" s="415">
        <f t="shared" si="31"/>
        <v>0.3356361542890041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>
      <c r="A297" s="364">
        <v>4</v>
      </c>
      <c r="B297" s="365" t="s">
        <v>229</v>
      </c>
      <c r="C297" s="379">
        <f>IF(C121=0,0,C128/C121)</f>
        <v>4.316425120772947</v>
      </c>
      <c r="D297" s="379">
        <f>IF(LN_ID4=0,0,LN_ID11/LN_ID4)</f>
        <v>3.5611510791366907</v>
      </c>
      <c r="E297" s="379">
        <f t="shared" si="30"/>
        <v>-0.7552740416362562</v>
      </c>
      <c r="F297" s="415">
        <f t="shared" si="31"/>
        <v>-0.1749767505525518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>
      <c r="A298" s="364">
        <v>5</v>
      </c>
      <c r="B298" s="365" t="s">
        <v>830</v>
      </c>
      <c r="C298" s="379">
        <f>IF(C156=0,0,C163/C156)</f>
        <v>3.5</v>
      </c>
      <c r="D298" s="379">
        <f>IF(LN_IE4=0,0,LN_IE11/LN_IE4)</f>
        <v>3.888888888888889</v>
      </c>
      <c r="E298" s="379">
        <f t="shared" si="30"/>
        <v>0.38888888888888884</v>
      </c>
      <c r="F298" s="415">
        <f t="shared" si="31"/>
        <v>0.11111111111111109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>
      <c r="A299" s="364">
        <v>6</v>
      </c>
      <c r="B299" s="360" t="s">
        <v>533</v>
      </c>
      <c r="C299" s="379">
        <f>IF(C224=0,0,C228/C224)</f>
        <v>3.125</v>
      </c>
      <c r="D299" s="379">
        <f>IF(LN_IG3=0,0,LN_IG6/LN_IG3)</f>
        <v>3.6666666666666665</v>
      </c>
      <c r="E299" s="379">
        <f t="shared" si="30"/>
        <v>0.5416666666666665</v>
      </c>
      <c r="F299" s="415">
        <f t="shared" si="31"/>
        <v>0.17333333333333328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>
      <c r="A300" s="364">
        <v>7</v>
      </c>
      <c r="B300" s="365" t="s">
        <v>831</v>
      </c>
      <c r="C300" s="379">
        <f>IF(C264=0,0,C274/C264)</f>
        <v>4.3827760891590675</v>
      </c>
      <c r="D300" s="379">
        <f>IF(LN_IIA4=0,0,LN_IIA14/LN_IIA4)</f>
        <v>4.24375</v>
      </c>
      <c r="E300" s="379">
        <f t="shared" si="30"/>
        <v>-0.1390260891590671</v>
      </c>
      <c r="F300" s="415">
        <f t="shared" si="31"/>
        <v>-0.031721011142447464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>
      <c r="A302" s="444" t="s">
        <v>250</v>
      </c>
      <c r="B302" s="446" t="s">
        <v>832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>
      <c r="A304" s="338">
        <v>1</v>
      </c>
      <c r="B304" s="365" t="s">
        <v>826</v>
      </c>
      <c r="C304" s="353">
        <f>C35+C66+C214+C221+C233</f>
        <v>222377754</v>
      </c>
      <c r="D304" s="353">
        <f>LN_IIA11</f>
        <v>219139563</v>
      </c>
      <c r="E304" s="353">
        <f aca="true" t="shared" si="32" ref="E304:E316">D304-C304</f>
        <v>-3238191</v>
      </c>
      <c r="F304" s="362">
        <f>IF(C304=0,0,E304/C304)</f>
        <v>-0.014561667890575062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>
      <c r="A305" s="364">
        <v>2</v>
      </c>
      <c r="B305" s="357" t="s">
        <v>829</v>
      </c>
      <c r="C305" s="353">
        <f>C291</f>
        <v>91813851</v>
      </c>
      <c r="D305" s="353">
        <f>LN_IIB14</f>
        <v>88521362</v>
      </c>
      <c r="E305" s="353">
        <f t="shared" si="32"/>
        <v>-3292489</v>
      </c>
      <c r="F305" s="362">
        <f>IF(C305=0,0,E305/C305)</f>
        <v>-0.0358604825322053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>
      <c r="A306" s="364">
        <v>3</v>
      </c>
      <c r="B306" s="360" t="s">
        <v>833</v>
      </c>
      <c r="C306" s="353">
        <f>C250</f>
        <v>5038795</v>
      </c>
      <c r="D306" s="353">
        <f>LN_IH6</f>
        <v>7120508</v>
      </c>
      <c r="E306" s="353">
        <f t="shared" si="32"/>
        <v>2081713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>
      <c r="A307" s="364">
        <v>4</v>
      </c>
      <c r="B307" s="360" t="s">
        <v>834</v>
      </c>
      <c r="C307" s="353">
        <f>C73-C74</f>
        <v>47145662</v>
      </c>
      <c r="D307" s="353">
        <f>LN_IB32-LN_IB33</f>
        <v>47923524</v>
      </c>
      <c r="E307" s="353">
        <f t="shared" si="32"/>
        <v>777862</v>
      </c>
      <c r="F307" s="362">
        <f aca="true" t="shared" si="33" ref="F307:F316">IF(C307=0,0,E307/C307)</f>
        <v>0.016499121382578103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>
      <c r="A308" s="364">
        <v>5</v>
      </c>
      <c r="B308" s="360" t="s">
        <v>835</v>
      </c>
      <c r="C308" s="353">
        <v>1571704</v>
      </c>
      <c r="D308" s="353">
        <v>1818984</v>
      </c>
      <c r="E308" s="353">
        <f t="shared" si="32"/>
        <v>247280</v>
      </c>
      <c r="F308" s="362">
        <f t="shared" si="33"/>
        <v>0.15733242391697164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>
      <c r="A309" s="364">
        <v>6</v>
      </c>
      <c r="B309" s="357" t="s">
        <v>836</v>
      </c>
      <c r="C309" s="353">
        <f>C305+C307+C308+C306</f>
        <v>145570012</v>
      </c>
      <c r="D309" s="353">
        <f>LN_III2+LN_III3+LN_III4+LN_III5</f>
        <v>145384378</v>
      </c>
      <c r="E309" s="353">
        <f t="shared" si="32"/>
        <v>-185634</v>
      </c>
      <c r="F309" s="362">
        <f t="shared" si="33"/>
        <v>-0.001275221437777995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>
      <c r="A310" s="364">
        <v>7</v>
      </c>
      <c r="B310" s="357" t="s">
        <v>837</v>
      </c>
      <c r="C310" s="353">
        <f>C304-C309</f>
        <v>76807742</v>
      </c>
      <c r="D310" s="353">
        <f>LN_III1-LN_III6</f>
        <v>73755185</v>
      </c>
      <c r="E310" s="353">
        <f t="shared" si="32"/>
        <v>-3052557</v>
      </c>
      <c r="F310" s="362">
        <f t="shared" si="33"/>
        <v>-0.03974282957048783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>
      <c r="A311" s="364">
        <v>8</v>
      </c>
      <c r="B311" s="360" t="s">
        <v>838</v>
      </c>
      <c r="C311" s="353">
        <f>C245</f>
        <v>271906</v>
      </c>
      <c r="D311" s="353">
        <f>LN_IH3</f>
        <v>360327</v>
      </c>
      <c r="E311" s="353">
        <f t="shared" si="32"/>
        <v>88421</v>
      </c>
      <c r="F311" s="362">
        <f t="shared" si="33"/>
        <v>0.32518958757806005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>
      <c r="A312" s="364">
        <v>9</v>
      </c>
      <c r="B312" s="365" t="s">
        <v>839</v>
      </c>
      <c r="C312" s="353">
        <f>C310+C311</f>
        <v>77079648</v>
      </c>
      <c r="D312" s="353">
        <f>LN_III7+LN_III8</f>
        <v>74115512</v>
      </c>
      <c r="E312" s="353">
        <f t="shared" si="32"/>
        <v>-2964136</v>
      </c>
      <c r="F312" s="362">
        <f t="shared" si="33"/>
        <v>-0.03845549476302746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>
      <c r="A313" s="364">
        <v>10</v>
      </c>
      <c r="B313" s="360" t="s">
        <v>840</v>
      </c>
      <c r="C313" s="448">
        <f>IF(C304=0,0,C312/C304)</f>
        <v>0.3466158220124842</v>
      </c>
      <c r="D313" s="448">
        <f>IF(LN_III1=0,0,LN_III9/LN_III1)</f>
        <v>0.3382114620717757</v>
      </c>
      <c r="E313" s="448">
        <f t="shared" si="32"/>
        <v>-0.008404359940708483</v>
      </c>
      <c r="F313" s="362">
        <f t="shared" si="33"/>
        <v>-0.024246902209806742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>
      <c r="A314" s="338">
        <v>11</v>
      </c>
      <c r="B314" s="360" t="s">
        <v>798</v>
      </c>
      <c r="C314" s="353">
        <f>C306*C313</f>
        <v>1746526.0708773953</v>
      </c>
      <c r="D314" s="353">
        <f>D313*LN_III5</f>
        <v>2408237.4213737757</v>
      </c>
      <c r="E314" s="353">
        <f t="shared" si="32"/>
        <v>661711.3504963804</v>
      </c>
      <c r="F314" s="362">
        <f t="shared" si="33"/>
        <v>0.3788728731452369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>
      <c r="A315" s="338">
        <v>12</v>
      </c>
      <c r="B315" s="365" t="s">
        <v>801</v>
      </c>
      <c r="C315" s="353">
        <f>(C214*C313)-C215</f>
        <v>2545041.301097627</v>
      </c>
      <c r="D315" s="353">
        <f>D313*LN_IH8-LN_IH9</f>
        <v>2615163.4091630736</v>
      </c>
      <c r="E315" s="353">
        <f t="shared" si="32"/>
        <v>70122.10806544684</v>
      </c>
      <c r="F315" s="362">
        <f t="shared" si="33"/>
        <v>0.027552444054721053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6" s="451" customFormat="1" ht="12.75" customHeight="1">
      <c r="A316" s="338">
        <v>13</v>
      </c>
      <c r="B316" s="360" t="s">
        <v>841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>
      <c r="A317" s="338">
        <v>14</v>
      </c>
      <c r="B317" s="360" t="s">
        <v>842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>
      <c r="A318" s="338"/>
      <c r="B318" s="360" t="s">
        <v>843</v>
      </c>
      <c r="C318" s="353">
        <f>C314+C315+C316</f>
        <v>4291567.371975022</v>
      </c>
      <c r="D318" s="353">
        <f>D314+D315+D316</f>
        <v>5023400.83053685</v>
      </c>
      <c r="E318" s="353">
        <f>D318-C318</f>
        <v>731833.4585618274</v>
      </c>
      <c r="F318" s="362">
        <f>IF(C318=0,0,E318/C318)</f>
        <v>0.1705282464725773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>
      <c r="A320" s="444" t="s">
        <v>259</v>
      </c>
      <c r="B320" s="445" t="s">
        <v>844</v>
      </c>
      <c r="C320" s="453"/>
      <c r="D320" s="333"/>
      <c r="E320" s="333"/>
      <c r="F320" s="333"/>
      <c r="Q320" s="330"/>
      <c r="U320" s="350"/>
    </row>
    <row r="321" spans="1:21" ht="15" customHeight="1">
      <c r="A321" s="444"/>
      <c r="B321" s="445"/>
      <c r="C321" s="333"/>
      <c r="D321" s="333"/>
      <c r="E321" s="333"/>
      <c r="F321" s="333"/>
      <c r="Q321" s="330"/>
      <c r="U321" s="350"/>
    </row>
    <row r="322" spans="1:21" ht="11.25" customHeight="1">
      <c r="A322" s="364">
        <v>1</v>
      </c>
      <c r="B322" s="357" t="s">
        <v>229</v>
      </c>
      <c r="C322" s="353">
        <f>C141</f>
        <v>2151970.2373831505</v>
      </c>
      <c r="D322" s="353">
        <f>LN_ID22</f>
        <v>2680640.9390279725</v>
      </c>
      <c r="E322" s="353">
        <f>LN_IV2-C322</f>
        <v>528670.701644822</v>
      </c>
      <c r="F322" s="362">
        <f>IF(C322=0,0,E322/C322)</f>
        <v>0.2456682218280578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1" ht="11.25" customHeight="1">
      <c r="A323" s="364">
        <v>2</v>
      </c>
      <c r="B323" s="357" t="s">
        <v>830</v>
      </c>
      <c r="C323" s="353">
        <f>C162+C176</f>
        <v>-32073.94295763116</v>
      </c>
      <c r="D323" s="353">
        <f>LN_IE10+LN_IE22</f>
        <v>539289.3700188594</v>
      </c>
      <c r="E323" s="353">
        <f>LN_IV3-C323</f>
        <v>571363.3129764906</v>
      </c>
      <c r="F323" s="362">
        <f>IF(C323=0,0,E323/C323)</f>
        <v>-17.81394054766658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1" ht="11.25" customHeight="1">
      <c r="A324" s="338">
        <v>3</v>
      </c>
      <c r="B324" s="454" t="s">
        <v>845</v>
      </c>
      <c r="C324" s="353">
        <f>C92+C106</f>
        <v>775204.3244241651</v>
      </c>
      <c r="D324" s="353">
        <f>LN_IC10+LN_IC22</f>
        <v>1732031.3338516336</v>
      </c>
      <c r="E324" s="353">
        <f>LN_IV1-C324</f>
        <v>956827.0094274685</v>
      </c>
      <c r="F324" s="362">
        <f>IF(C324=0,0,E324/C324)</f>
        <v>1.2342900823446978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1" ht="11.25" customHeight="1">
      <c r="A325" s="364">
        <v>4</v>
      </c>
      <c r="B325" s="455" t="s">
        <v>846</v>
      </c>
      <c r="C325" s="429">
        <f>C324+C322+C323</f>
        <v>2895100.6188496845</v>
      </c>
      <c r="D325" s="429">
        <f>LN_IV1+LN_IV2+LN_IV3</f>
        <v>4951961.6428984655</v>
      </c>
      <c r="E325" s="353">
        <f>LN_IV4-C325</f>
        <v>2056861.024048781</v>
      </c>
      <c r="F325" s="362">
        <f>IF(C325=0,0,E325/C325)</f>
        <v>0.7104627074640457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2:22" ht="11.25" customHeight="1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6" s="453" customFormat="1" ht="15" customHeight="1">
      <c r="A327" s="444" t="s">
        <v>847</v>
      </c>
      <c r="B327" s="446" t="s">
        <v>848</v>
      </c>
      <c r="C327" s="333"/>
      <c r="D327" s="333"/>
      <c r="E327" s="333"/>
      <c r="F327" s="459"/>
    </row>
    <row r="328" spans="1:6" s="453" customFormat="1" ht="14.25" customHeight="1">
      <c r="A328" s="460"/>
      <c r="B328" s="358"/>
      <c r="C328" s="333"/>
      <c r="D328" s="333"/>
      <c r="E328" s="333"/>
      <c r="F328" s="339"/>
    </row>
    <row r="329" spans="1:6" s="333" customFormat="1" ht="11.25" customHeight="1">
      <c r="A329" s="364">
        <v>1</v>
      </c>
      <c r="B329" s="360" t="s">
        <v>849</v>
      </c>
      <c r="C329" s="431">
        <v>2454373</v>
      </c>
      <c r="D329" s="431">
        <v>2885294</v>
      </c>
      <c r="E329" s="431">
        <f aca="true" t="shared" si="34" ref="E329:E335">D329-C329</f>
        <v>430921</v>
      </c>
      <c r="F329" s="462">
        <f aca="true" t="shared" si="35" ref="F329:F335">IF(C329=0,0,E329/C329)</f>
        <v>0.175572743018278</v>
      </c>
    </row>
    <row r="330" spans="1:6" s="333" customFormat="1" ht="11.25" customHeight="1">
      <c r="A330" s="364">
        <v>2</v>
      </c>
      <c r="B330" s="360" t="s">
        <v>850</v>
      </c>
      <c r="C330" s="429">
        <v>6445278</v>
      </c>
      <c r="D330" s="429">
        <v>8817435</v>
      </c>
      <c r="E330" s="431">
        <f t="shared" si="34"/>
        <v>2372157</v>
      </c>
      <c r="F330" s="463">
        <f t="shared" si="35"/>
        <v>0.3680457227756506</v>
      </c>
    </row>
    <row r="331" spans="1:6" s="333" customFormat="1" ht="11.25" customHeight="1">
      <c r="A331" s="339">
        <v>3</v>
      </c>
      <c r="B331" s="360" t="s">
        <v>851</v>
      </c>
      <c r="C331" s="429">
        <v>83524926</v>
      </c>
      <c r="D331" s="429">
        <v>82829045</v>
      </c>
      <c r="E331" s="431">
        <f t="shared" si="34"/>
        <v>-695881</v>
      </c>
      <c r="F331" s="462">
        <f t="shared" si="35"/>
        <v>-0.008331417138878998</v>
      </c>
    </row>
    <row r="332" spans="1:6" s="333" customFormat="1" ht="11.25" customHeight="1">
      <c r="A332" s="364">
        <v>4</v>
      </c>
      <c r="B332" s="360" t="s">
        <v>852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6" s="333" customFormat="1" ht="11.25" customHeight="1">
      <c r="A333" s="364">
        <v>5</v>
      </c>
      <c r="B333" s="360" t="s">
        <v>853</v>
      </c>
      <c r="C333" s="429">
        <v>222377753</v>
      </c>
      <c r="D333" s="429">
        <v>219139563</v>
      </c>
      <c r="E333" s="431">
        <f t="shared" si="34"/>
        <v>-3238190</v>
      </c>
      <c r="F333" s="462">
        <f t="shared" si="35"/>
        <v>-0.014561663459204033</v>
      </c>
    </row>
    <row r="334" spans="1:6" s="333" customFormat="1" ht="11.25" customHeight="1">
      <c r="A334" s="339">
        <v>6</v>
      </c>
      <c r="B334" s="360" t="s">
        <v>854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6" s="333" customFormat="1" ht="11.25" customHeight="1">
      <c r="A335" s="364">
        <v>7</v>
      </c>
      <c r="B335" s="360" t="s">
        <v>855</v>
      </c>
      <c r="C335" s="429">
        <v>5038795</v>
      </c>
      <c r="D335" s="429">
        <v>7120508</v>
      </c>
      <c r="E335" s="429">
        <f t="shared" si="34"/>
        <v>2081713</v>
      </c>
      <c r="F335" s="462">
        <f t="shared" si="35"/>
        <v>0.41313706947792084</v>
      </c>
    </row>
    <row r="336" spans="1:6" s="453" customFormat="1" ht="14.25" customHeight="1">
      <c r="A336" s="464"/>
      <c r="B336" s="458"/>
      <c r="C336" s="465"/>
      <c r="F336" s="459"/>
    </row>
    <row r="337" spans="1:17" ht="12.75" customHeight="1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2:17" ht="11.25" customHeight="1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2:17" ht="11.25" customHeight="1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2:17" ht="11.25" customHeight="1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2:17" ht="11.25" customHeight="1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2:17" ht="11.25" customHeight="1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2:17" ht="11.25" customHeight="1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2:17" ht="11.25" customHeight="1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2:17" ht="11.25" customHeight="1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2:17" ht="11.25" customHeight="1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2:17" ht="11.25" customHeight="1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2:17" ht="11.25" customHeight="1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2:17" ht="11.25" customHeight="1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2:17" ht="11.25" customHeight="1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2:17" ht="11.25" customHeight="1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2:17" ht="11.25" customHeight="1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6" ht="11.25" customHeight="1">
      <c r="B386" s="360"/>
      <c r="C386" s="454"/>
      <c r="D386" s="361"/>
      <c r="E386" s="361"/>
      <c r="F386" s="361"/>
    </row>
    <row r="387" spans="2:6" ht="11.25" customHeight="1">
      <c r="B387" s="360"/>
      <c r="C387" s="457"/>
      <c r="D387" s="371"/>
      <c r="E387" s="371"/>
      <c r="F387" s="371"/>
    </row>
    <row r="388" spans="2:6" ht="11.25" customHeight="1">
      <c r="B388" s="360"/>
      <c r="C388" s="474"/>
      <c r="D388" s="369"/>
      <c r="E388" s="369"/>
      <c r="F388" s="369"/>
    </row>
    <row r="389" spans="2:6" ht="11.25" customHeight="1">
      <c r="B389" s="360"/>
      <c r="C389" s="471"/>
      <c r="D389" s="472"/>
      <c r="E389" s="472"/>
      <c r="F389" s="472"/>
    </row>
    <row r="390" spans="2:17" ht="11.25" customHeight="1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6" ht="11.25" customHeight="1">
      <c r="B394" s="360"/>
      <c r="C394" s="474"/>
      <c r="D394" s="369"/>
      <c r="E394" s="369"/>
      <c r="F394" s="369"/>
    </row>
    <row r="395" spans="2:17" ht="11.25" customHeight="1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>
      <c r="B396" s="360"/>
      <c r="C396" s="485"/>
      <c r="D396" s="486"/>
      <c r="E396" s="486"/>
      <c r="F396" s="369"/>
      <c r="Q396" s="400"/>
    </row>
    <row r="397" spans="2:6" ht="11.25" customHeight="1">
      <c r="B397" s="360"/>
      <c r="C397" s="454"/>
      <c r="D397" s="361"/>
      <c r="E397" s="361"/>
      <c r="F397" s="361"/>
    </row>
    <row r="398" spans="2:6" ht="11.25" customHeight="1">
      <c r="B398" s="418"/>
      <c r="C398" s="478"/>
      <c r="D398" s="361"/>
      <c r="E398" s="361"/>
      <c r="F398" s="361"/>
    </row>
    <row r="399" spans="2:6" ht="11.25" customHeight="1">
      <c r="B399" s="360"/>
      <c r="C399" s="454"/>
      <c r="D399" s="361"/>
      <c r="E399" s="361"/>
      <c r="F399" s="361"/>
    </row>
    <row r="400" spans="2:6" ht="11.25" customHeight="1">
      <c r="B400" s="360"/>
      <c r="C400" s="454"/>
      <c r="D400" s="361"/>
      <c r="E400" s="361"/>
      <c r="F400" s="361"/>
    </row>
    <row r="401" spans="2:6" ht="11.25" customHeight="1">
      <c r="B401" s="360"/>
      <c r="C401" s="487"/>
      <c r="D401" s="395"/>
      <c r="E401" s="395"/>
      <c r="F401" s="395"/>
    </row>
    <row r="402" spans="2:6" ht="11.25" customHeight="1">
      <c r="B402" s="360"/>
      <c r="C402" s="457"/>
      <c r="D402" s="415"/>
      <c r="E402" s="415"/>
      <c r="F402" s="415"/>
    </row>
    <row r="403" spans="2:6" ht="11.25" customHeight="1">
      <c r="B403" s="360"/>
      <c r="C403" s="485"/>
      <c r="D403" s="486"/>
      <c r="E403" s="486"/>
      <c r="F403" s="486"/>
    </row>
    <row r="404" spans="2:6" ht="11.25" customHeight="1">
      <c r="B404" s="360"/>
      <c r="C404" s="454"/>
      <c r="D404" s="361"/>
      <c r="E404" s="361"/>
      <c r="F404" s="361"/>
    </row>
    <row r="405" spans="2:6" ht="11.25" customHeight="1">
      <c r="B405" s="360"/>
      <c r="C405" s="454"/>
      <c r="D405" s="361"/>
      <c r="E405" s="361"/>
      <c r="F405" s="361"/>
    </row>
    <row r="406" spans="2:6" ht="11.25" customHeight="1">
      <c r="B406" s="360"/>
      <c r="C406" s="454"/>
      <c r="D406" s="361"/>
      <c r="E406" s="361"/>
      <c r="F406" s="361"/>
    </row>
    <row r="407" spans="2:6" ht="11.25" customHeight="1">
      <c r="B407" s="360"/>
      <c r="C407" s="454"/>
      <c r="D407" s="361"/>
      <c r="E407" s="361"/>
      <c r="F407" s="361"/>
    </row>
    <row r="408" spans="2:6" ht="11.25" customHeight="1">
      <c r="B408" s="418"/>
      <c r="C408" s="454"/>
      <c r="D408" s="361"/>
      <c r="E408" s="361"/>
      <c r="F408" s="361"/>
    </row>
    <row r="409" spans="2:6" ht="11.25" customHeight="1">
      <c r="B409" s="360"/>
      <c r="C409" s="454"/>
      <c r="D409" s="361"/>
      <c r="E409" s="361"/>
      <c r="F409" s="361"/>
    </row>
    <row r="410" spans="2:6" ht="11.25" customHeight="1">
      <c r="B410" s="360"/>
      <c r="C410" s="454"/>
      <c r="D410" s="361"/>
      <c r="E410" s="361"/>
      <c r="F410" s="361"/>
    </row>
    <row r="411" spans="2:6" ht="11.25" customHeight="1">
      <c r="B411" s="360"/>
      <c r="C411" s="454"/>
      <c r="D411" s="361"/>
      <c r="E411" s="361"/>
      <c r="F411" s="361"/>
    </row>
    <row r="412" spans="2:6" ht="11.25" customHeight="1">
      <c r="B412" s="360"/>
      <c r="C412" s="454"/>
      <c r="D412" s="361"/>
      <c r="E412" s="361"/>
      <c r="F412" s="361"/>
    </row>
    <row r="413" spans="2:6" ht="11.25" customHeight="1">
      <c r="B413" s="418"/>
      <c r="C413" s="357"/>
      <c r="D413" s="333"/>
      <c r="E413" s="333"/>
      <c r="F413" s="333"/>
    </row>
    <row r="414" spans="2:6" ht="11.25" customHeight="1">
      <c r="B414" s="360"/>
      <c r="C414" s="482"/>
      <c r="D414" s="386"/>
      <c r="E414" s="386"/>
      <c r="F414" s="386"/>
    </row>
    <row r="415" spans="2:6" ht="11.25" customHeight="1">
      <c r="B415" s="360"/>
      <c r="C415" s="482"/>
      <c r="D415" s="386"/>
      <c r="E415" s="386"/>
      <c r="F415" s="386"/>
    </row>
    <row r="416" spans="2:6" ht="11.25" customHeight="1">
      <c r="B416" s="360"/>
      <c r="C416" s="482"/>
      <c r="D416" s="386"/>
      <c r="E416" s="386"/>
      <c r="F416" s="386"/>
    </row>
    <row r="417" spans="2:6" ht="11.25" customHeight="1">
      <c r="B417" s="360"/>
      <c r="C417" s="482"/>
      <c r="D417" s="386"/>
      <c r="E417" s="386"/>
      <c r="F417" s="386"/>
    </row>
    <row r="418" spans="2:6" ht="11.25" customHeight="1">
      <c r="B418" s="360"/>
      <c r="C418" s="482"/>
      <c r="D418" s="386"/>
      <c r="E418" s="386"/>
      <c r="F418" s="386"/>
    </row>
    <row r="419" spans="2:6" ht="11.25" customHeight="1">
      <c r="B419" s="360"/>
      <c r="C419" s="482"/>
      <c r="D419" s="386"/>
      <c r="E419" s="386"/>
      <c r="F419" s="386"/>
    </row>
    <row r="420" spans="2:6" ht="11.25" customHeight="1">
      <c r="B420" s="360"/>
      <c r="C420" s="482"/>
      <c r="D420" s="386"/>
      <c r="E420" s="386"/>
      <c r="F420" s="386"/>
    </row>
    <row r="421" spans="2:6" ht="11.25" customHeight="1">
      <c r="B421" s="360"/>
      <c r="C421" s="454"/>
      <c r="D421" s="353"/>
      <c r="E421" s="353"/>
      <c r="F421" s="361"/>
    </row>
    <row r="422" spans="2:6" ht="11.25" customHeight="1">
      <c r="B422" s="360"/>
      <c r="C422" s="454"/>
      <c r="D422" s="353"/>
      <c r="E422" s="353"/>
      <c r="F422" s="361"/>
    </row>
    <row r="423" spans="2:6" ht="15" customHeight="1">
      <c r="B423" s="407"/>
      <c r="C423" s="482"/>
      <c r="D423" s="386"/>
      <c r="E423" s="386"/>
      <c r="F423" s="386"/>
    </row>
    <row r="424" spans="2:6" ht="15" customHeight="1">
      <c r="B424" s="407"/>
      <c r="C424" s="482"/>
      <c r="D424" s="386"/>
      <c r="E424" s="386"/>
      <c r="F424" s="386"/>
    </row>
    <row r="425" spans="2:6" ht="11.25" customHeight="1">
      <c r="B425" s="418"/>
      <c r="C425" s="360"/>
      <c r="D425" s="408"/>
      <c r="E425" s="408"/>
      <c r="F425" s="408"/>
    </row>
    <row r="426" spans="2:6" ht="11.25" customHeight="1">
      <c r="B426" s="360"/>
      <c r="C426" s="454"/>
      <c r="D426" s="361"/>
      <c r="E426" s="361"/>
      <c r="F426" s="361"/>
    </row>
    <row r="427" spans="2:17" ht="11.25" customHeight="1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6" ht="11.25" customHeight="1">
      <c r="B432" s="360"/>
      <c r="C432" s="454"/>
      <c r="D432" s="361"/>
      <c r="E432" s="361"/>
      <c r="F432" s="361"/>
    </row>
    <row r="433" spans="2:17" ht="11.25" customHeight="1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2:17" ht="11.25" customHeight="1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2:17" ht="11.25" customHeight="1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2:17" ht="11.25" customHeight="1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2:17" ht="11.25" customHeight="1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2:17" ht="11.25" customHeight="1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2:17" ht="11.25" customHeight="1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2:17" ht="11.25" customHeight="1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2:17" ht="11.25" customHeight="1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2:17" ht="11.25" customHeight="1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2:17" ht="11.25" customHeight="1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FILING&amp;RMILFORD HOSPITAL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295">
      <selection activeCell="B16" sqref="B16"/>
    </sheetView>
  </sheetViews>
  <sheetFormatPr defaultColWidth="9.140625" defaultRowHeight="12.75"/>
  <cols>
    <col min="1" max="1" width="5.28125" style="330" bestFit="1" customWidth="1"/>
    <col min="2" max="2" width="82.57421875" style="331" customWidth="1"/>
    <col min="3" max="3" width="17.00390625" style="331" bestFit="1" customWidth="1"/>
    <col min="4" max="4" width="16.140625" style="330" bestFit="1" customWidth="1"/>
    <col min="5" max="5" width="16.7109375" style="488" bestFit="1" customWidth="1"/>
    <col min="6" max="16384" width="9.140625" style="330" customWidth="1"/>
  </cols>
  <sheetData>
    <row r="1" spans="1:4" ht="12.75">
      <c r="A1" s="333"/>
      <c r="B1" s="357"/>
      <c r="C1" s="357"/>
      <c r="D1" s="333"/>
    </row>
    <row r="2" spans="1:5" s="338" customFormat="1" ht="15.75" customHeight="1">
      <c r="A2" s="710" t="s">
        <v>115</v>
      </c>
      <c r="B2" s="710"/>
      <c r="C2" s="710"/>
      <c r="D2" s="710"/>
      <c r="E2" s="710"/>
    </row>
    <row r="3" spans="1:5" s="338" customFormat="1" ht="15.75" customHeight="1">
      <c r="A3" s="709" t="s">
        <v>708</v>
      </c>
      <c r="B3" s="709"/>
      <c r="C3" s="709"/>
      <c r="D3" s="709"/>
      <c r="E3" s="709"/>
    </row>
    <row r="4" spans="1:5" s="338" customFormat="1" ht="15.75" customHeight="1">
      <c r="A4" s="709" t="s">
        <v>117</v>
      </c>
      <c r="B4" s="709"/>
      <c r="C4" s="709"/>
      <c r="D4" s="709"/>
      <c r="E4" s="709"/>
    </row>
    <row r="5" spans="1:5" s="338" customFormat="1" ht="15.75" customHeight="1">
      <c r="A5" s="709" t="s">
        <v>856</v>
      </c>
      <c r="B5" s="709"/>
      <c r="C5" s="709"/>
      <c r="D5" s="709"/>
      <c r="E5" s="709"/>
    </row>
    <row r="6" spans="1:5" s="338" customFormat="1" ht="15.75" customHeight="1">
      <c r="A6" s="709" t="s">
        <v>857</v>
      </c>
      <c r="B6" s="709"/>
      <c r="C6" s="709"/>
      <c r="D6" s="709"/>
      <c r="E6" s="709"/>
    </row>
    <row r="7" spans="1:5" s="338" customFormat="1" ht="15.75" customHeight="1">
      <c r="A7" s="489"/>
      <c r="B7" s="123"/>
      <c r="C7" s="490"/>
      <c r="D7" s="489"/>
      <c r="E7" s="345"/>
    </row>
    <row r="8" spans="1:5" s="338" customFormat="1" ht="12.75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25" customHeight="1">
      <c r="A9" s="492" t="s">
        <v>123</v>
      </c>
      <c r="B9" s="493" t="s">
        <v>124</v>
      </c>
      <c r="C9" s="494" t="s">
        <v>858</v>
      </c>
      <c r="D9" s="494" t="s">
        <v>859</v>
      </c>
      <c r="E9" s="495" t="s">
        <v>860</v>
      </c>
    </row>
    <row r="10" spans="1:5" s="338" customFormat="1" ht="12.75">
      <c r="A10" s="496"/>
      <c r="B10" s="497"/>
      <c r="C10" s="498"/>
      <c r="D10" s="498"/>
      <c r="E10" s="499"/>
    </row>
    <row r="11" spans="1:5" s="338" customFormat="1" ht="15.75" customHeight="1">
      <c r="A11" s="500" t="s">
        <v>127</v>
      </c>
      <c r="B11" s="501" t="s">
        <v>861</v>
      </c>
      <c r="C11" s="502"/>
      <c r="D11" s="491"/>
      <c r="E11" s="499"/>
    </row>
    <row r="12" spans="1:5" s="503" customFormat="1" ht="12.75">
      <c r="A12" s="504"/>
      <c r="B12" s="499"/>
      <c r="C12" s="505"/>
      <c r="D12" s="340"/>
      <c r="E12" s="499"/>
    </row>
    <row r="13" spans="1:5" s="506" customFormat="1" ht="12.75">
      <c r="A13" s="508" t="s">
        <v>129</v>
      </c>
      <c r="B13" s="509" t="s">
        <v>862</v>
      </c>
      <c r="C13" s="510"/>
      <c r="D13" s="340"/>
      <c r="E13" s="511"/>
    </row>
    <row r="14" spans="1:5" s="506" customFormat="1" ht="12.75">
      <c r="A14" s="512">
        <v>1</v>
      </c>
      <c r="B14" s="511" t="s">
        <v>738</v>
      </c>
      <c r="C14" s="513">
        <v>38542269</v>
      </c>
      <c r="D14" s="513">
        <v>40385831</v>
      </c>
      <c r="E14" s="514">
        <f aca="true" t="shared" si="0" ref="E14:E22">D14-C14</f>
        <v>1843562</v>
      </c>
    </row>
    <row r="15" spans="1:5" s="506" customFormat="1" ht="12.75">
      <c r="A15" s="512">
        <v>2</v>
      </c>
      <c r="B15" s="511" t="s">
        <v>717</v>
      </c>
      <c r="C15" s="513">
        <v>85170567</v>
      </c>
      <c r="D15" s="515">
        <v>80427776</v>
      </c>
      <c r="E15" s="514">
        <f t="shared" si="0"/>
        <v>-4742791</v>
      </c>
    </row>
    <row r="16" spans="1:5" s="506" customFormat="1" ht="12.75">
      <c r="A16" s="512">
        <v>3</v>
      </c>
      <c r="B16" s="511" t="s">
        <v>863</v>
      </c>
      <c r="C16" s="513">
        <v>8482915</v>
      </c>
      <c r="D16" s="515">
        <v>7490130</v>
      </c>
      <c r="E16" s="514">
        <f t="shared" si="0"/>
        <v>-992785</v>
      </c>
    </row>
    <row r="17" spans="1:5" s="506" customFormat="1" ht="12.75">
      <c r="A17" s="512">
        <v>4</v>
      </c>
      <c r="B17" s="511" t="s">
        <v>229</v>
      </c>
      <c r="C17" s="513">
        <v>8413551</v>
      </c>
      <c r="D17" s="515">
        <v>6734400</v>
      </c>
      <c r="E17" s="514">
        <f t="shared" si="0"/>
        <v>-1679151</v>
      </c>
    </row>
    <row r="18" spans="1:5" s="506" customFormat="1" ht="12.75">
      <c r="A18" s="512">
        <v>5</v>
      </c>
      <c r="B18" s="511" t="s">
        <v>830</v>
      </c>
      <c r="C18" s="513">
        <v>69364</v>
      </c>
      <c r="D18" s="515">
        <v>755730</v>
      </c>
      <c r="E18" s="514">
        <f t="shared" si="0"/>
        <v>686366</v>
      </c>
    </row>
    <row r="19" spans="1:5" s="506" customFormat="1" ht="12.75">
      <c r="A19" s="512">
        <v>6</v>
      </c>
      <c r="B19" s="511" t="s">
        <v>533</v>
      </c>
      <c r="C19" s="513">
        <v>109879</v>
      </c>
      <c r="D19" s="515">
        <v>46587</v>
      </c>
      <c r="E19" s="514">
        <f t="shared" si="0"/>
        <v>-63292</v>
      </c>
    </row>
    <row r="20" spans="1:5" s="506" customFormat="1" ht="12.75">
      <c r="A20" s="512">
        <v>7</v>
      </c>
      <c r="B20" s="511" t="s">
        <v>845</v>
      </c>
      <c r="C20" s="513">
        <v>2529704</v>
      </c>
      <c r="D20" s="515">
        <v>2605659</v>
      </c>
      <c r="E20" s="514">
        <f t="shared" si="0"/>
        <v>75955</v>
      </c>
    </row>
    <row r="21" spans="1:5" s="506" customFormat="1" ht="12.75">
      <c r="A21" s="512"/>
      <c r="B21" s="516" t="s">
        <v>864</v>
      </c>
      <c r="C21" s="517">
        <f>SUM(C15+C16+C19)</f>
        <v>93763361</v>
      </c>
      <c r="D21" s="517">
        <f>SUM(D15+D16+D19)</f>
        <v>87964493</v>
      </c>
      <c r="E21" s="517">
        <f t="shared" si="0"/>
        <v>-5798868</v>
      </c>
    </row>
    <row r="22" spans="1:5" s="506" customFormat="1" ht="12.75">
      <c r="A22" s="512"/>
      <c r="B22" s="516" t="s">
        <v>804</v>
      </c>
      <c r="C22" s="517">
        <f>SUM(C14+C21)</f>
        <v>132305630</v>
      </c>
      <c r="D22" s="517">
        <f>SUM(D14+D21)</f>
        <v>128350324</v>
      </c>
      <c r="E22" s="517">
        <f t="shared" si="0"/>
        <v>-3955306</v>
      </c>
    </row>
    <row r="23" spans="1:5" s="506" customFormat="1" ht="12.75">
      <c r="A23" s="512"/>
      <c r="B23" s="511"/>
      <c r="C23" s="511"/>
      <c r="D23" s="511"/>
      <c r="E23" s="511"/>
    </row>
    <row r="24" spans="1:5" s="506" customFormat="1" ht="12.75">
      <c r="A24" s="508" t="s">
        <v>141</v>
      </c>
      <c r="B24" s="509" t="s">
        <v>865</v>
      </c>
      <c r="C24" s="511"/>
      <c r="D24" s="511"/>
      <c r="E24" s="511"/>
    </row>
    <row r="25" spans="1:5" s="506" customFormat="1" ht="12.75">
      <c r="A25" s="512">
        <v>1</v>
      </c>
      <c r="B25" s="511" t="s">
        <v>738</v>
      </c>
      <c r="C25" s="513">
        <v>54459439</v>
      </c>
      <c r="D25" s="513">
        <v>54681379</v>
      </c>
      <c r="E25" s="514">
        <f aca="true" t="shared" si="1" ref="E25:E33">D25-C25</f>
        <v>221940</v>
      </c>
    </row>
    <row r="26" spans="1:5" s="506" customFormat="1" ht="12.75">
      <c r="A26" s="512">
        <v>2</v>
      </c>
      <c r="B26" s="511" t="s">
        <v>717</v>
      </c>
      <c r="C26" s="513">
        <v>26676091</v>
      </c>
      <c r="D26" s="515">
        <v>25008398</v>
      </c>
      <c r="E26" s="514">
        <f t="shared" si="1"/>
        <v>-1667693</v>
      </c>
    </row>
    <row r="27" spans="1:5" s="506" customFormat="1" ht="12.75">
      <c r="A27" s="512">
        <v>3</v>
      </c>
      <c r="B27" s="511" t="s">
        <v>863</v>
      </c>
      <c r="C27" s="513">
        <v>8774466</v>
      </c>
      <c r="D27" s="515">
        <v>10865763</v>
      </c>
      <c r="E27" s="514">
        <f t="shared" si="1"/>
        <v>2091297</v>
      </c>
    </row>
    <row r="28" spans="1:5" s="506" customFormat="1" ht="12.75">
      <c r="A28" s="512">
        <v>4</v>
      </c>
      <c r="B28" s="511" t="s">
        <v>229</v>
      </c>
      <c r="C28" s="513">
        <v>8704215</v>
      </c>
      <c r="D28" s="515">
        <v>8750141</v>
      </c>
      <c r="E28" s="514">
        <f t="shared" si="1"/>
        <v>45926</v>
      </c>
    </row>
    <row r="29" spans="1:5" s="506" customFormat="1" ht="12.75">
      <c r="A29" s="512">
        <v>5</v>
      </c>
      <c r="B29" s="511" t="s">
        <v>830</v>
      </c>
      <c r="C29" s="513">
        <v>70251</v>
      </c>
      <c r="D29" s="515">
        <v>2115622</v>
      </c>
      <c r="E29" s="514">
        <f t="shared" si="1"/>
        <v>2045371</v>
      </c>
    </row>
    <row r="30" spans="1:5" s="506" customFormat="1" ht="12.75">
      <c r="A30" s="512">
        <v>6</v>
      </c>
      <c r="B30" s="511" t="s">
        <v>533</v>
      </c>
      <c r="C30" s="513">
        <v>162128</v>
      </c>
      <c r="D30" s="515">
        <v>233699</v>
      </c>
      <c r="E30" s="514">
        <f t="shared" si="1"/>
        <v>71571</v>
      </c>
    </row>
    <row r="31" spans="1:5" s="506" customFormat="1" ht="12.75">
      <c r="A31" s="512">
        <v>7</v>
      </c>
      <c r="B31" s="511" t="s">
        <v>845</v>
      </c>
      <c r="C31" s="514">
        <v>4252320</v>
      </c>
      <c r="D31" s="518">
        <v>5204794</v>
      </c>
      <c r="E31" s="514">
        <f t="shared" si="1"/>
        <v>952474</v>
      </c>
    </row>
    <row r="32" spans="1:5" s="506" customFormat="1" ht="12.75">
      <c r="A32" s="512"/>
      <c r="B32" s="516" t="s">
        <v>866</v>
      </c>
      <c r="C32" s="517">
        <f>SUM(C26+C27+C30)</f>
        <v>35612685</v>
      </c>
      <c r="D32" s="517">
        <f>SUM(D26+D27+D30)</f>
        <v>36107860</v>
      </c>
      <c r="E32" s="517">
        <f t="shared" si="1"/>
        <v>495175</v>
      </c>
    </row>
    <row r="33" spans="1:5" s="506" customFormat="1" ht="12.75">
      <c r="A33" s="512"/>
      <c r="B33" s="516" t="s">
        <v>810</v>
      </c>
      <c r="C33" s="517">
        <f>SUM(C25+C32)</f>
        <v>90072124</v>
      </c>
      <c r="D33" s="517">
        <f>SUM(D25+D32)</f>
        <v>90789239</v>
      </c>
      <c r="E33" s="517">
        <f t="shared" si="1"/>
        <v>717115</v>
      </c>
    </row>
    <row r="34" spans="1:5" s="506" customFormat="1" ht="12.75">
      <c r="A34" s="512"/>
      <c r="B34" s="511"/>
      <c r="C34" s="511"/>
      <c r="D34" s="511"/>
      <c r="E34" s="511"/>
    </row>
    <row r="35" spans="1:5" s="506" customFormat="1" ht="12.75">
      <c r="A35" s="508" t="s">
        <v>151</v>
      </c>
      <c r="B35" s="509" t="s">
        <v>735</v>
      </c>
      <c r="C35" s="514"/>
      <c r="D35" s="514"/>
      <c r="E35" s="511"/>
    </row>
    <row r="36" spans="1:5" s="506" customFormat="1" ht="12.75">
      <c r="A36" s="512">
        <v>1</v>
      </c>
      <c r="B36" s="511" t="s">
        <v>867</v>
      </c>
      <c r="C36" s="514">
        <f aca="true" t="shared" si="2" ref="C36:D42">C14+C25</f>
        <v>93001708</v>
      </c>
      <c r="D36" s="514">
        <f t="shared" si="2"/>
        <v>95067210</v>
      </c>
      <c r="E36" s="514">
        <f aca="true" t="shared" si="3" ref="E36:E44">D36-C36</f>
        <v>2065502</v>
      </c>
    </row>
    <row r="37" spans="1:5" s="506" customFormat="1" ht="12.75">
      <c r="A37" s="512">
        <v>2</v>
      </c>
      <c r="B37" s="511" t="s">
        <v>868</v>
      </c>
      <c r="C37" s="514">
        <f t="shared" si="2"/>
        <v>111846658</v>
      </c>
      <c r="D37" s="514">
        <f t="shared" si="2"/>
        <v>105436174</v>
      </c>
      <c r="E37" s="514">
        <f t="shared" si="3"/>
        <v>-6410484</v>
      </c>
    </row>
    <row r="38" spans="1:5" s="506" customFormat="1" ht="12.75">
      <c r="A38" s="512">
        <v>3</v>
      </c>
      <c r="B38" s="511" t="s">
        <v>869</v>
      </c>
      <c r="C38" s="514">
        <f t="shared" si="2"/>
        <v>17257381</v>
      </c>
      <c r="D38" s="514">
        <f t="shared" si="2"/>
        <v>18355893</v>
      </c>
      <c r="E38" s="514">
        <f t="shared" si="3"/>
        <v>1098512</v>
      </c>
    </row>
    <row r="39" spans="1:5" s="506" customFormat="1" ht="12.75">
      <c r="A39" s="512">
        <v>4</v>
      </c>
      <c r="B39" s="511" t="s">
        <v>870</v>
      </c>
      <c r="C39" s="514">
        <f t="shared" si="2"/>
        <v>17117766</v>
      </c>
      <c r="D39" s="514">
        <f t="shared" si="2"/>
        <v>15484541</v>
      </c>
      <c r="E39" s="514">
        <f t="shared" si="3"/>
        <v>-1633225</v>
      </c>
    </row>
    <row r="40" spans="1:5" s="506" customFormat="1" ht="12.75">
      <c r="A40" s="512">
        <v>5</v>
      </c>
      <c r="B40" s="511" t="s">
        <v>871</v>
      </c>
      <c r="C40" s="514">
        <f t="shared" si="2"/>
        <v>139615</v>
      </c>
      <c r="D40" s="514">
        <f t="shared" si="2"/>
        <v>2871352</v>
      </c>
      <c r="E40" s="514">
        <f t="shared" si="3"/>
        <v>2731737</v>
      </c>
    </row>
    <row r="41" spans="1:5" s="506" customFormat="1" ht="12.75">
      <c r="A41" s="512">
        <v>6</v>
      </c>
      <c r="B41" s="511" t="s">
        <v>872</v>
      </c>
      <c r="C41" s="514">
        <f t="shared" si="2"/>
        <v>272007</v>
      </c>
      <c r="D41" s="514">
        <f t="shared" si="2"/>
        <v>280286</v>
      </c>
      <c r="E41" s="514">
        <f t="shared" si="3"/>
        <v>8279</v>
      </c>
    </row>
    <row r="42" spans="1:5" s="506" customFormat="1" ht="12.75">
      <c r="A42" s="512">
        <v>7</v>
      </c>
      <c r="B42" s="511" t="s">
        <v>873</v>
      </c>
      <c r="C42" s="514">
        <f t="shared" si="2"/>
        <v>6782024</v>
      </c>
      <c r="D42" s="514">
        <f t="shared" si="2"/>
        <v>7810453</v>
      </c>
      <c r="E42" s="514">
        <f t="shared" si="3"/>
        <v>1028429</v>
      </c>
    </row>
    <row r="43" spans="1:5" s="506" customFormat="1" ht="12.75">
      <c r="A43" s="512"/>
      <c r="B43" s="516" t="s">
        <v>874</v>
      </c>
      <c r="C43" s="517">
        <f>SUM(C37+C38+C41)</f>
        <v>129376046</v>
      </c>
      <c r="D43" s="517">
        <f>SUM(D37+D38+D41)</f>
        <v>124072353</v>
      </c>
      <c r="E43" s="517">
        <f t="shared" si="3"/>
        <v>-5303693</v>
      </c>
    </row>
    <row r="44" spans="1:5" s="506" customFormat="1" ht="12.75">
      <c r="A44" s="512"/>
      <c r="B44" s="516" t="s">
        <v>812</v>
      </c>
      <c r="C44" s="517">
        <f>SUM(C36+C43)</f>
        <v>222377754</v>
      </c>
      <c r="D44" s="517">
        <f>SUM(D36+D43)</f>
        <v>219139563</v>
      </c>
      <c r="E44" s="517">
        <f t="shared" si="3"/>
        <v>-3238191</v>
      </c>
    </row>
    <row r="45" spans="1:5" s="506" customFormat="1" ht="12.75">
      <c r="A45" s="512"/>
      <c r="B45" s="511"/>
      <c r="C45" s="514"/>
      <c r="D45" s="515"/>
      <c r="E45" s="511"/>
    </row>
    <row r="46" spans="1:5" s="506" customFormat="1" ht="12.75">
      <c r="A46" s="508" t="s">
        <v>436</v>
      </c>
      <c r="B46" s="509" t="s">
        <v>875</v>
      </c>
      <c r="C46" s="499"/>
      <c r="D46" s="515"/>
      <c r="E46" s="511"/>
    </row>
    <row r="47" spans="1:5" s="506" customFormat="1" ht="12" customHeight="1">
      <c r="A47" s="512">
        <v>1</v>
      </c>
      <c r="B47" s="511" t="s">
        <v>738</v>
      </c>
      <c r="C47" s="513">
        <v>15449660</v>
      </c>
      <c r="D47" s="513">
        <v>15819603</v>
      </c>
      <c r="E47" s="514">
        <f aca="true" t="shared" si="4" ref="E47:E55">D47-C47</f>
        <v>369943</v>
      </c>
    </row>
    <row r="48" spans="1:5" s="506" customFormat="1" ht="12.75">
      <c r="A48" s="512">
        <v>2</v>
      </c>
      <c r="B48" s="511" t="s">
        <v>717</v>
      </c>
      <c r="C48" s="513">
        <v>26912329</v>
      </c>
      <c r="D48" s="515">
        <v>25602331</v>
      </c>
      <c r="E48" s="514">
        <f t="shared" si="4"/>
        <v>-1309998</v>
      </c>
    </row>
    <row r="49" spans="1:5" s="506" customFormat="1" ht="12.75">
      <c r="A49" s="512">
        <v>3</v>
      </c>
      <c r="B49" s="511" t="s">
        <v>863</v>
      </c>
      <c r="C49" s="513">
        <v>1864549</v>
      </c>
      <c r="D49" s="515">
        <v>1540572</v>
      </c>
      <c r="E49" s="514">
        <f t="shared" si="4"/>
        <v>-323977</v>
      </c>
    </row>
    <row r="50" spans="1:5" s="506" customFormat="1" ht="12.75">
      <c r="A50" s="512">
        <v>4</v>
      </c>
      <c r="B50" s="511" t="s">
        <v>229</v>
      </c>
      <c r="C50" s="513">
        <v>1837748</v>
      </c>
      <c r="D50" s="515">
        <v>1481372</v>
      </c>
      <c r="E50" s="514">
        <f t="shared" si="4"/>
        <v>-356376</v>
      </c>
    </row>
    <row r="51" spans="1:5" s="506" customFormat="1" ht="12.75">
      <c r="A51" s="512">
        <v>5</v>
      </c>
      <c r="B51" s="511" t="s">
        <v>830</v>
      </c>
      <c r="C51" s="513">
        <v>26801</v>
      </c>
      <c r="D51" s="515">
        <v>59200</v>
      </c>
      <c r="E51" s="514">
        <f t="shared" si="4"/>
        <v>32399</v>
      </c>
    </row>
    <row r="52" spans="1:5" s="506" customFormat="1" ht="12.75">
      <c r="A52" s="512">
        <v>6</v>
      </c>
      <c r="B52" s="511" t="s">
        <v>533</v>
      </c>
      <c r="C52" s="513">
        <v>37229</v>
      </c>
      <c r="D52" s="515">
        <v>9600</v>
      </c>
      <c r="E52" s="514">
        <f t="shared" si="4"/>
        <v>-27629</v>
      </c>
    </row>
    <row r="53" spans="1:5" s="506" customFormat="1" ht="12.75">
      <c r="A53" s="512">
        <v>7</v>
      </c>
      <c r="B53" s="511" t="s">
        <v>845</v>
      </c>
      <c r="C53" s="513">
        <v>570962</v>
      </c>
      <c r="D53" s="515">
        <v>188048</v>
      </c>
      <c r="E53" s="514">
        <f t="shared" si="4"/>
        <v>-382914</v>
      </c>
    </row>
    <row r="54" spans="1:5" s="506" customFormat="1" ht="12.75">
      <c r="A54" s="512"/>
      <c r="B54" s="516" t="s">
        <v>876</v>
      </c>
      <c r="C54" s="517">
        <f>SUM(C48+C49+C52)</f>
        <v>28814107</v>
      </c>
      <c r="D54" s="517">
        <f>SUM(D48+D49+D52)</f>
        <v>27152503</v>
      </c>
      <c r="E54" s="517">
        <f t="shared" si="4"/>
        <v>-1661604</v>
      </c>
    </row>
    <row r="55" spans="1:5" s="506" customFormat="1" ht="12.75">
      <c r="A55" s="512"/>
      <c r="B55" s="516" t="s">
        <v>805</v>
      </c>
      <c r="C55" s="517">
        <f>SUM(C47+C54)</f>
        <v>44263767</v>
      </c>
      <c r="D55" s="517">
        <f>SUM(D47+D54)</f>
        <v>42972106</v>
      </c>
      <c r="E55" s="517">
        <f t="shared" si="4"/>
        <v>-1291661</v>
      </c>
    </row>
    <row r="56" spans="1:5" s="506" customFormat="1" ht="12.75">
      <c r="A56" s="512"/>
      <c r="B56" s="511"/>
      <c r="C56" s="511"/>
      <c r="D56" s="515"/>
      <c r="E56" s="511"/>
    </row>
    <row r="57" spans="1:5" s="506" customFormat="1" ht="12.75">
      <c r="A57" s="508" t="s">
        <v>457</v>
      </c>
      <c r="B57" s="509" t="s">
        <v>877</v>
      </c>
      <c r="C57" s="499"/>
      <c r="D57" s="515"/>
      <c r="E57" s="511"/>
    </row>
    <row r="58" spans="1:5" s="506" customFormat="1" ht="12.75">
      <c r="A58" s="512">
        <v>1</v>
      </c>
      <c r="B58" s="511" t="s">
        <v>738</v>
      </c>
      <c r="C58" s="513">
        <v>23795887</v>
      </c>
      <c r="D58" s="513">
        <v>22280688</v>
      </c>
      <c r="E58" s="514">
        <f aca="true" t="shared" si="5" ref="E58:E66">D58-C58</f>
        <v>-1515199</v>
      </c>
    </row>
    <row r="59" spans="1:5" s="506" customFormat="1" ht="12.75">
      <c r="A59" s="512">
        <v>2</v>
      </c>
      <c r="B59" s="511" t="s">
        <v>717</v>
      </c>
      <c r="C59" s="513">
        <v>7101638</v>
      </c>
      <c r="D59" s="515">
        <v>6242107</v>
      </c>
      <c r="E59" s="514">
        <f t="shared" si="5"/>
        <v>-859531</v>
      </c>
    </row>
    <row r="60" spans="1:5" s="506" customFormat="1" ht="12.75">
      <c r="A60" s="512">
        <v>3</v>
      </c>
      <c r="B60" s="511" t="s">
        <v>863</v>
      </c>
      <c r="C60" s="513">
        <f>C61+C62</f>
        <v>1572091</v>
      </c>
      <c r="D60" s="515">
        <f>D61+D62</f>
        <v>2052438</v>
      </c>
      <c r="E60" s="514">
        <f t="shared" si="5"/>
        <v>480347</v>
      </c>
    </row>
    <row r="61" spans="1:5" s="506" customFormat="1" ht="12.75">
      <c r="A61" s="512">
        <v>4</v>
      </c>
      <c r="B61" s="511" t="s">
        <v>229</v>
      </c>
      <c r="C61" s="513">
        <v>1537726</v>
      </c>
      <c r="D61" s="515">
        <v>1808365</v>
      </c>
      <c r="E61" s="514">
        <f t="shared" si="5"/>
        <v>270639</v>
      </c>
    </row>
    <row r="62" spans="1:5" s="506" customFormat="1" ht="12.75">
      <c r="A62" s="512">
        <v>5</v>
      </c>
      <c r="B62" s="511" t="s">
        <v>830</v>
      </c>
      <c r="C62" s="513">
        <v>34365</v>
      </c>
      <c r="D62" s="515">
        <v>244073</v>
      </c>
      <c r="E62" s="514">
        <f t="shared" si="5"/>
        <v>209708</v>
      </c>
    </row>
    <row r="63" spans="1:5" s="506" customFormat="1" ht="12.75">
      <c r="A63" s="512">
        <v>6</v>
      </c>
      <c r="B63" s="511" t="s">
        <v>533</v>
      </c>
      <c r="C63" s="513">
        <v>74359</v>
      </c>
      <c r="D63" s="515">
        <v>103943</v>
      </c>
      <c r="E63" s="514">
        <f t="shared" si="5"/>
        <v>29584</v>
      </c>
    </row>
    <row r="64" spans="1:5" s="506" customFormat="1" ht="12.75">
      <c r="A64" s="512">
        <v>7</v>
      </c>
      <c r="B64" s="511" t="s">
        <v>845</v>
      </c>
      <c r="C64" s="513">
        <v>1183976</v>
      </c>
      <c r="D64" s="515">
        <v>462477</v>
      </c>
      <c r="E64" s="514">
        <f t="shared" si="5"/>
        <v>-721499</v>
      </c>
    </row>
    <row r="65" spans="1:5" s="506" customFormat="1" ht="12.75">
      <c r="A65" s="512"/>
      <c r="B65" s="516" t="s">
        <v>878</v>
      </c>
      <c r="C65" s="517">
        <f>SUM(C59+C60+C63)</f>
        <v>8748088</v>
      </c>
      <c r="D65" s="517">
        <f>SUM(D59+D60+D63)</f>
        <v>8398488</v>
      </c>
      <c r="E65" s="517">
        <f t="shared" si="5"/>
        <v>-349600</v>
      </c>
    </row>
    <row r="66" spans="1:5" s="506" customFormat="1" ht="12.75">
      <c r="A66" s="512"/>
      <c r="B66" s="516" t="s">
        <v>811</v>
      </c>
      <c r="C66" s="517">
        <f>SUM(C58+C65)</f>
        <v>32543975</v>
      </c>
      <c r="D66" s="517">
        <f>SUM(D58+D65)</f>
        <v>30679176</v>
      </c>
      <c r="E66" s="517">
        <f t="shared" si="5"/>
        <v>-1864799</v>
      </c>
    </row>
    <row r="67" spans="1:5" ht="11.25" customHeight="1">
      <c r="A67" s="502"/>
      <c r="B67" s="519"/>
      <c r="C67" s="520"/>
      <c r="D67" s="520"/>
      <c r="E67" s="520"/>
    </row>
    <row r="68" spans="1:5" s="506" customFormat="1" ht="12.75">
      <c r="A68" s="508" t="s">
        <v>469</v>
      </c>
      <c r="B68" s="521" t="s">
        <v>736</v>
      </c>
      <c r="C68" s="511"/>
      <c r="D68" s="511"/>
      <c r="E68" s="511"/>
    </row>
    <row r="69" spans="1:5" s="506" customFormat="1" ht="12.75">
      <c r="A69" s="512">
        <v>1</v>
      </c>
      <c r="B69" s="511" t="s">
        <v>867</v>
      </c>
      <c r="C69" s="514">
        <f aca="true" t="shared" si="6" ref="C69:D75">C47+C58</f>
        <v>39245547</v>
      </c>
      <c r="D69" s="514">
        <f t="shared" si="6"/>
        <v>38100291</v>
      </c>
      <c r="E69" s="514">
        <f aca="true" t="shared" si="7" ref="E69:E77">D69-C69</f>
        <v>-1145256</v>
      </c>
    </row>
    <row r="70" spans="1:5" s="506" customFormat="1" ht="12.75">
      <c r="A70" s="512">
        <v>2</v>
      </c>
      <c r="B70" s="511" t="s">
        <v>868</v>
      </c>
      <c r="C70" s="514">
        <f t="shared" si="6"/>
        <v>34013967</v>
      </c>
      <c r="D70" s="514">
        <f t="shared" si="6"/>
        <v>31844438</v>
      </c>
      <c r="E70" s="514">
        <f t="shared" si="7"/>
        <v>-2169529</v>
      </c>
    </row>
    <row r="71" spans="1:5" s="506" customFormat="1" ht="12.75">
      <c r="A71" s="512">
        <v>3</v>
      </c>
      <c r="B71" s="511" t="s">
        <v>869</v>
      </c>
      <c r="C71" s="514">
        <f t="shared" si="6"/>
        <v>3436640</v>
      </c>
      <c r="D71" s="514">
        <f t="shared" si="6"/>
        <v>3593010</v>
      </c>
      <c r="E71" s="514">
        <f t="shared" si="7"/>
        <v>156370</v>
      </c>
    </row>
    <row r="72" spans="1:5" s="506" customFormat="1" ht="12.75">
      <c r="A72" s="512">
        <v>4</v>
      </c>
      <c r="B72" s="511" t="s">
        <v>870</v>
      </c>
      <c r="C72" s="514">
        <f t="shared" si="6"/>
        <v>3375474</v>
      </c>
      <c r="D72" s="514">
        <f t="shared" si="6"/>
        <v>3289737</v>
      </c>
      <c r="E72" s="514">
        <f t="shared" si="7"/>
        <v>-85737</v>
      </c>
    </row>
    <row r="73" spans="1:5" s="506" customFormat="1" ht="12.75">
      <c r="A73" s="512">
        <v>5</v>
      </c>
      <c r="B73" s="511" t="s">
        <v>871</v>
      </c>
      <c r="C73" s="514">
        <f t="shared" si="6"/>
        <v>61166</v>
      </c>
      <c r="D73" s="514">
        <f t="shared" si="6"/>
        <v>303273</v>
      </c>
      <c r="E73" s="514">
        <f t="shared" si="7"/>
        <v>242107</v>
      </c>
    </row>
    <row r="74" spans="1:5" s="506" customFormat="1" ht="12.75">
      <c r="A74" s="512">
        <v>6</v>
      </c>
      <c r="B74" s="511" t="s">
        <v>872</v>
      </c>
      <c r="C74" s="514">
        <f t="shared" si="6"/>
        <v>111588</v>
      </c>
      <c r="D74" s="514">
        <f t="shared" si="6"/>
        <v>113543</v>
      </c>
      <c r="E74" s="514">
        <f t="shared" si="7"/>
        <v>1955</v>
      </c>
    </row>
    <row r="75" spans="1:5" s="506" customFormat="1" ht="12.75">
      <c r="A75" s="512">
        <v>7</v>
      </c>
      <c r="B75" s="511" t="s">
        <v>873</v>
      </c>
      <c r="C75" s="514">
        <f t="shared" si="6"/>
        <v>1754938</v>
      </c>
      <c r="D75" s="514">
        <f t="shared" si="6"/>
        <v>650525</v>
      </c>
      <c r="E75" s="514">
        <f t="shared" si="7"/>
        <v>-1104413</v>
      </c>
    </row>
    <row r="76" spans="1:5" s="506" customFormat="1" ht="12.75">
      <c r="A76" s="512"/>
      <c r="B76" s="516" t="s">
        <v>879</v>
      </c>
      <c r="C76" s="517">
        <f>SUM(C70+C71+C74)</f>
        <v>37562195</v>
      </c>
      <c r="D76" s="517">
        <f>SUM(D70+D71+D74)</f>
        <v>35550991</v>
      </c>
      <c r="E76" s="517">
        <f t="shared" si="7"/>
        <v>-2011204</v>
      </c>
    </row>
    <row r="77" spans="1:5" s="506" customFormat="1" ht="12.75">
      <c r="A77" s="512"/>
      <c r="B77" s="516" t="s">
        <v>813</v>
      </c>
      <c r="C77" s="517">
        <f>SUM(C69+C76)</f>
        <v>76807742</v>
      </c>
      <c r="D77" s="517">
        <f>SUM(D69+D76)</f>
        <v>73651282</v>
      </c>
      <c r="E77" s="517">
        <f t="shared" si="7"/>
        <v>-3156460</v>
      </c>
    </row>
    <row r="78" spans="1:5" s="506" customFormat="1" ht="12.75">
      <c r="A78" s="505"/>
      <c r="B78" s="510"/>
      <c r="C78" s="491"/>
      <c r="D78" s="491"/>
      <c r="E78" s="511"/>
    </row>
    <row r="79" spans="1:5" s="506" customFormat="1" ht="15.75" customHeight="1">
      <c r="A79" s="500" t="s">
        <v>159</v>
      </c>
      <c r="B79" s="501" t="s">
        <v>880</v>
      </c>
      <c r="C79" s="340"/>
      <c r="D79" s="340"/>
      <c r="E79" s="511"/>
    </row>
    <row r="80" spans="1:5" s="506" customFormat="1" ht="12.75">
      <c r="A80" s="505"/>
      <c r="B80" s="510"/>
      <c r="C80" s="340"/>
      <c r="D80" s="340"/>
      <c r="E80" s="511"/>
    </row>
    <row r="81" spans="1:5" s="506" customFormat="1" ht="12.75">
      <c r="A81" s="508" t="s">
        <v>129</v>
      </c>
      <c r="B81" s="522" t="s">
        <v>881</v>
      </c>
      <c r="C81" s="510"/>
      <c r="D81" s="510"/>
      <c r="E81" s="511"/>
    </row>
    <row r="82" spans="1:5" s="506" customFormat="1" ht="12.75">
      <c r="A82" s="512"/>
      <c r="B82" s="511"/>
      <c r="C82" s="514"/>
      <c r="D82" s="514"/>
      <c r="E82" s="511"/>
    </row>
    <row r="83" spans="1:5" s="506" customFormat="1" ht="12.75">
      <c r="A83" s="512">
        <v>1</v>
      </c>
      <c r="B83" s="511" t="s">
        <v>738</v>
      </c>
      <c r="C83" s="523">
        <f aca="true" t="shared" si="8" ref="C83:D89">IF(C$44=0,0,C14/C$44)</f>
        <v>0.1733189058110552</v>
      </c>
      <c r="D83" s="523">
        <f t="shared" si="8"/>
        <v>0.1842927422466385</v>
      </c>
      <c r="E83" s="523">
        <f aca="true" t="shared" si="9" ref="E83:E91">D83-C83</f>
        <v>0.010973836435583306</v>
      </c>
    </row>
    <row r="84" spans="1:5" s="506" customFormat="1" ht="12.75">
      <c r="A84" s="512">
        <v>2</v>
      </c>
      <c r="B84" s="511" t="s">
        <v>717</v>
      </c>
      <c r="C84" s="523">
        <f t="shared" si="8"/>
        <v>0.3829994928359606</v>
      </c>
      <c r="D84" s="523">
        <f t="shared" si="8"/>
        <v>0.3670162288313042</v>
      </c>
      <c r="E84" s="523">
        <f t="shared" si="9"/>
        <v>-0.015983264004656383</v>
      </c>
    </row>
    <row r="85" spans="1:5" s="506" customFormat="1" ht="12.75">
      <c r="A85" s="512">
        <v>3</v>
      </c>
      <c r="B85" s="511" t="s">
        <v>863</v>
      </c>
      <c r="C85" s="523">
        <f t="shared" si="8"/>
        <v>0.03814641908830503</v>
      </c>
      <c r="D85" s="523">
        <f t="shared" si="8"/>
        <v>0.03417972500018173</v>
      </c>
      <c r="E85" s="523">
        <f t="shared" si="9"/>
        <v>-0.0039666940881233</v>
      </c>
    </row>
    <row r="86" spans="1:5" s="506" customFormat="1" ht="12.75">
      <c r="A86" s="512">
        <v>4</v>
      </c>
      <c r="B86" s="511" t="s">
        <v>229</v>
      </c>
      <c r="C86" s="523">
        <f t="shared" si="8"/>
        <v>0.037834499398712335</v>
      </c>
      <c r="D86" s="523">
        <f t="shared" si="8"/>
        <v>0.030731100800817056</v>
      </c>
      <c r="E86" s="523">
        <f t="shared" si="9"/>
        <v>-0.007103398597895279</v>
      </c>
    </row>
    <row r="87" spans="1:5" s="506" customFormat="1" ht="12.75">
      <c r="A87" s="512">
        <v>5</v>
      </c>
      <c r="B87" s="511" t="s">
        <v>830</v>
      </c>
      <c r="C87" s="523">
        <f t="shared" si="8"/>
        <v>0.0003119196895926919</v>
      </c>
      <c r="D87" s="523">
        <f t="shared" si="8"/>
        <v>0.003448624199364676</v>
      </c>
      <c r="E87" s="523">
        <f t="shared" si="9"/>
        <v>0.0031367045097719843</v>
      </c>
    </row>
    <row r="88" spans="1:5" s="506" customFormat="1" ht="12.75">
      <c r="A88" s="512">
        <v>6</v>
      </c>
      <c r="B88" s="511" t="s">
        <v>533</v>
      </c>
      <c r="C88" s="523">
        <f t="shared" si="8"/>
        <v>0.0004941096760964678</v>
      </c>
      <c r="D88" s="523">
        <f t="shared" si="8"/>
        <v>0.00021259054897357807</v>
      </c>
      <c r="E88" s="523">
        <f t="shared" si="9"/>
        <v>-0.00028151912712288973</v>
      </c>
    </row>
    <row r="89" spans="1:5" s="506" customFormat="1" ht="12.75">
      <c r="A89" s="512">
        <v>7</v>
      </c>
      <c r="B89" s="511" t="s">
        <v>845</v>
      </c>
      <c r="C89" s="523">
        <f t="shared" si="8"/>
        <v>0.011375706222844575</v>
      </c>
      <c r="D89" s="523">
        <f t="shared" si="8"/>
        <v>0.01189040885328406</v>
      </c>
      <c r="E89" s="523">
        <f t="shared" si="9"/>
        <v>0.0005147026304394842</v>
      </c>
    </row>
    <row r="90" spans="1:5" s="506" customFormat="1" ht="12.75">
      <c r="A90" s="512"/>
      <c r="B90" s="516" t="s">
        <v>882</v>
      </c>
      <c r="C90" s="524">
        <f>SUM(C84+C85+C88)</f>
        <v>0.42164002160036207</v>
      </c>
      <c r="D90" s="524">
        <f>SUM(D84+D85+D88)</f>
        <v>0.40140854438045953</v>
      </c>
      <c r="E90" s="525">
        <f t="shared" si="9"/>
        <v>-0.02023147721990254</v>
      </c>
    </row>
    <row r="91" spans="1:5" s="506" customFormat="1" ht="12.75">
      <c r="A91" s="512"/>
      <c r="B91" s="516" t="s">
        <v>883</v>
      </c>
      <c r="C91" s="524">
        <f>SUM(C83+C90)</f>
        <v>0.5949589274114173</v>
      </c>
      <c r="D91" s="524">
        <f>SUM(D83+D90)</f>
        <v>0.5857012866270981</v>
      </c>
      <c r="E91" s="525">
        <f t="shared" si="9"/>
        <v>-0.009257640784319232</v>
      </c>
    </row>
    <row r="92" spans="1:5" s="506" customFormat="1" ht="12.75">
      <c r="A92" s="512"/>
      <c r="B92" s="499"/>
      <c r="C92" s="526"/>
      <c r="D92" s="526"/>
      <c r="E92" s="516"/>
    </row>
    <row r="93" spans="1:5" s="506" customFormat="1" ht="12.75">
      <c r="A93" s="508" t="s">
        <v>141</v>
      </c>
      <c r="B93" s="522" t="s">
        <v>884</v>
      </c>
      <c r="C93" s="526"/>
      <c r="D93" s="526"/>
      <c r="E93" s="516"/>
    </row>
    <row r="94" spans="1:5" s="506" customFormat="1" ht="12.75">
      <c r="A94" s="512"/>
      <c r="B94" s="511"/>
      <c r="C94" s="526"/>
      <c r="D94" s="526"/>
      <c r="E94" s="516"/>
    </row>
    <row r="95" spans="1:5" s="506" customFormat="1" ht="12.75">
      <c r="A95" s="512">
        <v>1</v>
      </c>
      <c r="B95" s="511" t="s">
        <v>738</v>
      </c>
      <c r="C95" s="523">
        <f aca="true" t="shared" si="10" ref="C95:D101">IF(C$44=0,0,C25/C$44)</f>
        <v>0.24489607445176373</v>
      </c>
      <c r="D95" s="523">
        <f t="shared" si="10"/>
        <v>0.2495276446270909</v>
      </c>
      <c r="E95" s="523">
        <f aca="true" t="shared" si="11" ref="E95:E103">D95-C95</f>
        <v>0.004631570175327171</v>
      </c>
    </row>
    <row r="96" spans="1:5" s="506" customFormat="1" ht="12.75">
      <c r="A96" s="512">
        <v>2</v>
      </c>
      <c r="B96" s="511" t="s">
        <v>717</v>
      </c>
      <c r="C96" s="523">
        <f t="shared" si="10"/>
        <v>0.11995845141956062</v>
      </c>
      <c r="D96" s="523">
        <f t="shared" si="10"/>
        <v>0.11412087191211566</v>
      </c>
      <c r="E96" s="523">
        <f t="shared" si="11"/>
        <v>-0.005837579507444957</v>
      </c>
    </row>
    <row r="97" spans="1:5" s="506" customFormat="1" ht="12.75">
      <c r="A97" s="512">
        <v>3</v>
      </c>
      <c r="B97" s="511" t="s">
        <v>863</v>
      </c>
      <c r="C97" s="523">
        <f t="shared" si="10"/>
        <v>0.039457480985260786</v>
      </c>
      <c r="D97" s="523">
        <f t="shared" si="10"/>
        <v>0.049583757726120864</v>
      </c>
      <c r="E97" s="523">
        <f t="shared" si="11"/>
        <v>0.010126276740860078</v>
      </c>
    </row>
    <row r="98" spans="1:5" s="506" customFormat="1" ht="12.75">
      <c r="A98" s="512">
        <v>4</v>
      </c>
      <c r="B98" s="511" t="s">
        <v>229</v>
      </c>
      <c r="C98" s="523">
        <f t="shared" si="10"/>
        <v>0.03914157258733713</v>
      </c>
      <c r="D98" s="523">
        <f t="shared" si="10"/>
        <v>0.03992953568133199</v>
      </c>
      <c r="E98" s="523">
        <f t="shared" si="11"/>
        <v>0.0007879630939948631</v>
      </c>
    </row>
    <row r="99" spans="1:5" s="506" customFormat="1" ht="12.75">
      <c r="A99" s="512">
        <v>5</v>
      </c>
      <c r="B99" s="511" t="s">
        <v>830</v>
      </c>
      <c r="C99" s="523">
        <f t="shared" si="10"/>
        <v>0.00031590839792365204</v>
      </c>
      <c r="D99" s="523">
        <f t="shared" si="10"/>
        <v>0.009654222044788873</v>
      </c>
      <c r="E99" s="523">
        <f t="shared" si="11"/>
        <v>0.00933831364686522</v>
      </c>
    </row>
    <row r="100" spans="1:5" s="506" customFormat="1" ht="12.75">
      <c r="A100" s="512">
        <v>6</v>
      </c>
      <c r="B100" s="511" t="s">
        <v>533</v>
      </c>
      <c r="C100" s="523">
        <f t="shared" si="10"/>
        <v>0.000729065731997635</v>
      </c>
      <c r="D100" s="523">
        <f t="shared" si="10"/>
        <v>0.0010664391075745642</v>
      </c>
      <c r="E100" s="523">
        <f t="shared" si="11"/>
        <v>0.00033737337557692923</v>
      </c>
    </row>
    <row r="101" spans="1:5" s="506" customFormat="1" ht="12.75">
      <c r="A101" s="512">
        <v>7</v>
      </c>
      <c r="B101" s="511" t="s">
        <v>845</v>
      </c>
      <c r="C101" s="523">
        <f t="shared" si="10"/>
        <v>0.019122056606435553</v>
      </c>
      <c r="D101" s="523">
        <f t="shared" si="10"/>
        <v>0.02375104672450223</v>
      </c>
      <c r="E101" s="523">
        <f t="shared" si="11"/>
        <v>0.0046289901180666775</v>
      </c>
    </row>
    <row r="102" spans="1:5" s="506" customFormat="1" ht="12.75">
      <c r="A102" s="512"/>
      <c r="B102" s="516" t="s">
        <v>885</v>
      </c>
      <c r="C102" s="524">
        <f>SUM(C96+C97+C100)</f>
        <v>0.16014499813681904</v>
      </c>
      <c r="D102" s="524">
        <f>SUM(D96+D97+D100)</f>
        <v>0.16477106874581107</v>
      </c>
      <c r="E102" s="525">
        <f t="shared" si="11"/>
        <v>0.004626070608992033</v>
      </c>
    </row>
    <row r="103" spans="1:5" s="506" customFormat="1" ht="12.75">
      <c r="A103" s="512"/>
      <c r="B103" s="516" t="s">
        <v>886</v>
      </c>
      <c r="C103" s="524">
        <f>SUM(C95+C102)</f>
        <v>0.4050410725885828</v>
      </c>
      <c r="D103" s="524">
        <f>SUM(D95+D102)</f>
        <v>0.41429871337290197</v>
      </c>
      <c r="E103" s="525">
        <f t="shared" si="11"/>
        <v>0.009257640784319177</v>
      </c>
    </row>
    <row r="104" spans="1:5" s="506" customFormat="1" ht="12.75">
      <c r="A104" s="505"/>
      <c r="B104" s="527"/>
      <c r="C104" s="525"/>
      <c r="D104" s="523"/>
      <c r="E104" s="524"/>
    </row>
    <row r="105" spans="1:5" s="506" customFormat="1" ht="12.75">
      <c r="A105" s="505"/>
      <c r="B105" s="527" t="s">
        <v>887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ht="12.75">
      <c r="A106" s="508"/>
      <c r="B106" s="510"/>
      <c r="C106" s="528"/>
      <c r="D106" s="528"/>
      <c r="E106" s="524"/>
    </row>
    <row r="107" spans="1:5" s="506" customFormat="1" ht="12.75">
      <c r="A107" s="508" t="s">
        <v>151</v>
      </c>
      <c r="B107" s="522" t="s">
        <v>888</v>
      </c>
      <c r="C107" s="528"/>
      <c r="D107" s="528"/>
      <c r="E107" s="524"/>
    </row>
    <row r="108" spans="1:5" s="506" customFormat="1" ht="12.75">
      <c r="A108" s="508"/>
      <c r="B108" s="510"/>
      <c r="C108" s="528"/>
      <c r="D108" s="528"/>
      <c r="E108" s="524"/>
    </row>
    <row r="109" spans="1:5" s="506" customFormat="1" ht="12.75">
      <c r="A109" s="512">
        <v>1</v>
      </c>
      <c r="B109" s="511" t="s">
        <v>738</v>
      </c>
      <c r="C109" s="523">
        <f aca="true" t="shared" si="12" ref="C109:D115">IF(C$77=0,0,C47/C$77)</f>
        <v>0.20114717081515038</v>
      </c>
      <c r="D109" s="523">
        <f t="shared" si="12"/>
        <v>0.21479059930009092</v>
      </c>
      <c r="E109" s="523">
        <f aca="true" t="shared" si="13" ref="E109:E117">D109-C109</f>
        <v>0.013643428484940545</v>
      </c>
    </row>
    <row r="110" spans="1:5" s="506" customFormat="1" ht="12.75">
      <c r="A110" s="512">
        <v>2</v>
      </c>
      <c r="B110" s="511" t="s">
        <v>717</v>
      </c>
      <c r="C110" s="523">
        <f t="shared" si="12"/>
        <v>0.3503856290945254</v>
      </c>
      <c r="D110" s="523">
        <f t="shared" si="12"/>
        <v>0.34761555134912653</v>
      </c>
      <c r="E110" s="523">
        <f t="shared" si="13"/>
        <v>-0.002770077745398891</v>
      </c>
    </row>
    <row r="111" spans="1:5" s="506" customFormat="1" ht="12.75">
      <c r="A111" s="512">
        <v>3</v>
      </c>
      <c r="B111" s="511" t="s">
        <v>863</v>
      </c>
      <c r="C111" s="523">
        <f t="shared" si="12"/>
        <v>0.024275534619934536</v>
      </c>
      <c r="D111" s="523">
        <f t="shared" si="12"/>
        <v>0.02091711044486639</v>
      </c>
      <c r="E111" s="523">
        <f t="shared" si="13"/>
        <v>-0.0033584241750681462</v>
      </c>
    </row>
    <row r="112" spans="1:5" s="506" customFormat="1" ht="12.75">
      <c r="A112" s="512">
        <v>4</v>
      </c>
      <c r="B112" s="511" t="s">
        <v>229</v>
      </c>
      <c r="C112" s="523">
        <f t="shared" si="12"/>
        <v>0.023926598441079024</v>
      </c>
      <c r="D112" s="523">
        <f t="shared" si="12"/>
        <v>0.0201133226710161</v>
      </c>
      <c r="E112" s="523">
        <f t="shared" si="13"/>
        <v>-0.0038132757700629245</v>
      </c>
    </row>
    <row r="113" spans="1:5" s="506" customFormat="1" ht="12.75">
      <c r="A113" s="512">
        <v>5</v>
      </c>
      <c r="B113" s="511" t="s">
        <v>830</v>
      </c>
      <c r="C113" s="523">
        <f t="shared" si="12"/>
        <v>0.0003489361788555117</v>
      </c>
      <c r="D113" s="523">
        <f t="shared" si="12"/>
        <v>0.0008037877738502908</v>
      </c>
      <c r="E113" s="523">
        <f t="shared" si="13"/>
        <v>0.0004548515949947791</v>
      </c>
    </row>
    <row r="114" spans="1:5" s="506" customFormat="1" ht="12.75">
      <c r="A114" s="512">
        <v>6</v>
      </c>
      <c r="B114" s="511" t="s">
        <v>533</v>
      </c>
      <c r="C114" s="523">
        <f t="shared" si="12"/>
        <v>0.000484703742495125</v>
      </c>
      <c r="D114" s="523">
        <f t="shared" si="12"/>
        <v>0.0001303439633270742</v>
      </c>
      <c r="E114" s="523">
        <f t="shared" si="13"/>
        <v>-0.0003543597791680508</v>
      </c>
    </row>
    <row r="115" spans="1:5" s="506" customFormat="1" ht="12.75">
      <c r="A115" s="512">
        <v>7</v>
      </c>
      <c r="B115" s="511" t="s">
        <v>845</v>
      </c>
      <c r="C115" s="523">
        <f t="shared" si="12"/>
        <v>0.007433651675374079</v>
      </c>
      <c r="D115" s="523">
        <f t="shared" si="12"/>
        <v>0.002553221001638505</v>
      </c>
      <c r="E115" s="523">
        <f t="shared" si="13"/>
        <v>-0.004880430673735574</v>
      </c>
    </row>
    <row r="116" spans="1:5" s="506" customFormat="1" ht="12.75">
      <c r="A116" s="512"/>
      <c r="B116" s="516" t="s">
        <v>882</v>
      </c>
      <c r="C116" s="524">
        <f>SUM(C110+C111+C114)</f>
        <v>0.3751458674569551</v>
      </c>
      <c r="D116" s="524">
        <f>SUM(D110+D111+D114)</f>
        <v>0.36866300575732</v>
      </c>
      <c r="E116" s="525">
        <f t="shared" si="13"/>
        <v>-0.006482861699635134</v>
      </c>
    </row>
    <row r="117" spans="1:5" s="506" customFormat="1" ht="12.75">
      <c r="A117" s="512"/>
      <c r="B117" s="516" t="s">
        <v>883</v>
      </c>
      <c r="C117" s="524">
        <f>SUM(C109+C116)</f>
        <v>0.5762930382721054</v>
      </c>
      <c r="D117" s="524">
        <f>SUM(D109+D116)</f>
        <v>0.5834536050574108</v>
      </c>
      <c r="E117" s="525">
        <f t="shared" si="13"/>
        <v>0.007160566785305411</v>
      </c>
    </row>
    <row r="118" spans="1:5" s="506" customFormat="1" ht="12.75">
      <c r="A118" s="508"/>
      <c r="B118" s="510"/>
      <c r="C118" s="526"/>
      <c r="D118" s="526"/>
      <c r="E118" s="524"/>
    </row>
    <row r="119" spans="1:5" s="506" customFormat="1" ht="12.75">
      <c r="A119" s="508" t="s">
        <v>436</v>
      </c>
      <c r="B119" s="522" t="s">
        <v>889</v>
      </c>
      <c r="C119" s="526"/>
      <c r="D119" s="526"/>
      <c r="E119" s="524"/>
    </row>
    <row r="120" spans="1:5" s="506" customFormat="1" ht="12.75">
      <c r="A120" s="508"/>
      <c r="B120" s="510"/>
      <c r="C120" s="526"/>
      <c r="D120" s="526"/>
      <c r="E120" s="524"/>
    </row>
    <row r="121" spans="1:5" s="506" customFormat="1" ht="12.75">
      <c r="A121" s="512">
        <v>1</v>
      </c>
      <c r="B121" s="511" t="s">
        <v>738</v>
      </c>
      <c r="C121" s="523">
        <f aca="true" t="shared" si="14" ref="C121:D127">IF(C$77=0,0,C58/C$77)</f>
        <v>0.3098110474332132</v>
      </c>
      <c r="D121" s="523">
        <f t="shared" si="14"/>
        <v>0.30251595620562316</v>
      </c>
      <c r="E121" s="523">
        <f aca="true" t="shared" si="15" ref="E121:E129">D121-C121</f>
        <v>-0.007295091227590034</v>
      </c>
    </row>
    <row r="122" spans="1:5" s="506" customFormat="1" ht="12.75">
      <c r="A122" s="512">
        <v>2</v>
      </c>
      <c r="B122" s="511" t="s">
        <v>717</v>
      </c>
      <c r="C122" s="523">
        <f t="shared" si="14"/>
        <v>0.09245992415712469</v>
      </c>
      <c r="D122" s="523">
        <f t="shared" si="14"/>
        <v>0.08475218394704928</v>
      </c>
      <c r="E122" s="523">
        <f t="shared" si="15"/>
        <v>-0.007707740210075406</v>
      </c>
    </row>
    <row r="123" spans="1:5" s="506" customFormat="1" ht="12.75">
      <c r="A123" s="512">
        <v>3</v>
      </c>
      <c r="B123" s="511" t="s">
        <v>863</v>
      </c>
      <c r="C123" s="523">
        <f t="shared" si="14"/>
        <v>0.020467871585132656</v>
      </c>
      <c r="D123" s="523">
        <f t="shared" si="14"/>
        <v>0.02786696910448891</v>
      </c>
      <c r="E123" s="523">
        <f t="shared" si="15"/>
        <v>0.007399097519356253</v>
      </c>
    </row>
    <row r="124" spans="1:5" s="506" customFormat="1" ht="12.75">
      <c r="A124" s="512">
        <v>4</v>
      </c>
      <c r="B124" s="511" t="s">
        <v>229</v>
      </c>
      <c r="C124" s="523">
        <f t="shared" si="14"/>
        <v>0.0200204557504112</v>
      </c>
      <c r="D124" s="523">
        <f t="shared" si="14"/>
        <v>0.024553068879371306</v>
      </c>
      <c r="E124" s="523">
        <f t="shared" si="15"/>
        <v>0.004532613128960104</v>
      </c>
    </row>
    <row r="125" spans="1:5" s="506" customFormat="1" ht="12.75">
      <c r="A125" s="512">
        <v>5</v>
      </c>
      <c r="B125" s="511" t="s">
        <v>830</v>
      </c>
      <c r="C125" s="523">
        <f t="shared" si="14"/>
        <v>0.0004474158347214529</v>
      </c>
      <c r="D125" s="523">
        <f t="shared" si="14"/>
        <v>0.0033139002251176023</v>
      </c>
      <c r="E125" s="523">
        <f t="shared" si="15"/>
        <v>0.0028664843903961493</v>
      </c>
    </row>
    <row r="126" spans="1:5" s="506" customFormat="1" ht="12.75">
      <c r="A126" s="512">
        <v>6</v>
      </c>
      <c r="B126" s="511" t="s">
        <v>533</v>
      </c>
      <c r="C126" s="523">
        <f t="shared" si="14"/>
        <v>0.0009681185524240512</v>
      </c>
      <c r="D126" s="523">
        <f t="shared" si="14"/>
        <v>0.001411285685427716</v>
      </c>
      <c r="E126" s="523">
        <f t="shared" si="15"/>
        <v>0.0004431671330036649</v>
      </c>
    </row>
    <row r="127" spans="1:5" s="506" customFormat="1" ht="12.75">
      <c r="A127" s="512">
        <v>7</v>
      </c>
      <c r="B127" s="511" t="s">
        <v>845</v>
      </c>
      <c r="C127" s="523">
        <f t="shared" si="14"/>
        <v>0.015414800242402648</v>
      </c>
      <c r="D127" s="523">
        <f t="shared" si="14"/>
        <v>0.00627927970079326</v>
      </c>
      <c r="E127" s="523">
        <f t="shared" si="15"/>
        <v>-0.009135520541609387</v>
      </c>
    </row>
    <row r="128" spans="1:5" s="506" customFormat="1" ht="12.75">
      <c r="A128" s="512"/>
      <c r="B128" s="516" t="s">
        <v>885</v>
      </c>
      <c r="C128" s="524">
        <f>SUM(C122+C123+C126)</f>
        <v>0.11389591429468139</v>
      </c>
      <c r="D128" s="524">
        <f>SUM(D122+D123+D126)</f>
        <v>0.1140304387369659</v>
      </c>
      <c r="E128" s="525">
        <f t="shared" si="15"/>
        <v>0.00013452444228451155</v>
      </c>
    </row>
    <row r="129" spans="1:5" s="506" customFormat="1" ht="12.75">
      <c r="A129" s="512"/>
      <c r="B129" s="516" t="s">
        <v>886</v>
      </c>
      <c r="C129" s="524">
        <f>SUM(C121+C128)</f>
        <v>0.42370696172789457</v>
      </c>
      <c r="D129" s="524">
        <f>SUM(D121+D128)</f>
        <v>0.41654639494258905</v>
      </c>
      <c r="E129" s="525">
        <f t="shared" si="15"/>
        <v>-0.007160566785305522</v>
      </c>
    </row>
    <row r="130" spans="1:5" s="506" customFormat="1" ht="12.75">
      <c r="A130" s="512"/>
      <c r="B130" s="516"/>
      <c r="C130" s="525"/>
      <c r="D130" s="523"/>
      <c r="E130" s="524"/>
    </row>
    <row r="131" spans="1:5" s="506" customFormat="1" ht="12.75">
      <c r="A131" s="512"/>
      <c r="B131" s="527" t="s">
        <v>890</v>
      </c>
      <c r="C131" s="525">
        <f>C117+C129</f>
        <v>1</v>
      </c>
      <c r="D131" s="525">
        <f>D117+D129</f>
        <v>0.9999999999999999</v>
      </c>
      <c r="E131" s="525">
        <f>D131-C131</f>
        <v>0</v>
      </c>
    </row>
    <row r="132" spans="1:5" s="506" customFormat="1" ht="12.75">
      <c r="A132" s="512"/>
      <c r="B132" s="511"/>
      <c r="C132" s="514"/>
      <c r="D132" s="514"/>
      <c r="E132" s="511"/>
    </row>
    <row r="133" spans="1:5" s="506" customFormat="1" ht="15.75" customHeight="1">
      <c r="A133" s="529" t="s">
        <v>250</v>
      </c>
      <c r="B133" s="501" t="s">
        <v>891</v>
      </c>
      <c r="C133" s="491"/>
      <c r="D133" s="491"/>
      <c r="E133" s="516"/>
    </row>
    <row r="134" spans="1:5" s="506" customFormat="1" ht="12.75">
      <c r="A134" s="512"/>
      <c r="B134" s="511"/>
      <c r="C134" s="340"/>
      <c r="D134" s="340"/>
      <c r="E134" s="511"/>
    </row>
    <row r="135" spans="1:5" s="506" customFormat="1" ht="12.75">
      <c r="A135" s="508" t="s">
        <v>129</v>
      </c>
      <c r="B135" s="509" t="s">
        <v>892</v>
      </c>
      <c r="C135" s="340"/>
      <c r="D135" s="340"/>
      <c r="E135" s="511"/>
    </row>
    <row r="136" spans="1:5" s="506" customFormat="1" ht="12.75">
      <c r="A136" s="512"/>
      <c r="B136" s="511"/>
      <c r="C136" s="511"/>
      <c r="D136" s="511"/>
      <c r="E136" s="511"/>
    </row>
    <row r="137" spans="1:5" s="506" customFormat="1" ht="12.75">
      <c r="A137" s="512">
        <v>1</v>
      </c>
      <c r="B137" s="511" t="s">
        <v>738</v>
      </c>
      <c r="C137" s="530">
        <v>1879</v>
      </c>
      <c r="D137" s="530">
        <v>1930</v>
      </c>
      <c r="E137" s="531">
        <f aca="true" t="shared" si="16" ref="E137:E145">D137-C137</f>
        <v>51</v>
      </c>
    </row>
    <row r="138" spans="1:5" s="506" customFormat="1" ht="12.75">
      <c r="A138" s="512">
        <v>2</v>
      </c>
      <c r="B138" s="511" t="s">
        <v>717</v>
      </c>
      <c r="C138" s="530">
        <v>2632</v>
      </c>
      <c r="D138" s="530">
        <v>2423</v>
      </c>
      <c r="E138" s="531">
        <f t="shared" si="16"/>
        <v>-209</v>
      </c>
    </row>
    <row r="139" spans="1:5" s="506" customFormat="1" ht="12.75">
      <c r="A139" s="512">
        <v>3</v>
      </c>
      <c r="B139" s="511" t="s">
        <v>863</v>
      </c>
      <c r="C139" s="530">
        <f>C140+C141</f>
        <v>416</v>
      </c>
      <c r="D139" s="530">
        <f>D140+D141</f>
        <v>444</v>
      </c>
      <c r="E139" s="531">
        <f t="shared" si="16"/>
        <v>28</v>
      </c>
    </row>
    <row r="140" spans="1:5" s="506" customFormat="1" ht="12.75">
      <c r="A140" s="512">
        <v>4</v>
      </c>
      <c r="B140" s="511" t="s">
        <v>229</v>
      </c>
      <c r="C140" s="530">
        <v>414</v>
      </c>
      <c r="D140" s="530">
        <v>417</v>
      </c>
      <c r="E140" s="531">
        <f t="shared" si="16"/>
        <v>3</v>
      </c>
    </row>
    <row r="141" spans="1:5" s="506" customFormat="1" ht="12.75">
      <c r="A141" s="512">
        <v>5</v>
      </c>
      <c r="B141" s="511" t="s">
        <v>830</v>
      </c>
      <c r="C141" s="530">
        <v>2</v>
      </c>
      <c r="D141" s="530">
        <v>27</v>
      </c>
      <c r="E141" s="531">
        <f t="shared" si="16"/>
        <v>25</v>
      </c>
    </row>
    <row r="142" spans="1:5" s="506" customFormat="1" ht="12.75">
      <c r="A142" s="512">
        <v>6</v>
      </c>
      <c r="B142" s="511" t="s">
        <v>533</v>
      </c>
      <c r="C142" s="530">
        <v>8</v>
      </c>
      <c r="D142" s="530">
        <v>3</v>
      </c>
      <c r="E142" s="531">
        <f t="shared" si="16"/>
        <v>-5</v>
      </c>
    </row>
    <row r="143" spans="1:5" s="506" customFormat="1" ht="12.75">
      <c r="A143" s="512">
        <v>7</v>
      </c>
      <c r="B143" s="511" t="s">
        <v>845</v>
      </c>
      <c r="C143" s="530">
        <v>116</v>
      </c>
      <c r="D143" s="530">
        <v>99</v>
      </c>
      <c r="E143" s="531">
        <f t="shared" si="16"/>
        <v>-17</v>
      </c>
    </row>
    <row r="144" spans="1:5" s="506" customFormat="1" ht="12.75">
      <c r="A144" s="512"/>
      <c r="B144" s="516" t="s">
        <v>893</v>
      </c>
      <c r="C144" s="532">
        <f>SUM(C138+C139+C142)</f>
        <v>3056</v>
      </c>
      <c r="D144" s="532">
        <f>SUM(D138+D139+D142)</f>
        <v>2870</v>
      </c>
      <c r="E144" s="533">
        <f t="shared" si="16"/>
        <v>-186</v>
      </c>
    </row>
    <row r="145" spans="1:5" s="506" customFormat="1" ht="12.75">
      <c r="A145" s="512"/>
      <c r="B145" s="516" t="s">
        <v>807</v>
      </c>
      <c r="C145" s="532">
        <f>SUM(C137+C144)</f>
        <v>4935</v>
      </c>
      <c r="D145" s="532">
        <f>SUM(D137+D144)</f>
        <v>4800</v>
      </c>
      <c r="E145" s="533">
        <f t="shared" si="16"/>
        <v>-135</v>
      </c>
    </row>
    <row r="146" spans="1:5" s="506" customFormat="1" ht="12.75">
      <c r="A146" s="512"/>
      <c r="B146" s="511"/>
      <c r="C146" s="534"/>
      <c r="D146" s="534"/>
      <c r="E146" s="511"/>
    </row>
    <row r="147" spans="1:5" s="506" customFormat="1" ht="12.75">
      <c r="A147" s="508" t="s">
        <v>141</v>
      </c>
      <c r="B147" s="509" t="s">
        <v>254</v>
      </c>
      <c r="C147" s="534"/>
      <c r="D147" s="534"/>
      <c r="E147" s="511"/>
    </row>
    <row r="148" spans="1:5" s="506" customFormat="1" ht="12.75">
      <c r="A148" s="512"/>
      <c r="B148" s="511"/>
      <c r="C148" s="534"/>
      <c r="D148" s="534"/>
      <c r="E148" s="511"/>
    </row>
    <row r="149" spans="1:5" s="506" customFormat="1" ht="12.75">
      <c r="A149" s="512">
        <v>1</v>
      </c>
      <c r="B149" s="511" t="s">
        <v>738</v>
      </c>
      <c r="C149" s="534">
        <v>6154</v>
      </c>
      <c r="D149" s="534">
        <v>6915</v>
      </c>
      <c r="E149" s="531">
        <f aca="true" t="shared" si="17" ref="E149:E157">D149-C149</f>
        <v>761</v>
      </c>
    </row>
    <row r="150" spans="1:5" s="506" customFormat="1" ht="12.75">
      <c r="A150" s="512">
        <v>2</v>
      </c>
      <c r="B150" s="511" t="s">
        <v>717</v>
      </c>
      <c r="C150" s="534">
        <v>13656</v>
      </c>
      <c r="D150" s="534">
        <v>11854</v>
      </c>
      <c r="E150" s="531">
        <f t="shared" si="17"/>
        <v>-1802</v>
      </c>
    </row>
    <row r="151" spans="1:5" s="506" customFormat="1" ht="12.75">
      <c r="A151" s="512">
        <v>3</v>
      </c>
      <c r="B151" s="511" t="s">
        <v>863</v>
      </c>
      <c r="C151" s="534">
        <f>C152+C153</f>
        <v>1794</v>
      </c>
      <c r="D151" s="534">
        <f>D152+D153</f>
        <v>1590</v>
      </c>
      <c r="E151" s="531">
        <f t="shared" si="17"/>
        <v>-204</v>
      </c>
    </row>
    <row r="152" spans="1:5" s="506" customFormat="1" ht="12.75">
      <c r="A152" s="512">
        <v>4</v>
      </c>
      <c r="B152" s="511" t="s">
        <v>229</v>
      </c>
      <c r="C152" s="534">
        <v>1787</v>
      </c>
      <c r="D152" s="534">
        <v>1485</v>
      </c>
      <c r="E152" s="531">
        <f t="shared" si="17"/>
        <v>-302</v>
      </c>
    </row>
    <row r="153" spans="1:5" s="506" customFormat="1" ht="12.75">
      <c r="A153" s="512">
        <v>5</v>
      </c>
      <c r="B153" s="511" t="s">
        <v>830</v>
      </c>
      <c r="C153" s="535">
        <v>7</v>
      </c>
      <c r="D153" s="534">
        <v>105</v>
      </c>
      <c r="E153" s="531">
        <f t="shared" si="17"/>
        <v>98</v>
      </c>
    </row>
    <row r="154" spans="1:5" s="506" customFormat="1" ht="12.75">
      <c r="A154" s="512">
        <v>6</v>
      </c>
      <c r="B154" s="511" t="s">
        <v>533</v>
      </c>
      <c r="C154" s="534">
        <v>25</v>
      </c>
      <c r="D154" s="534">
        <v>11</v>
      </c>
      <c r="E154" s="531">
        <f t="shared" si="17"/>
        <v>-14</v>
      </c>
    </row>
    <row r="155" spans="1:5" s="506" customFormat="1" ht="12.75">
      <c r="A155" s="512">
        <v>7</v>
      </c>
      <c r="B155" s="511" t="s">
        <v>845</v>
      </c>
      <c r="C155" s="534">
        <v>386</v>
      </c>
      <c r="D155" s="534">
        <v>440</v>
      </c>
      <c r="E155" s="531">
        <f t="shared" si="17"/>
        <v>54</v>
      </c>
    </row>
    <row r="156" spans="1:5" s="506" customFormat="1" ht="12.75">
      <c r="A156" s="512"/>
      <c r="B156" s="516" t="s">
        <v>894</v>
      </c>
      <c r="C156" s="532">
        <f>SUM(C150+C151+C154)</f>
        <v>15475</v>
      </c>
      <c r="D156" s="532">
        <f>SUM(D150+D151+D154)</f>
        <v>13455</v>
      </c>
      <c r="E156" s="533">
        <f t="shared" si="17"/>
        <v>-2020</v>
      </c>
    </row>
    <row r="157" spans="1:5" s="506" customFormat="1" ht="12.75">
      <c r="A157" s="512"/>
      <c r="B157" s="516" t="s">
        <v>895</v>
      </c>
      <c r="C157" s="532">
        <f>SUM(C149+C156)</f>
        <v>21629</v>
      </c>
      <c r="D157" s="532">
        <f>SUM(D149+D156)</f>
        <v>20370</v>
      </c>
      <c r="E157" s="533">
        <f t="shared" si="17"/>
        <v>-1259</v>
      </c>
    </row>
    <row r="158" spans="1:5" s="506" customFormat="1" ht="12.75">
      <c r="A158" s="512"/>
      <c r="B158" s="511"/>
      <c r="C158" s="534"/>
      <c r="D158" s="534"/>
      <c r="E158" s="511"/>
    </row>
    <row r="159" spans="1:5" s="506" customFormat="1" ht="12.75">
      <c r="A159" s="508" t="s">
        <v>151</v>
      </c>
      <c r="B159" s="509" t="s">
        <v>896</v>
      </c>
      <c r="C159" s="534"/>
      <c r="D159" s="534"/>
      <c r="E159" s="511"/>
    </row>
    <row r="160" spans="1:5" s="506" customFormat="1" ht="12.75">
      <c r="A160" s="512"/>
      <c r="B160" s="511"/>
      <c r="C160" s="534"/>
      <c r="D160" s="534"/>
      <c r="E160" s="511"/>
    </row>
    <row r="161" spans="1:5" s="506" customFormat="1" ht="12.75">
      <c r="A161" s="512">
        <v>1</v>
      </c>
      <c r="B161" s="511" t="s">
        <v>738</v>
      </c>
      <c r="C161" s="536">
        <f aca="true" t="shared" si="18" ref="C161:D169">IF(C137=0,0,C149/C137)</f>
        <v>3.2751463544438533</v>
      </c>
      <c r="D161" s="536">
        <f t="shared" si="18"/>
        <v>3.582901554404145</v>
      </c>
      <c r="E161" s="537">
        <f aca="true" t="shared" si="19" ref="E161:E169">D161-C161</f>
        <v>0.30775519996029166</v>
      </c>
    </row>
    <row r="162" spans="1:5" s="506" customFormat="1" ht="12.75">
      <c r="A162" s="512">
        <v>2</v>
      </c>
      <c r="B162" s="511" t="s">
        <v>717</v>
      </c>
      <c r="C162" s="536">
        <f t="shared" si="18"/>
        <v>5.188449848024316</v>
      </c>
      <c r="D162" s="536">
        <f t="shared" si="18"/>
        <v>4.892282294676021</v>
      </c>
      <c r="E162" s="537">
        <f t="shared" si="19"/>
        <v>-0.2961675533482948</v>
      </c>
    </row>
    <row r="163" spans="1:5" s="506" customFormat="1" ht="12.75">
      <c r="A163" s="512">
        <v>3</v>
      </c>
      <c r="B163" s="511" t="s">
        <v>863</v>
      </c>
      <c r="C163" s="536">
        <f t="shared" si="18"/>
        <v>4.3125</v>
      </c>
      <c r="D163" s="536">
        <f t="shared" si="18"/>
        <v>3.581081081081081</v>
      </c>
      <c r="E163" s="537">
        <f t="shared" si="19"/>
        <v>-0.7314189189189189</v>
      </c>
    </row>
    <row r="164" spans="1:5" s="506" customFormat="1" ht="12.75">
      <c r="A164" s="512">
        <v>4</v>
      </c>
      <c r="B164" s="511" t="s">
        <v>229</v>
      </c>
      <c r="C164" s="536">
        <f t="shared" si="18"/>
        <v>4.316425120772947</v>
      </c>
      <c r="D164" s="536">
        <f t="shared" si="18"/>
        <v>3.5611510791366907</v>
      </c>
      <c r="E164" s="537">
        <f t="shared" si="19"/>
        <v>-0.7552740416362562</v>
      </c>
    </row>
    <row r="165" spans="1:5" s="506" customFormat="1" ht="12.75">
      <c r="A165" s="512">
        <v>5</v>
      </c>
      <c r="B165" s="511" t="s">
        <v>830</v>
      </c>
      <c r="C165" s="536">
        <f t="shared" si="18"/>
        <v>3.5</v>
      </c>
      <c r="D165" s="536">
        <f t="shared" si="18"/>
        <v>3.888888888888889</v>
      </c>
      <c r="E165" s="537">
        <f t="shared" si="19"/>
        <v>0.38888888888888884</v>
      </c>
    </row>
    <row r="166" spans="1:5" s="506" customFormat="1" ht="12.75">
      <c r="A166" s="512">
        <v>6</v>
      </c>
      <c r="B166" s="511" t="s">
        <v>533</v>
      </c>
      <c r="C166" s="536">
        <f t="shared" si="18"/>
        <v>3.125</v>
      </c>
      <c r="D166" s="536">
        <f t="shared" si="18"/>
        <v>3.6666666666666665</v>
      </c>
      <c r="E166" s="537">
        <f t="shared" si="19"/>
        <v>0.5416666666666665</v>
      </c>
    </row>
    <row r="167" spans="1:5" s="506" customFormat="1" ht="12.75">
      <c r="A167" s="512">
        <v>7</v>
      </c>
      <c r="B167" s="511" t="s">
        <v>845</v>
      </c>
      <c r="C167" s="536">
        <f t="shared" si="18"/>
        <v>3.3275862068965516</v>
      </c>
      <c r="D167" s="536">
        <f t="shared" si="18"/>
        <v>4.444444444444445</v>
      </c>
      <c r="E167" s="537">
        <f t="shared" si="19"/>
        <v>1.116858237547893</v>
      </c>
    </row>
    <row r="168" spans="1:5" s="506" customFormat="1" ht="12.75">
      <c r="A168" s="512"/>
      <c r="B168" s="516" t="s">
        <v>897</v>
      </c>
      <c r="C168" s="538">
        <f t="shared" si="18"/>
        <v>5.0638089005235605</v>
      </c>
      <c r="D168" s="538">
        <f t="shared" si="18"/>
        <v>4.688153310104529</v>
      </c>
      <c r="E168" s="539">
        <f t="shared" si="19"/>
        <v>-0.37565559041903107</v>
      </c>
    </row>
    <row r="169" spans="1:5" s="506" customFormat="1" ht="12.75">
      <c r="A169" s="512"/>
      <c r="B169" s="516" t="s">
        <v>831</v>
      </c>
      <c r="C169" s="538">
        <f t="shared" si="18"/>
        <v>4.3827760891590675</v>
      </c>
      <c r="D169" s="538">
        <f t="shared" si="18"/>
        <v>4.24375</v>
      </c>
      <c r="E169" s="539">
        <f t="shared" si="19"/>
        <v>-0.1390260891590671</v>
      </c>
    </row>
    <row r="170" spans="1:5" s="506" customFormat="1" ht="12.75">
      <c r="A170" s="512"/>
      <c r="B170" s="511"/>
      <c r="C170" s="534"/>
      <c r="D170" s="534"/>
      <c r="E170" s="540"/>
    </row>
    <row r="171" spans="1:5" s="506" customFormat="1" ht="12.75">
      <c r="A171" s="508" t="s">
        <v>436</v>
      </c>
      <c r="B171" s="509" t="s">
        <v>898</v>
      </c>
      <c r="C171" s="511"/>
      <c r="D171" s="511"/>
      <c r="E171" s="540"/>
    </row>
    <row r="172" spans="1:5" s="506" customFormat="1" ht="12.75">
      <c r="A172" s="512"/>
      <c r="B172" s="511"/>
      <c r="C172" s="511"/>
      <c r="D172" s="511"/>
      <c r="E172" s="540"/>
    </row>
    <row r="173" spans="1:5" s="506" customFormat="1" ht="12.75">
      <c r="A173" s="512">
        <v>1</v>
      </c>
      <c r="B173" s="511" t="s">
        <v>738</v>
      </c>
      <c r="C173" s="541">
        <f aca="true" t="shared" si="20" ref="C173:D181">IF(C137=0,0,C203/C137)</f>
        <v>1.0575</v>
      </c>
      <c r="D173" s="541">
        <f t="shared" si="20"/>
        <v>1.06468</v>
      </c>
      <c r="E173" s="542">
        <f aca="true" t="shared" si="21" ref="E173:E181">D173-C173</f>
        <v>0.007179999999999964</v>
      </c>
    </row>
    <row r="174" spans="1:5" s="506" customFormat="1" ht="12.75">
      <c r="A174" s="512">
        <v>2</v>
      </c>
      <c r="B174" s="511" t="s">
        <v>717</v>
      </c>
      <c r="C174" s="541">
        <f t="shared" si="20"/>
        <v>1.453</v>
      </c>
      <c r="D174" s="541">
        <f t="shared" si="20"/>
        <v>1.5705</v>
      </c>
      <c r="E174" s="542">
        <f t="shared" si="21"/>
        <v>0.11749999999999994</v>
      </c>
    </row>
    <row r="175" spans="1:5" s="506" customFormat="1" ht="12.75">
      <c r="A175" s="512">
        <v>0</v>
      </c>
      <c r="B175" s="511" t="s">
        <v>863</v>
      </c>
      <c r="C175" s="541">
        <f t="shared" si="20"/>
        <v>0.9174639423076923</v>
      </c>
      <c r="D175" s="541">
        <f t="shared" si="20"/>
        <v>0.8457943243243242</v>
      </c>
      <c r="E175" s="542">
        <f t="shared" si="21"/>
        <v>-0.07166961798336813</v>
      </c>
    </row>
    <row r="176" spans="1:5" s="506" customFormat="1" ht="12.75">
      <c r="A176" s="512">
        <v>4</v>
      </c>
      <c r="B176" s="511" t="s">
        <v>229</v>
      </c>
      <c r="C176" s="541">
        <f t="shared" si="20"/>
        <v>0.9179</v>
      </c>
      <c r="D176" s="541">
        <f t="shared" si="20"/>
        <v>0.82345</v>
      </c>
      <c r="E176" s="542">
        <f t="shared" si="21"/>
        <v>-0.09445000000000003</v>
      </c>
    </row>
    <row r="177" spans="1:5" s="506" customFormat="1" ht="12.75">
      <c r="A177" s="512">
        <v>5</v>
      </c>
      <c r="B177" s="511" t="s">
        <v>830</v>
      </c>
      <c r="C177" s="541">
        <f t="shared" si="20"/>
        <v>0.8272</v>
      </c>
      <c r="D177" s="541">
        <f t="shared" si="20"/>
        <v>1.19089</v>
      </c>
      <c r="E177" s="542">
        <f t="shared" si="21"/>
        <v>0.36368999999999996</v>
      </c>
    </row>
    <row r="178" spans="1:5" s="506" customFormat="1" ht="12.75">
      <c r="A178" s="512">
        <v>6</v>
      </c>
      <c r="B178" s="511" t="s">
        <v>533</v>
      </c>
      <c r="C178" s="541">
        <f t="shared" si="20"/>
        <v>0.95987</v>
      </c>
      <c r="D178" s="541">
        <f t="shared" si="20"/>
        <v>0.51895</v>
      </c>
      <c r="E178" s="542">
        <f t="shared" si="21"/>
        <v>-0.44092</v>
      </c>
    </row>
    <row r="179" spans="1:5" s="506" customFormat="1" ht="12.75">
      <c r="A179" s="512">
        <v>7</v>
      </c>
      <c r="B179" s="511" t="s">
        <v>845</v>
      </c>
      <c r="C179" s="541">
        <f t="shared" si="20"/>
        <v>1.0417</v>
      </c>
      <c r="D179" s="541">
        <f t="shared" si="20"/>
        <v>1.11723</v>
      </c>
      <c r="E179" s="542">
        <f t="shared" si="21"/>
        <v>0.07552999999999988</v>
      </c>
    </row>
    <row r="180" spans="1:5" s="506" customFormat="1" ht="12.75">
      <c r="A180" s="512"/>
      <c r="B180" s="516" t="s">
        <v>899</v>
      </c>
      <c r="C180" s="543">
        <f t="shared" si="20"/>
        <v>1.3788088874345552</v>
      </c>
      <c r="D180" s="543">
        <f t="shared" si="20"/>
        <v>1.4572860731707318</v>
      </c>
      <c r="E180" s="544">
        <f t="shared" si="21"/>
        <v>0.07847718573617657</v>
      </c>
    </row>
    <row r="181" spans="1:5" s="506" customFormat="1" ht="12.75">
      <c r="A181" s="512"/>
      <c r="B181" s="516" t="s">
        <v>808</v>
      </c>
      <c r="C181" s="543">
        <f t="shared" si="20"/>
        <v>1.256470609929078</v>
      </c>
      <c r="D181" s="543">
        <f t="shared" si="20"/>
        <v>1.2994257145833334</v>
      </c>
      <c r="E181" s="544">
        <f t="shared" si="21"/>
        <v>0.04295510465425534</v>
      </c>
    </row>
    <row r="182" spans="1:5" s="506" customFormat="1" ht="12.75">
      <c r="A182" s="508"/>
      <c r="B182" s="511"/>
      <c r="C182" s="545"/>
      <c r="D182" s="545"/>
      <c r="E182" s="511"/>
    </row>
    <row r="183" spans="1:5" s="506" customFormat="1" ht="12.75">
      <c r="A183" s="508" t="s">
        <v>457</v>
      </c>
      <c r="B183" s="509" t="s">
        <v>900</v>
      </c>
      <c r="C183" s="340"/>
      <c r="D183" s="340"/>
      <c r="E183" s="511"/>
    </row>
    <row r="184" spans="1:5" s="506" customFormat="1" ht="12.75">
      <c r="A184" s="505"/>
      <c r="B184" s="511"/>
      <c r="C184" s="545"/>
      <c r="D184" s="545"/>
      <c r="E184" s="511"/>
    </row>
    <row r="185" spans="1:5" s="506" customFormat="1" ht="12.75">
      <c r="A185" s="512">
        <v>1</v>
      </c>
      <c r="B185" s="511" t="s">
        <v>901</v>
      </c>
      <c r="C185" s="513">
        <v>83765311</v>
      </c>
      <c r="D185" s="513">
        <v>84371463</v>
      </c>
      <c r="E185" s="514">
        <f>D185-C185</f>
        <v>606152</v>
      </c>
    </row>
    <row r="186" spans="1:5" s="506" customFormat="1" ht="25.5">
      <c r="A186" s="512">
        <v>2</v>
      </c>
      <c r="B186" s="511" t="s">
        <v>902</v>
      </c>
      <c r="C186" s="513">
        <v>36619649</v>
      </c>
      <c r="D186" s="513">
        <v>36447939</v>
      </c>
      <c r="E186" s="514">
        <f>D186-C186</f>
        <v>-171710</v>
      </c>
    </row>
    <row r="187" spans="1:5" s="506" customFormat="1" ht="12.75">
      <c r="A187" s="512"/>
      <c r="B187" s="511" t="s">
        <v>750</v>
      </c>
      <c r="C187" s="510"/>
      <c r="D187" s="510"/>
      <c r="E187" s="511"/>
    </row>
    <row r="188" spans="1:5" s="506" customFormat="1" ht="12.75">
      <c r="A188" s="512">
        <v>3</v>
      </c>
      <c r="B188" s="511" t="s">
        <v>834</v>
      </c>
      <c r="C188" s="546">
        <f>+C185-C186</f>
        <v>47145662</v>
      </c>
      <c r="D188" s="546">
        <f>+D185-D186</f>
        <v>47923524</v>
      </c>
      <c r="E188" s="514">
        <f aca="true" t="shared" si="22" ref="E188:E197">D188-C188</f>
        <v>777862</v>
      </c>
    </row>
    <row r="189" spans="1:5" s="506" customFormat="1" ht="12.75">
      <c r="A189" s="512">
        <v>4</v>
      </c>
      <c r="B189" s="511" t="s">
        <v>752</v>
      </c>
      <c r="C189" s="547">
        <f>IF(C185=0,0,+C188/C185)</f>
        <v>0.5628303821375414</v>
      </c>
      <c r="D189" s="547">
        <f>IF(D185=0,0,+D188/D185)</f>
        <v>0.5680063174914959</v>
      </c>
      <c r="E189" s="523">
        <f t="shared" si="22"/>
        <v>0.005175935353954442</v>
      </c>
    </row>
    <row r="190" spans="1:5" s="506" customFormat="1" ht="12.75">
      <c r="A190" s="512">
        <v>5</v>
      </c>
      <c r="B190" s="511" t="s">
        <v>849</v>
      </c>
      <c r="C190" s="513">
        <v>2454373</v>
      </c>
      <c r="D190" s="513">
        <v>2885294</v>
      </c>
      <c r="E190" s="546">
        <f t="shared" si="22"/>
        <v>430921</v>
      </c>
    </row>
    <row r="191" spans="1:5" s="506" customFormat="1" ht="12.75">
      <c r="A191" s="512">
        <v>6</v>
      </c>
      <c r="B191" s="511" t="s">
        <v>835</v>
      </c>
      <c r="C191" s="513">
        <v>1571704</v>
      </c>
      <c r="D191" s="513">
        <v>1818984</v>
      </c>
      <c r="E191" s="546">
        <f t="shared" si="22"/>
        <v>247280</v>
      </c>
    </row>
    <row r="192" spans="1:5" ht="29.25">
      <c r="A192" s="512">
        <v>7</v>
      </c>
      <c r="B192" s="548" t="s">
        <v>903</v>
      </c>
      <c r="C192" s="513">
        <v>271906</v>
      </c>
      <c r="D192" s="513">
        <v>360327</v>
      </c>
      <c r="E192" s="546">
        <f t="shared" si="22"/>
        <v>88421</v>
      </c>
    </row>
    <row r="193" spans="1:5" s="506" customFormat="1" ht="12.75">
      <c r="A193" s="512">
        <v>8</v>
      </c>
      <c r="B193" s="511" t="s">
        <v>904</v>
      </c>
      <c r="C193" s="513">
        <v>165221</v>
      </c>
      <c r="D193" s="513">
        <v>122057</v>
      </c>
      <c r="E193" s="546">
        <f t="shared" si="22"/>
        <v>-43164</v>
      </c>
    </row>
    <row r="194" spans="1:5" s="506" customFormat="1" ht="12.75">
      <c r="A194" s="512">
        <v>9</v>
      </c>
      <c r="B194" s="511" t="s">
        <v>905</v>
      </c>
      <c r="C194" s="513">
        <v>4873574</v>
      </c>
      <c r="D194" s="513">
        <v>6998451</v>
      </c>
      <c r="E194" s="546">
        <f t="shared" si="22"/>
        <v>2124877</v>
      </c>
    </row>
    <row r="195" spans="1:5" s="506" customFormat="1" ht="12.75">
      <c r="A195" s="512">
        <v>10</v>
      </c>
      <c r="B195" s="511" t="s">
        <v>906</v>
      </c>
      <c r="C195" s="513">
        <f>+C193+C194</f>
        <v>5038795</v>
      </c>
      <c r="D195" s="513">
        <f>+D193+D194</f>
        <v>7120508</v>
      </c>
      <c r="E195" s="549">
        <f t="shared" si="22"/>
        <v>2081713</v>
      </c>
    </row>
    <row r="196" spans="1:5" s="506" customFormat="1" ht="12.75">
      <c r="A196" s="512">
        <v>11</v>
      </c>
      <c r="B196" s="511" t="s">
        <v>907</v>
      </c>
      <c r="C196" s="513">
        <v>83765311</v>
      </c>
      <c r="D196" s="513">
        <v>84371463</v>
      </c>
      <c r="E196" s="546">
        <f t="shared" si="22"/>
        <v>606152</v>
      </c>
    </row>
    <row r="197" spans="1:5" s="506" customFormat="1" ht="12.75">
      <c r="A197" s="512">
        <v>12</v>
      </c>
      <c r="B197" s="511" t="s">
        <v>792</v>
      </c>
      <c r="C197" s="513">
        <v>85362191</v>
      </c>
      <c r="D197" s="513">
        <v>88487473</v>
      </c>
      <c r="E197" s="546">
        <f t="shared" si="22"/>
        <v>3125282</v>
      </c>
    </row>
    <row r="198" spans="1:5" s="506" customFormat="1" ht="12.75">
      <c r="A198" s="512"/>
      <c r="B198" s="511"/>
      <c r="C198" s="513"/>
      <c r="D198" s="513"/>
      <c r="E198" s="510"/>
    </row>
    <row r="199" spans="1:5" s="506" customFormat="1" ht="15.75" customHeight="1">
      <c r="A199" s="529" t="s">
        <v>259</v>
      </c>
      <c r="B199" s="550" t="s">
        <v>908</v>
      </c>
      <c r="C199" s="510"/>
      <c r="D199" s="510"/>
      <c r="E199" s="510"/>
    </row>
    <row r="200" spans="1:5" s="506" customFormat="1" ht="12.75">
      <c r="A200" s="508"/>
      <c r="B200" s="551"/>
      <c r="C200" s="510"/>
      <c r="D200" s="510"/>
      <c r="E200" s="510"/>
    </row>
    <row r="201" spans="1:5" s="506" customFormat="1" ht="12.75">
      <c r="A201" s="508" t="s">
        <v>129</v>
      </c>
      <c r="B201" s="509" t="s">
        <v>909</v>
      </c>
      <c r="C201" s="510"/>
      <c r="D201" s="510"/>
      <c r="E201" s="510"/>
    </row>
    <row r="202" spans="2:5" s="506" customFormat="1" ht="12.75">
      <c r="B202" s="552"/>
      <c r="C202" s="510"/>
      <c r="D202" s="510"/>
      <c r="E202" s="510"/>
    </row>
    <row r="203" spans="1:5" s="506" customFormat="1" ht="12.75">
      <c r="A203" s="512">
        <v>1</v>
      </c>
      <c r="B203" s="511" t="s">
        <v>738</v>
      </c>
      <c r="C203" s="553">
        <v>1987.0425000000002</v>
      </c>
      <c r="D203" s="553">
        <v>2054.8324000000002</v>
      </c>
      <c r="E203" s="554">
        <f aca="true" t="shared" si="23" ref="E203:E211">D203-C203</f>
        <v>67.78989999999999</v>
      </c>
    </row>
    <row r="204" spans="1:5" s="506" customFormat="1" ht="12.75">
      <c r="A204" s="512">
        <v>2</v>
      </c>
      <c r="B204" s="511" t="s">
        <v>717</v>
      </c>
      <c r="C204" s="553">
        <v>3824.2960000000003</v>
      </c>
      <c r="D204" s="553">
        <v>3805.3215</v>
      </c>
      <c r="E204" s="554">
        <f t="shared" si="23"/>
        <v>-18.974500000000262</v>
      </c>
    </row>
    <row r="205" spans="1:5" s="506" customFormat="1" ht="12.75">
      <c r="A205" s="512">
        <v>3</v>
      </c>
      <c r="B205" s="511" t="s">
        <v>863</v>
      </c>
      <c r="C205" s="553">
        <f>C206+C207</f>
        <v>381.665</v>
      </c>
      <c r="D205" s="553">
        <f>D206+D207</f>
        <v>375.53267999999997</v>
      </c>
      <c r="E205" s="554">
        <f t="shared" si="23"/>
        <v>-6.13232000000005</v>
      </c>
    </row>
    <row r="206" spans="1:5" s="506" customFormat="1" ht="12.75">
      <c r="A206" s="512">
        <v>4</v>
      </c>
      <c r="B206" s="511" t="s">
        <v>229</v>
      </c>
      <c r="C206" s="553">
        <v>380.0106</v>
      </c>
      <c r="D206" s="553">
        <v>343.37865</v>
      </c>
      <c r="E206" s="554">
        <f t="shared" si="23"/>
        <v>-36.63195000000002</v>
      </c>
    </row>
    <row r="207" spans="1:5" s="506" customFormat="1" ht="12.75">
      <c r="A207" s="512">
        <v>5</v>
      </c>
      <c r="B207" s="511" t="s">
        <v>830</v>
      </c>
      <c r="C207" s="553">
        <v>1.6544</v>
      </c>
      <c r="D207" s="553">
        <v>32.15403</v>
      </c>
      <c r="E207" s="554">
        <f t="shared" si="23"/>
        <v>30.49963</v>
      </c>
    </row>
    <row r="208" spans="1:5" s="506" customFormat="1" ht="12.75">
      <c r="A208" s="512">
        <v>6</v>
      </c>
      <c r="B208" s="511" t="s">
        <v>533</v>
      </c>
      <c r="C208" s="553">
        <v>7.67896</v>
      </c>
      <c r="D208" s="553">
        <v>1.55685</v>
      </c>
      <c r="E208" s="554">
        <f t="shared" si="23"/>
        <v>-6.12211</v>
      </c>
    </row>
    <row r="209" spans="1:5" s="506" customFormat="1" ht="12.75">
      <c r="A209" s="512">
        <v>7</v>
      </c>
      <c r="B209" s="511" t="s">
        <v>845</v>
      </c>
      <c r="C209" s="553">
        <v>120.83720000000001</v>
      </c>
      <c r="D209" s="553">
        <v>110.60576999999999</v>
      </c>
      <c r="E209" s="554">
        <f t="shared" si="23"/>
        <v>-10.231430000000017</v>
      </c>
    </row>
    <row r="210" spans="1:5" s="506" customFormat="1" ht="12.75">
      <c r="A210" s="512"/>
      <c r="B210" s="516" t="s">
        <v>910</v>
      </c>
      <c r="C210" s="555">
        <f>C204+C205+C208</f>
        <v>4213.63996</v>
      </c>
      <c r="D210" s="555">
        <f>D204+D205+D208</f>
        <v>4182.41103</v>
      </c>
      <c r="E210" s="556">
        <f t="shared" si="23"/>
        <v>-31.22893000000022</v>
      </c>
    </row>
    <row r="211" spans="1:5" s="506" customFormat="1" ht="12.75">
      <c r="A211" s="512"/>
      <c r="B211" s="516" t="s">
        <v>809</v>
      </c>
      <c r="C211" s="555">
        <f>C210+C203</f>
        <v>6200.682460000001</v>
      </c>
      <c r="D211" s="555">
        <f>D210+D203</f>
        <v>6237.24343</v>
      </c>
      <c r="E211" s="556">
        <f t="shared" si="23"/>
        <v>36.56096999999954</v>
      </c>
    </row>
    <row r="212" spans="1:5" s="506" customFormat="1" ht="12.75">
      <c r="A212" s="512"/>
      <c r="B212" s="551"/>
      <c r="C212" s="510"/>
      <c r="D212" s="510"/>
      <c r="E212" s="555"/>
    </row>
    <row r="213" spans="1:5" s="506" customFormat="1" ht="12.75">
      <c r="A213" s="508" t="s">
        <v>141</v>
      </c>
      <c r="B213" s="509" t="s">
        <v>911</v>
      </c>
      <c r="C213" s="510"/>
      <c r="D213" s="510"/>
      <c r="E213" s="555"/>
    </row>
    <row r="214" spans="1:5" s="506" customFormat="1" ht="12.75">
      <c r="A214" s="505"/>
      <c r="B214" s="551"/>
      <c r="C214" s="510"/>
      <c r="D214" s="510"/>
      <c r="E214" s="510"/>
    </row>
    <row r="215" spans="1:5" s="506" customFormat="1" ht="12.75">
      <c r="A215" s="512">
        <v>1</v>
      </c>
      <c r="B215" s="511" t="s">
        <v>738</v>
      </c>
      <c r="C215" s="557">
        <f>IF(C14*C137=0,0,C25/C14*C137)</f>
        <v>2654.988627706376</v>
      </c>
      <c r="D215" s="557">
        <f>IF(D14*D137=0,0,D25/D14*D137)</f>
        <v>2613.1704822416555</v>
      </c>
      <c r="E215" s="557">
        <f aca="true" t="shared" si="24" ref="E215:E223">D215-C215</f>
        <v>-41.8181454647206</v>
      </c>
    </row>
    <row r="216" spans="1:5" s="506" customFormat="1" ht="12.75">
      <c r="A216" s="512">
        <v>2</v>
      </c>
      <c r="B216" s="511" t="s">
        <v>717</v>
      </c>
      <c r="C216" s="557">
        <f>IF(C15*C138=0,0,C26/C15*C138)</f>
        <v>824.3630867456828</v>
      </c>
      <c r="D216" s="557">
        <f>IF(D15*D138=0,0,D26/D15*D138)</f>
        <v>753.4132033440786</v>
      </c>
      <c r="E216" s="557">
        <f t="shared" si="24"/>
        <v>-70.94988340160421</v>
      </c>
    </row>
    <row r="217" spans="1:5" s="506" customFormat="1" ht="12.75">
      <c r="A217" s="512">
        <v>3</v>
      </c>
      <c r="B217" s="511" t="s">
        <v>863</v>
      </c>
      <c r="C217" s="557">
        <f>C218+C219</f>
        <v>430.32808507028324</v>
      </c>
      <c r="D217" s="557">
        <f>D218+D219</f>
        <v>617.4013874598388</v>
      </c>
      <c r="E217" s="557">
        <f t="shared" si="24"/>
        <v>187.07330238955558</v>
      </c>
    </row>
    <row r="218" spans="1:5" s="506" customFormat="1" ht="12.75">
      <c r="A218" s="512">
        <v>4</v>
      </c>
      <c r="B218" s="511" t="s">
        <v>229</v>
      </c>
      <c r="C218" s="557">
        <f aca="true" t="shared" si="25" ref="C218:D221">IF(C17*C140=0,0,C28/C17*C140)</f>
        <v>428.30250984394104</v>
      </c>
      <c r="D218" s="557">
        <f t="shared" si="25"/>
        <v>541.8164642729864</v>
      </c>
      <c r="E218" s="557">
        <f t="shared" si="24"/>
        <v>113.51395442904538</v>
      </c>
    </row>
    <row r="219" spans="1:5" s="506" customFormat="1" ht="12.75">
      <c r="A219" s="512">
        <v>5</v>
      </c>
      <c r="B219" s="511" t="s">
        <v>830</v>
      </c>
      <c r="C219" s="557">
        <f t="shared" si="25"/>
        <v>2.0255752263421947</v>
      </c>
      <c r="D219" s="557">
        <f t="shared" si="25"/>
        <v>75.58492318685245</v>
      </c>
      <c r="E219" s="557">
        <f t="shared" si="24"/>
        <v>73.55934796051025</v>
      </c>
    </row>
    <row r="220" spans="1:5" s="506" customFormat="1" ht="12.75">
      <c r="A220" s="512">
        <v>6</v>
      </c>
      <c r="B220" s="511" t="s">
        <v>533</v>
      </c>
      <c r="C220" s="557">
        <f t="shared" si="25"/>
        <v>11.804111795702546</v>
      </c>
      <c r="D220" s="557">
        <f t="shared" si="25"/>
        <v>15.049198274196666</v>
      </c>
      <c r="E220" s="557">
        <f t="shared" si="24"/>
        <v>3.2450864784941196</v>
      </c>
    </row>
    <row r="221" spans="1:5" s="506" customFormat="1" ht="12.75">
      <c r="A221" s="512">
        <v>7</v>
      </c>
      <c r="B221" s="511" t="s">
        <v>845</v>
      </c>
      <c r="C221" s="557">
        <f t="shared" si="25"/>
        <v>194.99084477867768</v>
      </c>
      <c r="D221" s="557">
        <f t="shared" si="25"/>
        <v>197.7521256618767</v>
      </c>
      <c r="E221" s="557">
        <f t="shared" si="24"/>
        <v>2.7612808831990208</v>
      </c>
    </row>
    <row r="222" spans="1:5" s="506" customFormat="1" ht="12.75">
      <c r="A222" s="512"/>
      <c r="B222" s="516" t="s">
        <v>912</v>
      </c>
      <c r="C222" s="558">
        <f>C216+C218+C219+C220</f>
        <v>1266.4952836116686</v>
      </c>
      <c r="D222" s="558">
        <f>D216+D218+D219+D220</f>
        <v>1385.863789078114</v>
      </c>
      <c r="E222" s="558">
        <f t="shared" si="24"/>
        <v>119.36850546644541</v>
      </c>
    </row>
    <row r="223" spans="1:5" s="506" customFormat="1" ht="12.75">
      <c r="A223" s="512"/>
      <c r="B223" s="516" t="s">
        <v>913</v>
      </c>
      <c r="C223" s="558">
        <f>C215+C222</f>
        <v>3921.4839113180446</v>
      </c>
      <c r="D223" s="558">
        <f>D215+D222</f>
        <v>3999.0342713197697</v>
      </c>
      <c r="E223" s="558">
        <f t="shared" si="24"/>
        <v>77.55036000172504</v>
      </c>
    </row>
    <row r="224" spans="1:5" s="506" customFormat="1" ht="12.75">
      <c r="A224" s="505"/>
      <c r="B224" s="551"/>
      <c r="C224" s="510"/>
      <c r="D224" s="510"/>
      <c r="E224" s="559"/>
    </row>
    <row r="225" spans="1:5" s="506" customFormat="1" ht="12.75">
      <c r="A225" s="508" t="s">
        <v>151</v>
      </c>
      <c r="B225" s="509" t="s">
        <v>914</v>
      </c>
      <c r="C225" s="510"/>
      <c r="D225" s="510"/>
      <c r="E225" s="559"/>
    </row>
    <row r="226" spans="1:5" s="506" customFormat="1" ht="12.75">
      <c r="A226" s="505"/>
      <c r="B226" s="551"/>
      <c r="C226" s="510"/>
      <c r="D226" s="510"/>
      <c r="E226" s="559"/>
    </row>
    <row r="227" spans="1:5" s="506" customFormat="1" ht="12.75">
      <c r="A227" s="512">
        <v>1</v>
      </c>
      <c r="B227" s="511" t="s">
        <v>738</v>
      </c>
      <c r="C227" s="560">
        <f aca="true" t="shared" si="26" ref="C227:D235">IF(C203=0,0,C47/C203)</f>
        <v>7775.203600325609</v>
      </c>
      <c r="D227" s="560">
        <f t="shared" si="26"/>
        <v>7698.731536450368</v>
      </c>
      <c r="E227" s="560">
        <f aca="true" t="shared" si="27" ref="E227:E235">D227-C227</f>
        <v>-76.47206387524056</v>
      </c>
    </row>
    <row r="228" spans="1:5" s="506" customFormat="1" ht="12.75">
      <c r="A228" s="512">
        <v>2</v>
      </c>
      <c r="B228" s="511" t="s">
        <v>717</v>
      </c>
      <c r="C228" s="560">
        <f t="shared" si="26"/>
        <v>7037.198218966314</v>
      </c>
      <c r="D228" s="560">
        <f t="shared" si="26"/>
        <v>6728.033623440227</v>
      </c>
      <c r="E228" s="560">
        <f t="shared" si="27"/>
        <v>-309.1645955260874</v>
      </c>
    </row>
    <row r="229" spans="1:5" s="506" customFormat="1" ht="12.75">
      <c r="A229" s="512">
        <v>3</v>
      </c>
      <c r="B229" s="511" t="s">
        <v>863</v>
      </c>
      <c r="C229" s="560">
        <f t="shared" si="26"/>
        <v>4885.302555906357</v>
      </c>
      <c r="D229" s="560">
        <f t="shared" si="26"/>
        <v>4102.364673029256</v>
      </c>
      <c r="E229" s="560">
        <f t="shared" si="27"/>
        <v>-782.9378828771014</v>
      </c>
    </row>
    <row r="230" spans="1:5" s="506" customFormat="1" ht="12.75">
      <c r="A230" s="512">
        <v>4</v>
      </c>
      <c r="B230" s="511" t="s">
        <v>229</v>
      </c>
      <c r="C230" s="560">
        <f t="shared" si="26"/>
        <v>4836.0440471923675</v>
      </c>
      <c r="D230" s="560">
        <f t="shared" si="26"/>
        <v>4314.10630800721</v>
      </c>
      <c r="E230" s="560">
        <f t="shared" si="27"/>
        <v>-521.9377391851576</v>
      </c>
    </row>
    <row r="231" spans="1:5" s="506" customFormat="1" ht="12.75">
      <c r="A231" s="512">
        <v>5</v>
      </c>
      <c r="B231" s="511" t="s">
        <v>830</v>
      </c>
      <c r="C231" s="560">
        <f t="shared" si="26"/>
        <v>16199.83075435203</v>
      </c>
      <c r="D231" s="560">
        <f t="shared" si="26"/>
        <v>1841.137798279096</v>
      </c>
      <c r="E231" s="560">
        <f t="shared" si="27"/>
        <v>-14358.692956072933</v>
      </c>
    </row>
    <row r="232" spans="1:5" s="506" customFormat="1" ht="12.75">
      <c r="A232" s="512">
        <v>6</v>
      </c>
      <c r="B232" s="511" t="s">
        <v>533</v>
      </c>
      <c r="C232" s="560">
        <f t="shared" si="26"/>
        <v>4848.182566389199</v>
      </c>
      <c r="D232" s="560">
        <f t="shared" si="26"/>
        <v>6166.297331149436</v>
      </c>
      <c r="E232" s="560">
        <f t="shared" si="27"/>
        <v>1318.1147647602374</v>
      </c>
    </row>
    <row r="233" spans="1:5" s="506" customFormat="1" ht="12.75">
      <c r="A233" s="512">
        <v>7</v>
      </c>
      <c r="B233" s="511" t="s">
        <v>845</v>
      </c>
      <c r="C233" s="560">
        <f t="shared" si="26"/>
        <v>4725.051556970866</v>
      </c>
      <c r="D233" s="560">
        <f t="shared" si="26"/>
        <v>1700.1644670074627</v>
      </c>
      <c r="E233" s="560">
        <f t="shared" si="27"/>
        <v>-3024.887089963403</v>
      </c>
    </row>
    <row r="234" spans="1:5" ht="12.75">
      <c r="A234" s="512"/>
      <c r="B234" s="516" t="s">
        <v>915</v>
      </c>
      <c r="C234" s="561">
        <f t="shared" si="26"/>
        <v>6838.293559376629</v>
      </c>
      <c r="D234" s="561">
        <f t="shared" si="26"/>
        <v>6492.069479837805</v>
      </c>
      <c r="E234" s="561">
        <f t="shared" si="27"/>
        <v>-346.2240795388234</v>
      </c>
    </row>
    <row r="235" spans="1:5" s="506" customFormat="1" ht="12.75">
      <c r="A235" s="512"/>
      <c r="B235" s="516" t="s">
        <v>916</v>
      </c>
      <c r="C235" s="561">
        <f t="shared" si="26"/>
        <v>7138.531489967637</v>
      </c>
      <c r="D235" s="561">
        <f t="shared" si="26"/>
        <v>6889.598984274371</v>
      </c>
      <c r="E235" s="561">
        <f t="shared" si="27"/>
        <v>-248.93250569326574</v>
      </c>
    </row>
    <row r="236" spans="1:5" s="506" customFormat="1" ht="12.75">
      <c r="A236" s="505"/>
      <c r="B236" s="551"/>
      <c r="C236" s="510"/>
      <c r="D236" s="510"/>
      <c r="E236" s="561"/>
    </row>
    <row r="237" spans="1:5" s="506" customFormat="1" ht="12.75">
      <c r="A237" s="508" t="s">
        <v>436</v>
      </c>
      <c r="B237" s="509" t="s">
        <v>917</v>
      </c>
      <c r="C237" s="340"/>
      <c r="D237" s="340"/>
      <c r="E237" s="561"/>
    </row>
    <row r="238" spans="1:5" s="506" customFormat="1" ht="12.75">
      <c r="A238" s="505"/>
      <c r="B238" s="519"/>
      <c r="C238" s="520"/>
      <c r="D238" s="520"/>
      <c r="E238" s="520"/>
    </row>
    <row r="239" spans="1:5" s="506" customFormat="1" ht="12.75">
      <c r="A239" s="512">
        <v>1</v>
      </c>
      <c r="B239" s="511" t="s">
        <v>738</v>
      </c>
      <c r="C239" s="560">
        <f aca="true" t="shared" si="28" ref="C239:D247">IF(C215=0,0,C58/C215)</f>
        <v>8962.707693613393</v>
      </c>
      <c r="D239" s="560">
        <f t="shared" si="28"/>
        <v>8526.30479006749</v>
      </c>
      <c r="E239" s="562">
        <f aca="true" t="shared" si="29" ref="E239:E247">D239-C239</f>
        <v>-436.4029035459025</v>
      </c>
    </row>
    <row r="240" spans="1:5" s="506" customFormat="1" ht="12.75">
      <c r="A240" s="512">
        <v>2</v>
      </c>
      <c r="B240" s="511" t="s">
        <v>717</v>
      </c>
      <c r="C240" s="560">
        <f t="shared" si="28"/>
        <v>8614.696744895451</v>
      </c>
      <c r="D240" s="560">
        <f t="shared" si="28"/>
        <v>8285.104338885965</v>
      </c>
      <c r="E240" s="562">
        <f t="shared" si="29"/>
        <v>-329.5924060094858</v>
      </c>
    </row>
    <row r="241" spans="1:5" ht="12.75">
      <c r="A241" s="512">
        <v>3</v>
      </c>
      <c r="B241" s="511" t="s">
        <v>863</v>
      </c>
      <c r="C241" s="560">
        <f t="shared" si="28"/>
        <v>3653.2382025292136</v>
      </c>
      <c r="D241" s="560">
        <f t="shared" si="28"/>
        <v>3324.317116364609</v>
      </c>
      <c r="E241" s="562">
        <f t="shared" si="29"/>
        <v>-328.92108616460473</v>
      </c>
    </row>
    <row r="242" spans="1:5" ht="12.75">
      <c r="A242" s="512">
        <v>4</v>
      </c>
      <c r="B242" s="511" t="s">
        <v>229</v>
      </c>
      <c r="C242" s="560">
        <f t="shared" si="28"/>
        <v>3590.280151662654</v>
      </c>
      <c r="D242" s="560">
        <f t="shared" si="28"/>
        <v>3337.5969894648333</v>
      </c>
      <c r="E242" s="562">
        <f t="shared" si="29"/>
        <v>-252.68316219782082</v>
      </c>
    </row>
    <row r="243" spans="1:5" ht="12.75">
      <c r="A243" s="512">
        <v>5</v>
      </c>
      <c r="B243" s="511" t="s">
        <v>830</v>
      </c>
      <c r="C243" s="560">
        <f t="shared" si="28"/>
        <v>16965.551095358074</v>
      </c>
      <c r="D243" s="560">
        <f t="shared" si="28"/>
        <v>3229.122815890551</v>
      </c>
      <c r="E243" s="562">
        <f t="shared" si="29"/>
        <v>-13736.428279467524</v>
      </c>
    </row>
    <row r="244" spans="1:5" ht="12.75">
      <c r="A244" s="512">
        <v>6</v>
      </c>
      <c r="B244" s="511" t="s">
        <v>533</v>
      </c>
      <c r="C244" s="560">
        <f t="shared" si="28"/>
        <v>6299.41509255033</v>
      </c>
      <c r="D244" s="560">
        <f t="shared" si="28"/>
        <v>6906.8795630276545</v>
      </c>
      <c r="E244" s="562">
        <f t="shared" si="29"/>
        <v>607.4644704773245</v>
      </c>
    </row>
    <row r="245" spans="1:5" ht="12.75">
      <c r="A245" s="512">
        <v>7</v>
      </c>
      <c r="B245" s="511" t="s">
        <v>845</v>
      </c>
      <c r="C245" s="560">
        <f t="shared" si="28"/>
        <v>6071.95687235398</v>
      </c>
      <c r="D245" s="560">
        <f t="shared" si="28"/>
        <v>2338.670183453597</v>
      </c>
      <c r="E245" s="562">
        <f t="shared" si="29"/>
        <v>-3733.2866889003826</v>
      </c>
    </row>
    <row r="246" spans="1:5" ht="25.5">
      <c r="A246" s="512"/>
      <c r="B246" s="516" t="s">
        <v>918</v>
      </c>
      <c r="C246" s="561">
        <f t="shared" si="28"/>
        <v>6907.319840191627</v>
      </c>
      <c r="D246" s="561">
        <f t="shared" si="28"/>
        <v>6060.110716643178</v>
      </c>
      <c r="E246" s="563">
        <f t="shared" si="29"/>
        <v>-847.2091235484486</v>
      </c>
    </row>
    <row r="247" spans="1:5" ht="12.75">
      <c r="A247" s="512"/>
      <c r="B247" s="516" t="s">
        <v>919</v>
      </c>
      <c r="C247" s="561">
        <f t="shared" si="28"/>
        <v>8298.892902779166</v>
      </c>
      <c r="D247" s="561">
        <f t="shared" si="28"/>
        <v>7671.646182185679</v>
      </c>
      <c r="E247" s="563">
        <f t="shared" si="29"/>
        <v>-627.2467205934863</v>
      </c>
    </row>
    <row r="248" spans="1:5" ht="12.75">
      <c r="A248" s="505"/>
      <c r="B248" s="519"/>
      <c r="C248" s="560"/>
      <c r="D248" s="560"/>
      <c r="E248" s="563"/>
    </row>
    <row r="249" spans="1:5" s="506" customFormat="1" ht="15.75" customHeight="1">
      <c r="A249" s="529" t="s">
        <v>847</v>
      </c>
      <c r="B249" s="550" t="s">
        <v>844</v>
      </c>
      <c r="C249" s="520"/>
      <c r="D249" s="520"/>
      <c r="E249" s="561"/>
    </row>
    <row r="250" spans="1:5" ht="12.75">
      <c r="A250" s="505"/>
      <c r="B250" s="519"/>
      <c r="C250" s="560"/>
      <c r="D250" s="560"/>
      <c r="E250" s="561"/>
    </row>
    <row r="251" spans="1:5" ht="12.75">
      <c r="A251" s="512">
        <v>1</v>
      </c>
      <c r="B251" s="511" t="s">
        <v>229</v>
      </c>
      <c r="C251" s="546">
        <f>((IF((IF(C15=0,0,C26/C15)*C138)=0,0,C59/(IF(C15=0,0,C26/C15)*C138)))-(IF((IF(C17=0,0,C28/C17)*C140)=0,0,C61/(IF(C17=0,0,C28/C17)*C140))))*(IF(C17=0,0,C28/C17)*C140)</f>
        <v>2151970.2373831505</v>
      </c>
      <c r="D251" s="546">
        <f>((IF((IF(D15=0,0,D26/D15)*D138)=0,0,D59/(IF(D15=0,0,D26/D15)*D138)))-(IF((IF(D17=0,0,D28/D17)*D140)=0,0,D61/(IF(D17=0,0,D28/D17)*D140))))*(IF(D17=0,0,D28/D17)*D140)</f>
        <v>2680640.9390279725</v>
      </c>
      <c r="E251" s="546">
        <f>D251-C251</f>
        <v>528670.701644822</v>
      </c>
    </row>
    <row r="252" spans="1:5" ht="12.75">
      <c r="A252" s="512">
        <v>2</v>
      </c>
      <c r="B252" s="511" t="s">
        <v>830</v>
      </c>
      <c r="C252" s="546">
        <f>IF(C231=0,0,(C228-C231)*C207)+IF(C243=0,0,(C240-C243)*C219)</f>
        <v>-32073.94295763116</v>
      </c>
      <c r="D252" s="546">
        <f>IF(D231=0,0,(D228-D231)*D207)+IF(D243=0,0,(D240-D243)*D219)</f>
        <v>539289.3700188594</v>
      </c>
      <c r="E252" s="546">
        <f>D252-C252</f>
        <v>571363.3129764906</v>
      </c>
    </row>
    <row r="253" spans="1:5" ht="12.75">
      <c r="A253" s="512">
        <v>3</v>
      </c>
      <c r="B253" s="511" t="s">
        <v>845</v>
      </c>
      <c r="C253" s="546">
        <f>IF(C233=0,0,(C228-C233)*C209+IF(C221=0,0,(C240-C245)*C221))</f>
        <v>775204.3244241651</v>
      </c>
      <c r="D253" s="546">
        <f>IF(D233=0,0,(D228-D233)*D209+IF(D221=0,0,(D240-D245)*D221))</f>
        <v>1732031.3338516336</v>
      </c>
      <c r="E253" s="546">
        <f>D253-C253</f>
        <v>956827.0094274685</v>
      </c>
    </row>
    <row r="254" spans="1:5" ht="15" customHeight="1">
      <c r="A254" s="512"/>
      <c r="B254" s="516" t="s">
        <v>846</v>
      </c>
      <c r="C254" s="564">
        <f>+C251+C252+C253</f>
        <v>2895100.6188496845</v>
      </c>
      <c r="D254" s="564">
        <f>+D251+D252+D253</f>
        <v>4951961.6428984655</v>
      </c>
      <c r="E254" s="564">
        <f>D254-C254</f>
        <v>2056861.024048781</v>
      </c>
    </row>
    <row r="255" spans="1:5" ht="12.75">
      <c r="A255" s="502"/>
      <c r="B255" s="519"/>
      <c r="C255" s="520"/>
      <c r="D255" s="520"/>
      <c r="E255" s="564"/>
    </row>
    <row r="256" spans="1:5" ht="15.75" customHeight="1">
      <c r="A256" s="529" t="s">
        <v>920</v>
      </c>
      <c r="B256" s="550" t="s">
        <v>921</v>
      </c>
      <c r="C256" s="520"/>
      <c r="D256" s="520"/>
      <c r="E256" s="564"/>
    </row>
    <row r="257" spans="1:5" ht="11.25" customHeight="1">
      <c r="A257" s="502"/>
      <c r="B257" s="519"/>
      <c r="C257" s="520"/>
      <c r="D257" s="520"/>
      <c r="E257" s="520"/>
    </row>
    <row r="258" spans="1:5" ht="12.75">
      <c r="A258" s="512">
        <v>1</v>
      </c>
      <c r="B258" s="511" t="s">
        <v>812</v>
      </c>
      <c r="C258" s="546">
        <f>+C44</f>
        <v>222377754</v>
      </c>
      <c r="D258" s="549">
        <f>+D44</f>
        <v>219139563</v>
      </c>
      <c r="E258" s="546">
        <f aca="true" t="shared" si="30" ref="E258:E271">D258-C258</f>
        <v>-3238191</v>
      </c>
    </row>
    <row r="259" spans="1:5" ht="12.75">
      <c r="A259" s="512">
        <v>2</v>
      </c>
      <c r="B259" s="511" t="s">
        <v>829</v>
      </c>
      <c r="C259" s="546">
        <f>+(C43-C76)</f>
        <v>91813851</v>
      </c>
      <c r="D259" s="549">
        <f>+(D43-D76)</f>
        <v>88521362</v>
      </c>
      <c r="E259" s="546">
        <f t="shared" si="30"/>
        <v>-3292489</v>
      </c>
    </row>
    <row r="260" spans="1:5" ht="12.75">
      <c r="A260" s="512">
        <v>3</v>
      </c>
      <c r="B260" s="511" t="s">
        <v>833</v>
      </c>
      <c r="C260" s="546">
        <f>C195</f>
        <v>5038795</v>
      </c>
      <c r="D260" s="546">
        <f>D195</f>
        <v>7120508</v>
      </c>
      <c r="E260" s="546">
        <f t="shared" si="30"/>
        <v>2081713</v>
      </c>
    </row>
    <row r="261" spans="1:5" ht="12.75">
      <c r="A261" s="512">
        <v>4</v>
      </c>
      <c r="B261" s="511" t="s">
        <v>834</v>
      </c>
      <c r="C261" s="546">
        <f>C188</f>
        <v>47145662</v>
      </c>
      <c r="D261" s="546">
        <f>D188</f>
        <v>47923524</v>
      </c>
      <c r="E261" s="546">
        <f t="shared" si="30"/>
        <v>777862</v>
      </c>
    </row>
    <row r="262" spans="1:5" ht="12.75">
      <c r="A262" s="512">
        <v>5</v>
      </c>
      <c r="B262" s="511" t="s">
        <v>835</v>
      </c>
      <c r="C262" s="546">
        <f>C191</f>
        <v>1571704</v>
      </c>
      <c r="D262" s="546">
        <f>D191</f>
        <v>1818984</v>
      </c>
      <c r="E262" s="546">
        <f t="shared" si="30"/>
        <v>247280</v>
      </c>
    </row>
    <row r="263" spans="1:5" ht="12.75">
      <c r="A263" s="512">
        <v>6</v>
      </c>
      <c r="B263" s="511" t="s">
        <v>836</v>
      </c>
      <c r="C263" s="546">
        <f>+C259+C260+C261+C262</f>
        <v>145570012</v>
      </c>
      <c r="D263" s="546">
        <f>+D259+D260+D261+D262</f>
        <v>145384378</v>
      </c>
      <c r="E263" s="546">
        <f t="shared" si="30"/>
        <v>-185634</v>
      </c>
    </row>
    <row r="264" spans="1:5" ht="12.75">
      <c r="A264" s="512">
        <v>7</v>
      </c>
      <c r="B264" s="511" t="s">
        <v>736</v>
      </c>
      <c r="C264" s="546">
        <f>+C258-C263</f>
        <v>76807742</v>
      </c>
      <c r="D264" s="546">
        <f>+D258-D263</f>
        <v>73755185</v>
      </c>
      <c r="E264" s="546">
        <f t="shared" si="30"/>
        <v>-3052557</v>
      </c>
    </row>
    <row r="265" spans="1:5" ht="12.75">
      <c r="A265" s="512">
        <v>8</v>
      </c>
      <c r="B265" s="511" t="s">
        <v>922</v>
      </c>
      <c r="C265" s="565">
        <f>C192</f>
        <v>271906</v>
      </c>
      <c r="D265" s="565">
        <f>D192</f>
        <v>360327</v>
      </c>
      <c r="E265" s="546">
        <f t="shared" si="30"/>
        <v>88421</v>
      </c>
    </row>
    <row r="266" spans="1:5" ht="12.75">
      <c r="A266" s="512">
        <v>9</v>
      </c>
      <c r="B266" s="511" t="s">
        <v>923</v>
      </c>
      <c r="C266" s="546">
        <f>+C264+C265</f>
        <v>77079648</v>
      </c>
      <c r="D266" s="546">
        <f>+D264+D265</f>
        <v>74115512</v>
      </c>
      <c r="E266" s="565">
        <f t="shared" si="30"/>
        <v>-2964136</v>
      </c>
    </row>
    <row r="267" spans="1:5" ht="12.75">
      <c r="A267" s="512">
        <v>10</v>
      </c>
      <c r="B267" s="511" t="s">
        <v>924</v>
      </c>
      <c r="C267" s="566">
        <f>IF(C258=0,0,C266/C258)</f>
        <v>0.3466158220124842</v>
      </c>
      <c r="D267" s="566">
        <f>IF(D258=0,0,D266/D258)</f>
        <v>0.3382114620717757</v>
      </c>
      <c r="E267" s="567">
        <f t="shared" si="30"/>
        <v>-0.008404359940708483</v>
      </c>
    </row>
    <row r="268" spans="1:5" ht="12.75">
      <c r="A268" s="512">
        <v>11</v>
      </c>
      <c r="B268" s="511" t="s">
        <v>798</v>
      </c>
      <c r="C268" s="546">
        <f>+C260*C267</f>
        <v>1746526.0708773953</v>
      </c>
      <c r="D268" s="568">
        <f>+D260*D267</f>
        <v>2408237.4213737757</v>
      </c>
      <c r="E268" s="546">
        <f t="shared" si="30"/>
        <v>661711.3504963804</v>
      </c>
    </row>
    <row r="269" spans="1:5" ht="12.75">
      <c r="A269" s="512">
        <v>12</v>
      </c>
      <c r="B269" s="511" t="s">
        <v>925</v>
      </c>
      <c r="C269" s="546">
        <f>((C17+C18+C28+C29)*C267)-(C50+C51+C61+C62)</f>
        <v>2545041.301097627</v>
      </c>
      <c r="D269" s="568">
        <f>((D17+D18+D28+D29)*D267)-(D50+D51+D61+D62)</f>
        <v>2615163.4091630736</v>
      </c>
      <c r="E269" s="546">
        <f t="shared" si="30"/>
        <v>70122.10806544684</v>
      </c>
    </row>
    <row r="270" spans="1:5" s="569" customFormat="1" ht="12.75">
      <c r="A270" s="570">
        <v>13</v>
      </c>
      <c r="B270" s="571" t="s">
        <v>926</v>
      </c>
      <c r="C270" s="572">
        <v>0</v>
      </c>
      <c r="D270" s="572">
        <v>0</v>
      </c>
      <c r="E270" s="546">
        <f t="shared" si="30"/>
        <v>0</v>
      </c>
    </row>
    <row r="271" spans="1:5" ht="12.75">
      <c r="A271" s="512">
        <v>14</v>
      </c>
      <c r="B271" s="511" t="s">
        <v>927</v>
      </c>
      <c r="C271" s="546">
        <f>+C268+C269+C270</f>
        <v>4291567.371975022</v>
      </c>
      <c r="D271" s="546">
        <f>+D268+D269+D270</f>
        <v>5023400.83053685</v>
      </c>
      <c r="E271" s="549">
        <f t="shared" si="30"/>
        <v>731833.4585618274</v>
      </c>
    </row>
    <row r="272" spans="1:5" ht="12.75">
      <c r="A272" s="512"/>
      <c r="B272" s="511"/>
      <c r="C272" s="546"/>
      <c r="D272" s="546"/>
      <c r="E272" s="564"/>
    </row>
    <row r="273" spans="1:5" ht="15.75" customHeight="1">
      <c r="A273" s="500" t="s">
        <v>928</v>
      </c>
      <c r="B273" s="550" t="s">
        <v>929</v>
      </c>
      <c r="C273" s="546"/>
      <c r="D273" s="546"/>
      <c r="E273" s="564"/>
    </row>
    <row r="274" spans="1:5" ht="15.75" customHeight="1">
      <c r="A274" s="508"/>
      <c r="B274" s="573"/>
      <c r="C274" s="546"/>
      <c r="D274" s="546"/>
      <c r="E274" s="564"/>
    </row>
    <row r="275" spans="1:5" ht="12.75">
      <c r="A275" s="340" t="s">
        <v>129</v>
      </c>
      <c r="B275" s="509" t="s">
        <v>930</v>
      </c>
      <c r="C275" s="340"/>
      <c r="D275" s="340"/>
      <c r="E275" s="520"/>
    </row>
    <row r="276" spans="1:5" ht="12.75">
      <c r="A276" s="512">
        <v>1</v>
      </c>
      <c r="B276" s="511" t="s">
        <v>738</v>
      </c>
      <c r="C276" s="547">
        <f aca="true" t="shared" si="31" ref="C276:D284">IF(C14=0,0,+C47/C14)</f>
        <v>0.4008497787195663</v>
      </c>
      <c r="D276" s="547">
        <f t="shared" si="31"/>
        <v>0.391711711961554</v>
      </c>
      <c r="E276" s="574">
        <f aca="true" t="shared" si="32" ref="E276:E284">D276-C276</f>
        <v>-0.009138066758012264</v>
      </c>
    </row>
    <row r="277" spans="1:5" ht="12.75">
      <c r="A277" s="512">
        <v>2</v>
      </c>
      <c r="B277" s="511" t="s">
        <v>717</v>
      </c>
      <c r="C277" s="547">
        <f t="shared" si="31"/>
        <v>0.3159815643824468</v>
      </c>
      <c r="D277" s="547">
        <f t="shared" si="31"/>
        <v>0.31832697947534944</v>
      </c>
      <c r="E277" s="574">
        <f t="shared" si="32"/>
        <v>0.0023454150929026474</v>
      </c>
    </row>
    <row r="278" spans="1:5" ht="12.75">
      <c r="A278" s="512">
        <v>3</v>
      </c>
      <c r="B278" s="511" t="s">
        <v>863</v>
      </c>
      <c r="C278" s="547">
        <f t="shared" si="31"/>
        <v>0.2198005048971963</v>
      </c>
      <c r="D278" s="547">
        <f t="shared" si="31"/>
        <v>0.20568027524221877</v>
      </c>
      <c r="E278" s="574">
        <f t="shared" si="32"/>
        <v>-0.014120229654977529</v>
      </c>
    </row>
    <row r="279" spans="1:5" ht="12.75">
      <c r="A279" s="512">
        <v>4</v>
      </c>
      <c r="B279" s="511" t="s">
        <v>229</v>
      </c>
      <c r="C279" s="547">
        <f t="shared" si="31"/>
        <v>0.21842715400429616</v>
      </c>
      <c r="D279" s="547">
        <f t="shared" si="31"/>
        <v>0.21997089569969114</v>
      </c>
      <c r="E279" s="574">
        <f t="shared" si="32"/>
        <v>0.001543741695394979</v>
      </c>
    </row>
    <row r="280" spans="1:5" ht="12.75">
      <c r="A280" s="512">
        <v>5</v>
      </c>
      <c r="B280" s="511" t="s">
        <v>830</v>
      </c>
      <c r="C280" s="547">
        <f t="shared" si="31"/>
        <v>0.3863819848912981</v>
      </c>
      <c r="D280" s="547">
        <f t="shared" si="31"/>
        <v>0.07833485504082145</v>
      </c>
      <c r="E280" s="574">
        <f t="shared" si="32"/>
        <v>-0.30804712985047666</v>
      </c>
    </row>
    <row r="281" spans="1:5" ht="12.75">
      <c r="A281" s="512">
        <v>6</v>
      </c>
      <c r="B281" s="511" t="s">
        <v>533</v>
      </c>
      <c r="C281" s="547">
        <f t="shared" si="31"/>
        <v>0.3388181545154215</v>
      </c>
      <c r="D281" s="547">
        <f t="shared" si="31"/>
        <v>0.2060660699336725</v>
      </c>
      <c r="E281" s="574">
        <f t="shared" si="32"/>
        <v>-0.13275208458174903</v>
      </c>
    </row>
    <row r="282" spans="1:5" ht="12.75">
      <c r="A282" s="512">
        <v>7</v>
      </c>
      <c r="B282" s="511" t="s">
        <v>845</v>
      </c>
      <c r="C282" s="547">
        <f t="shared" si="31"/>
        <v>0.22570308621087684</v>
      </c>
      <c r="D282" s="547">
        <f t="shared" si="31"/>
        <v>0.07216907507851181</v>
      </c>
      <c r="E282" s="574">
        <f t="shared" si="32"/>
        <v>-0.15353401113236503</v>
      </c>
    </row>
    <row r="283" spans="1:5" ht="29.25" customHeight="1">
      <c r="A283" s="512"/>
      <c r="B283" s="516" t="s">
        <v>931</v>
      </c>
      <c r="C283" s="575">
        <f t="shared" si="31"/>
        <v>0.30730667813838286</v>
      </c>
      <c r="D283" s="575">
        <f t="shared" si="31"/>
        <v>0.308675717598918</v>
      </c>
      <c r="E283" s="576">
        <f t="shared" si="32"/>
        <v>0.0013690394605351264</v>
      </c>
    </row>
    <row r="284" spans="1:5" ht="12.75">
      <c r="A284" s="512"/>
      <c r="B284" s="516" t="s">
        <v>932</v>
      </c>
      <c r="C284" s="575">
        <f t="shared" si="31"/>
        <v>0.33455694213466197</v>
      </c>
      <c r="D284" s="575">
        <f t="shared" si="31"/>
        <v>0.33480325300931846</v>
      </c>
      <c r="E284" s="576">
        <f t="shared" si="32"/>
        <v>0.0002463108746564857</v>
      </c>
    </row>
    <row r="285" spans="1:5" ht="11.25" customHeight="1">
      <c r="A285" s="502"/>
      <c r="B285" s="519"/>
      <c r="C285" s="520"/>
      <c r="D285" s="520"/>
      <c r="E285" s="520"/>
    </row>
    <row r="286" spans="1:5" ht="12.75">
      <c r="A286" s="340" t="s">
        <v>141</v>
      </c>
      <c r="B286" s="509" t="s">
        <v>933</v>
      </c>
      <c r="C286" s="520"/>
      <c r="D286" s="520"/>
      <c r="E286" s="520"/>
    </row>
    <row r="287" spans="1:5" ht="12.75">
      <c r="A287" s="512">
        <v>1</v>
      </c>
      <c r="B287" s="511" t="s">
        <v>738</v>
      </c>
      <c r="C287" s="547">
        <f aca="true" t="shared" si="33" ref="C287:D295">IF(C25=0,0,+C58/C25)</f>
        <v>0.4369469725900041</v>
      </c>
      <c r="D287" s="547">
        <f t="shared" si="33"/>
        <v>0.4074639010109822</v>
      </c>
      <c r="E287" s="574">
        <f aca="true" t="shared" si="34" ref="E287:E295">D287-C287</f>
        <v>-0.029483071579021913</v>
      </c>
    </row>
    <row r="288" spans="1:5" ht="12.75">
      <c r="A288" s="512">
        <v>2</v>
      </c>
      <c r="B288" s="511" t="s">
        <v>717</v>
      </c>
      <c r="C288" s="547">
        <f t="shared" si="33"/>
        <v>0.26621734046416323</v>
      </c>
      <c r="D288" s="547">
        <f t="shared" si="33"/>
        <v>0.2496004342221361</v>
      </c>
      <c r="E288" s="574">
        <f t="shared" si="34"/>
        <v>-0.016616906242027135</v>
      </c>
    </row>
    <row r="289" spans="1:5" ht="12.75">
      <c r="A289" s="512">
        <v>3</v>
      </c>
      <c r="B289" s="511" t="s">
        <v>863</v>
      </c>
      <c r="C289" s="547">
        <f t="shared" si="33"/>
        <v>0.1791665726438509</v>
      </c>
      <c r="D289" s="547">
        <f t="shared" si="33"/>
        <v>0.18889037060719988</v>
      </c>
      <c r="E289" s="574">
        <f t="shared" si="34"/>
        <v>0.009723797963348962</v>
      </c>
    </row>
    <row r="290" spans="1:5" ht="12.75">
      <c r="A290" s="512">
        <v>4</v>
      </c>
      <c r="B290" s="511" t="s">
        <v>229</v>
      </c>
      <c r="C290" s="547">
        <f t="shared" si="33"/>
        <v>0.17666452402657792</v>
      </c>
      <c r="D290" s="547">
        <f t="shared" si="33"/>
        <v>0.2066669554239183</v>
      </c>
      <c r="E290" s="574">
        <f t="shared" si="34"/>
        <v>0.03000243139734038</v>
      </c>
    </row>
    <row r="291" spans="1:5" ht="12.75">
      <c r="A291" s="512">
        <v>5</v>
      </c>
      <c r="B291" s="511" t="s">
        <v>830</v>
      </c>
      <c r="C291" s="547">
        <f t="shared" si="33"/>
        <v>0.48917453132339755</v>
      </c>
      <c r="D291" s="547">
        <f t="shared" si="33"/>
        <v>0.11536701735943378</v>
      </c>
      <c r="E291" s="574">
        <f t="shared" si="34"/>
        <v>-0.3738075139639638</v>
      </c>
    </row>
    <row r="292" spans="1:5" ht="12.75">
      <c r="A292" s="512">
        <v>6</v>
      </c>
      <c r="B292" s="511" t="s">
        <v>533</v>
      </c>
      <c r="C292" s="547">
        <f t="shared" si="33"/>
        <v>0.4586437876245929</v>
      </c>
      <c r="D292" s="547">
        <f t="shared" si="33"/>
        <v>0.4447729772057219</v>
      </c>
      <c r="E292" s="574">
        <f t="shared" si="34"/>
        <v>-0.013870810418871005</v>
      </c>
    </row>
    <row r="293" spans="1:5" ht="12.75">
      <c r="A293" s="512">
        <v>7</v>
      </c>
      <c r="B293" s="511" t="s">
        <v>845</v>
      </c>
      <c r="C293" s="547">
        <f t="shared" si="33"/>
        <v>0.2784305978853896</v>
      </c>
      <c r="D293" s="547">
        <f t="shared" si="33"/>
        <v>0.08885596624957683</v>
      </c>
      <c r="E293" s="574">
        <f t="shared" si="34"/>
        <v>-0.18957463163581278</v>
      </c>
    </row>
    <row r="294" spans="1:5" ht="29.25" customHeight="1">
      <c r="A294" s="512"/>
      <c r="B294" s="516" t="s">
        <v>934</v>
      </c>
      <c r="C294" s="575">
        <f t="shared" si="33"/>
        <v>0.2456452806071769</v>
      </c>
      <c r="D294" s="575">
        <f t="shared" si="33"/>
        <v>0.23259445450381164</v>
      </c>
      <c r="E294" s="576">
        <f t="shared" si="34"/>
        <v>-0.013050826103365276</v>
      </c>
    </row>
    <row r="295" spans="1:5" ht="12.75">
      <c r="A295" s="512"/>
      <c r="B295" s="516" t="s">
        <v>935</v>
      </c>
      <c r="C295" s="575">
        <f t="shared" si="33"/>
        <v>0.3613101762760696</v>
      </c>
      <c r="D295" s="575">
        <f t="shared" si="33"/>
        <v>0.3379164352286288</v>
      </c>
      <c r="E295" s="576">
        <f t="shared" si="34"/>
        <v>-0.023393741047440797</v>
      </c>
    </row>
    <row r="296" spans="1:5" ht="12.75">
      <c r="A296" s="502"/>
      <c r="B296" s="519"/>
      <c r="C296" s="519"/>
      <c r="D296" s="520"/>
      <c r="E296" s="576"/>
    </row>
    <row r="297" spans="1:5" ht="15.75" customHeight="1">
      <c r="A297" s="500" t="s">
        <v>936</v>
      </c>
      <c r="B297" s="501" t="s">
        <v>937</v>
      </c>
      <c r="C297" s="340"/>
      <c r="E297" s="576"/>
    </row>
    <row r="298" spans="1:5" ht="15.75" customHeight="1">
      <c r="A298" s="340"/>
      <c r="B298" s="577"/>
      <c r="C298" s="499"/>
      <c r="E298" s="576"/>
    </row>
    <row r="299" spans="1:5" ht="12.75">
      <c r="A299" s="508" t="s">
        <v>129</v>
      </c>
      <c r="B299" s="509" t="s">
        <v>938</v>
      </c>
      <c r="C299" s="510"/>
      <c r="D299" s="510"/>
      <c r="E299" s="576"/>
    </row>
    <row r="300" spans="1:5" ht="12.75">
      <c r="A300" s="511"/>
      <c r="B300" s="511"/>
      <c r="C300" s="510"/>
      <c r="D300" s="510"/>
      <c r="E300" s="576"/>
    </row>
    <row r="301" spans="1:5" ht="12.75">
      <c r="A301" s="512">
        <v>1</v>
      </c>
      <c r="B301" s="511" t="s">
        <v>736</v>
      </c>
      <c r="C301" s="514">
        <f>+C48+C47+C50+C51+C52+C59+C58+C61+C62+C63</f>
        <v>76807742</v>
      </c>
      <c r="D301" s="514">
        <f>+D48+D47+D50+D51+D52+D59+D58+D61+D62+D63</f>
        <v>73651282</v>
      </c>
      <c r="E301" s="514">
        <f>D301-C301</f>
        <v>-3156460</v>
      </c>
    </row>
    <row r="302" spans="1:5" ht="25.5">
      <c r="A302" s="512">
        <v>2</v>
      </c>
      <c r="B302" s="511" t="s">
        <v>939</v>
      </c>
      <c r="C302" s="546">
        <f>C265</f>
        <v>271906</v>
      </c>
      <c r="D302" s="546">
        <f>D265</f>
        <v>360327</v>
      </c>
      <c r="E302" s="514">
        <f>D302-C302</f>
        <v>88421</v>
      </c>
    </row>
    <row r="303" spans="1:5" ht="12.75">
      <c r="A303" s="512"/>
      <c r="B303" s="516" t="s">
        <v>940</v>
      </c>
      <c r="C303" s="517">
        <f>+C301+C302</f>
        <v>77079648</v>
      </c>
      <c r="D303" s="517">
        <f>+D301+D302</f>
        <v>74011609</v>
      </c>
      <c r="E303" s="517">
        <f>D303-C303</f>
        <v>-3068039</v>
      </c>
    </row>
    <row r="304" spans="1:5" ht="12.75">
      <c r="A304" s="512"/>
      <c r="B304" s="511"/>
      <c r="C304" s="511"/>
      <c r="D304" s="511"/>
      <c r="E304" s="514"/>
    </row>
    <row r="305" spans="1:5" ht="12.75">
      <c r="A305" s="512">
        <v>3</v>
      </c>
      <c r="B305" s="511" t="s">
        <v>941</v>
      </c>
      <c r="C305" s="513">
        <v>6445278</v>
      </c>
      <c r="D305" s="578">
        <v>8817435</v>
      </c>
      <c r="E305" s="579">
        <f>D305-C305</f>
        <v>2372157</v>
      </c>
    </row>
    <row r="306" spans="1:5" ht="12.75">
      <c r="A306" s="512">
        <v>4</v>
      </c>
      <c r="B306" s="516" t="s">
        <v>942</v>
      </c>
      <c r="C306" s="580">
        <f>+C303+C305+C194+C190-C191</f>
        <v>89281169</v>
      </c>
      <c r="D306" s="580">
        <f>+D303+D305</f>
        <v>82829044</v>
      </c>
      <c r="E306" s="580">
        <f>D306-C306</f>
        <v>-6452125</v>
      </c>
    </row>
    <row r="307" spans="1:5" ht="12.75">
      <c r="A307" s="512"/>
      <c r="B307" s="510"/>
      <c r="C307" s="510"/>
      <c r="D307" s="510"/>
      <c r="E307" s="514"/>
    </row>
    <row r="308" spans="1:5" ht="25.5">
      <c r="A308" s="512">
        <v>5</v>
      </c>
      <c r="B308" s="511" t="s">
        <v>943</v>
      </c>
      <c r="C308" s="513">
        <v>83524926</v>
      </c>
      <c r="D308" s="513">
        <v>82829045</v>
      </c>
      <c r="E308" s="514">
        <f>D308-C308</f>
        <v>-695881</v>
      </c>
    </row>
    <row r="309" spans="1:5" ht="12.75">
      <c r="A309" s="512"/>
      <c r="B309" s="511"/>
      <c r="C309" s="511"/>
      <c r="D309" s="511"/>
      <c r="E309" s="514"/>
    </row>
    <row r="310" spans="1:5" ht="12.75">
      <c r="A310" s="512">
        <v>6</v>
      </c>
      <c r="B310" s="516" t="s">
        <v>944</v>
      </c>
      <c r="C310" s="581">
        <f>C306-C308</f>
        <v>5756243</v>
      </c>
      <c r="D310" s="582">
        <f>D306-D308</f>
        <v>-1</v>
      </c>
      <c r="E310" s="580">
        <f>D310-C310</f>
        <v>-5756244</v>
      </c>
    </row>
    <row r="311" spans="1:5" ht="12.75">
      <c r="A311" s="512"/>
      <c r="B311" s="511"/>
      <c r="C311" s="511"/>
      <c r="D311" s="511"/>
      <c r="E311" s="514"/>
    </row>
    <row r="312" spans="1:5" ht="12.75">
      <c r="A312" s="340" t="s">
        <v>141</v>
      </c>
      <c r="B312" s="509" t="s">
        <v>945</v>
      </c>
      <c r="C312" s="510"/>
      <c r="D312" s="510"/>
      <c r="E312" s="514"/>
    </row>
    <row r="313" spans="1:5" ht="12.75">
      <c r="A313" s="510"/>
      <c r="B313" s="551"/>
      <c r="C313" s="510"/>
      <c r="D313" s="510"/>
      <c r="E313" s="514"/>
    </row>
    <row r="314" spans="1:5" ht="12.75">
      <c r="A314" s="512">
        <v>1</v>
      </c>
      <c r="B314" s="511" t="s">
        <v>946</v>
      </c>
      <c r="C314" s="514">
        <f>+C14+C15+C16+C19+C25+C26+C27+C30</f>
        <v>222377754</v>
      </c>
      <c r="D314" s="514">
        <f>+D14+D15+D16+D19+D25+D26+D27+D30</f>
        <v>219139563</v>
      </c>
      <c r="E314" s="514">
        <f>D314-C314</f>
        <v>-3238191</v>
      </c>
    </row>
    <row r="315" spans="1:5" ht="12.75">
      <c r="A315" s="512">
        <v>2</v>
      </c>
      <c r="B315" s="583" t="s">
        <v>947</v>
      </c>
      <c r="C315" s="513">
        <v>0</v>
      </c>
      <c r="D315" s="513">
        <v>0</v>
      </c>
      <c r="E315" s="514">
        <f>D315-C315</f>
        <v>0</v>
      </c>
    </row>
    <row r="316" spans="1:5" ht="12.75">
      <c r="A316" s="512"/>
      <c r="B316" s="516" t="s">
        <v>948</v>
      </c>
      <c r="C316" s="581">
        <f>C314+C315</f>
        <v>222377754</v>
      </c>
      <c r="D316" s="581">
        <f>D314+D315</f>
        <v>219139563</v>
      </c>
      <c r="E316" s="517">
        <f>D316-C316</f>
        <v>-3238191</v>
      </c>
    </row>
    <row r="317" spans="1:5" ht="12.75">
      <c r="A317" s="512"/>
      <c r="B317" s="510"/>
      <c r="C317" s="513"/>
      <c r="D317" s="513"/>
      <c r="E317" s="514"/>
    </row>
    <row r="318" spans="1:5" ht="25.5">
      <c r="A318" s="512">
        <v>3</v>
      </c>
      <c r="B318" s="511" t="s">
        <v>949</v>
      </c>
      <c r="C318" s="513">
        <v>222377753</v>
      </c>
      <c r="D318" s="513">
        <v>219139563</v>
      </c>
      <c r="E318" s="514">
        <f>D318-C318</f>
        <v>-3238190</v>
      </c>
    </row>
    <row r="319" spans="1:5" ht="12.75">
      <c r="A319" s="512"/>
      <c r="B319" s="511"/>
      <c r="C319" s="513"/>
      <c r="D319" s="513"/>
      <c r="E319" s="514"/>
    </row>
    <row r="320" spans="1:5" ht="12.75">
      <c r="A320" s="512">
        <v>4</v>
      </c>
      <c r="B320" s="516" t="s">
        <v>944</v>
      </c>
      <c r="C320" s="581">
        <f>C316-C318</f>
        <v>1</v>
      </c>
      <c r="D320" s="581">
        <f>D316-D318</f>
        <v>0</v>
      </c>
      <c r="E320" s="517">
        <f>D320-C320</f>
        <v>-1</v>
      </c>
    </row>
    <row r="321" spans="1:5" ht="12.75">
      <c r="A321" s="511"/>
      <c r="B321" s="510"/>
      <c r="C321" s="510"/>
      <c r="D321" s="510"/>
      <c r="E321" s="514"/>
    </row>
    <row r="322" spans="1:5" ht="12.75">
      <c r="A322" s="508" t="s">
        <v>151</v>
      </c>
      <c r="B322" s="509" t="s">
        <v>950</v>
      </c>
      <c r="C322" s="510"/>
      <c r="D322" s="510"/>
      <c r="E322" s="514"/>
    </row>
    <row r="323" spans="1:5" ht="12.75">
      <c r="A323" s="510"/>
      <c r="B323" s="551"/>
      <c r="C323" s="510"/>
      <c r="D323" s="510"/>
      <c r="E323" s="514"/>
    </row>
    <row r="324" spans="1:5" ht="12.75">
      <c r="A324" s="512">
        <v>1</v>
      </c>
      <c r="B324" s="511" t="s">
        <v>951</v>
      </c>
      <c r="C324" s="513">
        <f>+C193+C194</f>
        <v>5038795</v>
      </c>
      <c r="D324" s="513">
        <f>+D193+D194</f>
        <v>7120508</v>
      </c>
      <c r="E324" s="514">
        <f>D324-C324</f>
        <v>2081713</v>
      </c>
    </row>
    <row r="325" spans="1:5" ht="12.75">
      <c r="A325" s="512">
        <v>2</v>
      </c>
      <c r="B325" s="511" t="s">
        <v>952</v>
      </c>
      <c r="C325" s="513">
        <v>0</v>
      </c>
      <c r="D325" s="513">
        <v>0</v>
      </c>
      <c r="E325" s="514">
        <f>D325-C325</f>
        <v>0</v>
      </c>
    </row>
    <row r="326" spans="1:5" ht="12.75">
      <c r="A326" s="512"/>
      <c r="B326" s="516" t="s">
        <v>953</v>
      </c>
      <c r="C326" s="581">
        <f>C324+C325</f>
        <v>5038795</v>
      </c>
      <c r="D326" s="581">
        <f>D324+D325</f>
        <v>7120508</v>
      </c>
      <c r="E326" s="517">
        <f>D326-C326</f>
        <v>2081713</v>
      </c>
    </row>
    <row r="327" spans="1:5" ht="12.75">
      <c r="A327" s="512"/>
      <c r="B327" s="510"/>
      <c r="C327" s="513"/>
      <c r="D327" s="513"/>
      <c r="E327" s="514"/>
    </row>
    <row r="328" spans="1:5" ht="25.5">
      <c r="A328" s="512">
        <v>3</v>
      </c>
      <c r="B328" s="511" t="s">
        <v>954</v>
      </c>
      <c r="C328" s="513">
        <v>5038795</v>
      </c>
      <c r="D328" s="513">
        <v>7120508</v>
      </c>
      <c r="E328" s="514">
        <f>D328-C328</f>
        <v>2081713</v>
      </c>
    </row>
    <row r="329" spans="1:5" ht="12.75">
      <c r="A329" s="512"/>
      <c r="B329" s="511"/>
      <c r="C329" s="513"/>
      <c r="D329" s="513"/>
      <c r="E329" s="514"/>
    </row>
    <row r="330" spans="1:5" ht="12.75">
      <c r="A330" s="512">
        <v>4</v>
      </c>
      <c r="B330" s="516" t="s">
        <v>955</v>
      </c>
      <c r="C330" s="581">
        <f>C326-C328</f>
        <v>0</v>
      </c>
      <c r="D330" s="581">
        <f>D326-D328</f>
        <v>0</v>
      </c>
      <c r="E330" s="517">
        <f>D330-C330</f>
        <v>0</v>
      </c>
    </row>
    <row r="331" ht="12.75">
      <c r="E331" s="514"/>
    </row>
    <row r="332" ht="12.75">
      <c r="E332" s="514"/>
    </row>
    <row r="333" ht="12.75">
      <c r="E333" s="517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/>
  <headerFooter alignWithMargins="0">
    <oddHeader>&amp;LOFFICE OF HEALTH CARE ACCESS&amp;CTWELVE MONTHS ACTUAL FILING&amp;RMILFORD HOSPITAL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 customWidth="1"/>
    <col min="44" max="44" width="9.140625" style="331" customWidth="1"/>
    <col min="45" max="16384" width="9.140625" style="330" customWidth="1"/>
  </cols>
  <sheetData>
    <row r="2" spans="1:4" s="338" customFormat="1" ht="15.75" customHeight="1">
      <c r="A2" s="705" t="s">
        <v>115</v>
      </c>
      <c r="B2" s="705"/>
      <c r="C2" s="705"/>
      <c r="D2" s="585"/>
    </row>
    <row r="3" spans="1:4" s="338" customFormat="1" ht="15.75" customHeight="1">
      <c r="A3" s="695" t="s">
        <v>708</v>
      </c>
      <c r="B3" s="696"/>
      <c r="C3" s="697"/>
      <c r="D3" s="585"/>
    </row>
    <row r="4" spans="1:4" s="338" customFormat="1" ht="15.75" customHeight="1">
      <c r="A4" s="695" t="s">
        <v>117</v>
      </c>
      <c r="B4" s="696"/>
      <c r="C4" s="697"/>
      <c r="D4" s="585"/>
    </row>
    <row r="5" spans="1:4" s="338" customFormat="1" ht="15.75" customHeight="1">
      <c r="A5" s="695" t="s">
        <v>956</v>
      </c>
      <c r="B5" s="696"/>
      <c r="C5" s="697"/>
      <c r="D5" s="585"/>
    </row>
    <row r="6" spans="1:4" s="338" customFormat="1" ht="15.75" customHeight="1">
      <c r="A6" s="695" t="s">
        <v>957</v>
      </c>
      <c r="B6" s="696"/>
      <c r="C6" s="697"/>
      <c r="D6" s="585"/>
    </row>
    <row r="7" spans="1:4" s="338" customFormat="1" ht="15.75" customHeight="1">
      <c r="A7" s="709"/>
      <c r="B7" s="709"/>
      <c r="C7" s="709"/>
      <c r="D7" s="585"/>
    </row>
    <row r="8" spans="1:4" s="338" customFormat="1" ht="15.75" customHeight="1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>
      <c r="A9" s="587" t="s">
        <v>123</v>
      </c>
      <c r="B9" s="493" t="s">
        <v>124</v>
      </c>
      <c r="C9" s="494" t="s">
        <v>958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>
      <c r="A11" s="500" t="s">
        <v>127</v>
      </c>
      <c r="B11" s="501" t="s">
        <v>959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ht="12.75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ht="12.75">
      <c r="A13" s="508" t="s">
        <v>129</v>
      </c>
      <c r="B13" s="509" t="s">
        <v>862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ht="12.75">
      <c r="A14" s="512">
        <v>1</v>
      </c>
      <c r="B14" s="511" t="s">
        <v>738</v>
      </c>
      <c r="C14" s="513">
        <v>40385831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ht="12.75">
      <c r="A15" s="512">
        <v>2</v>
      </c>
      <c r="B15" s="511" t="s">
        <v>717</v>
      </c>
      <c r="C15" s="515">
        <v>80427776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ht="12.75">
      <c r="A16" s="512">
        <v>3</v>
      </c>
      <c r="B16" s="511" t="s">
        <v>863</v>
      </c>
      <c r="C16" s="515">
        <v>7490130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ht="12.75">
      <c r="A17" s="512">
        <v>4</v>
      </c>
      <c r="B17" s="511" t="s">
        <v>229</v>
      </c>
      <c r="C17" s="515">
        <v>6734400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ht="12.75">
      <c r="A18" s="512">
        <v>5</v>
      </c>
      <c r="B18" s="511" t="s">
        <v>830</v>
      </c>
      <c r="C18" s="515">
        <v>755730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ht="12.75">
      <c r="A19" s="512">
        <v>6</v>
      </c>
      <c r="B19" s="511" t="s">
        <v>533</v>
      </c>
      <c r="C19" s="515">
        <v>46587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ht="12.75">
      <c r="A20" s="512">
        <v>7</v>
      </c>
      <c r="B20" s="511" t="s">
        <v>845</v>
      </c>
      <c r="C20" s="515">
        <v>2605659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ht="12.75">
      <c r="A21" s="512"/>
      <c r="B21" s="516" t="s">
        <v>864</v>
      </c>
      <c r="C21" s="517">
        <f>SUM(C15+C16+C19)</f>
        <v>87964493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ht="12.75">
      <c r="A22" s="512"/>
      <c r="B22" s="516" t="s">
        <v>804</v>
      </c>
      <c r="C22" s="517">
        <f>SUM(C14+C21)</f>
        <v>128350324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ht="12.75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ht="12.75">
      <c r="A24" s="508" t="s">
        <v>141</v>
      </c>
      <c r="B24" s="509" t="s">
        <v>865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ht="12.75">
      <c r="A25" s="512">
        <v>1</v>
      </c>
      <c r="B25" s="511" t="s">
        <v>738</v>
      </c>
      <c r="C25" s="513">
        <v>54681379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ht="12.75">
      <c r="A26" s="512">
        <v>2</v>
      </c>
      <c r="B26" s="511" t="s">
        <v>717</v>
      </c>
      <c r="C26" s="515">
        <v>25008398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ht="12.75">
      <c r="A27" s="512">
        <v>3</v>
      </c>
      <c r="B27" s="511" t="s">
        <v>863</v>
      </c>
      <c r="C27" s="515">
        <v>10865763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ht="12.75">
      <c r="A28" s="512">
        <v>4</v>
      </c>
      <c r="B28" s="511" t="s">
        <v>229</v>
      </c>
      <c r="C28" s="515">
        <v>8750141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ht="12.75">
      <c r="A29" s="512">
        <v>5</v>
      </c>
      <c r="B29" s="511" t="s">
        <v>830</v>
      </c>
      <c r="C29" s="515">
        <v>2115622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ht="12.75">
      <c r="A30" s="512">
        <v>6</v>
      </c>
      <c r="B30" s="511" t="s">
        <v>533</v>
      </c>
      <c r="C30" s="515">
        <v>233699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ht="12.75">
      <c r="A31" s="512">
        <v>7</v>
      </c>
      <c r="B31" s="511" t="s">
        <v>845</v>
      </c>
      <c r="C31" s="518">
        <v>5204794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ht="12.75">
      <c r="A32" s="512"/>
      <c r="B32" s="516" t="s">
        <v>866</v>
      </c>
      <c r="C32" s="517">
        <f>SUM(C26+C27+C30)</f>
        <v>36107860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ht="12.75">
      <c r="A33" s="512"/>
      <c r="B33" s="516" t="s">
        <v>810</v>
      </c>
      <c r="C33" s="517">
        <f>SUM(C25+C32)</f>
        <v>90789239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ht="12.75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ht="12.75">
      <c r="A35" s="508" t="s">
        <v>151</v>
      </c>
      <c r="B35" s="509" t="s">
        <v>735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ht="12.75">
      <c r="A36" s="512">
        <v>1</v>
      </c>
      <c r="B36" s="511" t="s">
        <v>960</v>
      </c>
      <c r="C36" s="514">
        <f>SUM(C14+C25)</f>
        <v>95067210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ht="12.75">
      <c r="A37" s="512">
        <v>2</v>
      </c>
      <c r="B37" s="511" t="s">
        <v>961</v>
      </c>
      <c r="C37" s="518">
        <f>SUM(C21+C32)</f>
        <v>124072353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ht="12.75">
      <c r="A38" s="512"/>
      <c r="B38" s="516" t="s">
        <v>735</v>
      </c>
      <c r="C38" s="517">
        <f>SUM(+C36+C37)</f>
        <v>219139563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ht="12.75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ht="12.75">
      <c r="A40" s="508" t="s">
        <v>436</v>
      </c>
      <c r="B40" s="509" t="s">
        <v>875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>
      <c r="A41" s="512">
        <v>1</v>
      </c>
      <c r="B41" s="511" t="s">
        <v>738</v>
      </c>
      <c r="C41" s="513">
        <v>15819603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ht="12.75">
      <c r="A42" s="512">
        <v>2</v>
      </c>
      <c r="B42" s="511" t="s">
        <v>717</v>
      </c>
      <c r="C42" s="515">
        <v>25602331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ht="12.75">
      <c r="A43" s="512">
        <v>3</v>
      </c>
      <c r="B43" s="511" t="s">
        <v>863</v>
      </c>
      <c r="C43" s="515">
        <v>1540572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ht="12.75">
      <c r="A44" s="512">
        <v>4</v>
      </c>
      <c r="B44" s="511" t="s">
        <v>229</v>
      </c>
      <c r="C44" s="515">
        <v>1481372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ht="12.75">
      <c r="A45" s="512">
        <v>5</v>
      </c>
      <c r="B45" s="511" t="s">
        <v>830</v>
      </c>
      <c r="C45" s="515">
        <v>59200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ht="12.75">
      <c r="A46" s="512">
        <v>6</v>
      </c>
      <c r="B46" s="511" t="s">
        <v>533</v>
      </c>
      <c r="C46" s="515">
        <v>9600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ht="12.75">
      <c r="A47" s="512">
        <v>7</v>
      </c>
      <c r="B47" s="511" t="s">
        <v>845</v>
      </c>
      <c r="C47" s="515">
        <v>188048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ht="12.75">
      <c r="A48" s="512"/>
      <c r="B48" s="516" t="s">
        <v>876</v>
      </c>
      <c r="C48" s="517">
        <f>SUM(C42+C43+C46)</f>
        <v>27152503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ht="12.75">
      <c r="A49" s="512"/>
      <c r="B49" s="516" t="s">
        <v>805</v>
      </c>
      <c r="C49" s="517">
        <f>SUM(C41+C48)</f>
        <v>42972106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ht="12.75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ht="12.75">
      <c r="A51" s="508" t="s">
        <v>457</v>
      </c>
      <c r="B51" s="509" t="s">
        <v>877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ht="12.75">
      <c r="A52" s="512">
        <v>1</v>
      </c>
      <c r="B52" s="511" t="s">
        <v>738</v>
      </c>
      <c r="C52" s="513">
        <v>22280688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ht="12.75">
      <c r="A53" s="512">
        <v>2</v>
      </c>
      <c r="B53" s="511" t="s">
        <v>717</v>
      </c>
      <c r="C53" s="515">
        <v>6242107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ht="12.75">
      <c r="A54" s="512">
        <v>3</v>
      </c>
      <c r="B54" s="511" t="s">
        <v>863</v>
      </c>
      <c r="C54" s="515">
        <v>2052438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ht="12.75">
      <c r="A55" s="512">
        <v>4</v>
      </c>
      <c r="B55" s="511" t="s">
        <v>229</v>
      </c>
      <c r="C55" s="515">
        <v>1808365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ht="12.75">
      <c r="A56" s="512">
        <v>5</v>
      </c>
      <c r="B56" s="511" t="s">
        <v>830</v>
      </c>
      <c r="C56" s="515">
        <v>244073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ht="12.75">
      <c r="A57" s="512">
        <v>6</v>
      </c>
      <c r="B57" s="511" t="s">
        <v>533</v>
      </c>
      <c r="C57" s="515">
        <v>103943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ht="12.75">
      <c r="A58" s="512">
        <v>7</v>
      </c>
      <c r="B58" s="511" t="s">
        <v>845</v>
      </c>
      <c r="C58" s="515">
        <v>462477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ht="12.75">
      <c r="A59" s="512"/>
      <c r="B59" s="516" t="s">
        <v>878</v>
      </c>
      <c r="C59" s="517">
        <f>SUM(C53+C54+C57)</f>
        <v>8398488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ht="12.75">
      <c r="A60" s="512"/>
      <c r="B60" s="516" t="s">
        <v>811</v>
      </c>
      <c r="C60" s="517">
        <f>SUM(C52+C59)</f>
        <v>30679176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3" ht="12.75">
      <c r="A61" s="520"/>
      <c r="B61" s="519"/>
      <c r="C61" s="520"/>
    </row>
    <row r="62" spans="1:58" s="506" customFormat="1" ht="12.75">
      <c r="A62" s="508" t="s">
        <v>469</v>
      </c>
      <c r="B62" s="521" t="s">
        <v>736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ht="12.75">
      <c r="A63" s="512">
        <v>1</v>
      </c>
      <c r="B63" s="511" t="s">
        <v>962</v>
      </c>
      <c r="C63" s="514">
        <f>SUM(C41+C52)</f>
        <v>38100291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ht="12.75">
      <c r="A64" s="512">
        <v>2</v>
      </c>
      <c r="B64" s="511" t="s">
        <v>963</v>
      </c>
      <c r="C64" s="518">
        <f>SUM(C48+C59)</f>
        <v>35550991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ht="12.75">
      <c r="A65" s="512"/>
      <c r="B65" s="516" t="s">
        <v>736</v>
      </c>
      <c r="C65" s="517">
        <f>SUM(+C63+C64)</f>
        <v>73651282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ht="12.75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>
      <c r="A67" s="335" t="s">
        <v>159</v>
      </c>
      <c r="B67" s="501" t="s">
        <v>964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ht="12.75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ht="12.75">
      <c r="A69" s="508" t="s">
        <v>129</v>
      </c>
      <c r="B69" s="509" t="s">
        <v>965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ht="12.75">
      <c r="A70" s="512">
        <v>1</v>
      </c>
      <c r="B70" s="511" t="s">
        <v>738</v>
      </c>
      <c r="C70" s="530">
        <v>1930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ht="12.75">
      <c r="A71" s="512">
        <v>2</v>
      </c>
      <c r="B71" s="511" t="s">
        <v>717</v>
      </c>
      <c r="C71" s="530">
        <v>2423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ht="12.75">
      <c r="A72" s="512">
        <v>3</v>
      </c>
      <c r="B72" s="511" t="s">
        <v>863</v>
      </c>
      <c r="C72" s="530">
        <v>444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ht="12.75">
      <c r="A73" s="512">
        <v>4</v>
      </c>
      <c r="B73" s="511" t="s">
        <v>229</v>
      </c>
      <c r="C73" s="530">
        <v>417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ht="12.75">
      <c r="A74" s="512">
        <v>5</v>
      </c>
      <c r="B74" s="511" t="s">
        <v>830</v>
      </c>
      <c r="C74" s="530">
        <v>27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ht="12.75">
      <c r="A75" s="512">
        <v>6</v>
      </c>
      <c r="B75" s="511" t="s">
        <v>533</v>
      </c>
      <c r="C75" s="545">
        <v>3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ht="12.75">
      <c r="A76" s="512">
        <v>7</v>
      </c>
      <c r="B76" s="511" t="s">
        <v>845</v>
      </c>
      <c r="C76" s="545">
        <v>99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ht="12.75">
      <c r="A77" s="512"/>
      <c r="B77" s="516" t="s">
        <v>893</v>
      </c>
      <c r="C77" s="532">
        <f>SUM(C71+C72+C75)</f>
        <v>2870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ht="12.75">
      <c r="A78" s="512"/>
      <c r="B78" s="516" t="s">
        <v>807</v>
      </c>
      <c r="C78" s="596">
        <f>SUM(C70+C77)</f>
        <v>4800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ht="12.75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ht="12.75">
      <c r="A80" s="508" t="s">
        <v>141</v>
      </c>
      <c r="B80" s="509" t="s">
        <v>898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ht="12.75">
      <c r="A81" s="512">
        <v>1</v>
      </c>
      <c r="B81" s="511" t="s">
        <v>738</v>
      </c>
      <c r="C81" s="541">
        <v>1.06468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ht="12.75">
      <c r="A82" s="512">
        <v>2</v>
      </c>
      <c r="B82" s="511" t="s">
        <v>717</v>
      </c>
      <c r="C82" s="541">
        <v>1.5705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ht="12.75">
      <c r="A83" s="512">
        <v>3</v>
      </c>
      <c r="B83" s="511" t="s">
        <v>863</v>
      </c>
      <c r="C83" s="541">
        <f>((C73*C84)+(C74*C85))/(C73+C74)</f>
        <v>0.8457943243243242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ht="12.75">
      <c r="A84" s="512">
        <v>4</v>
      </c>
      <c r="B84" s="511" t="s">
        <v>229</v>
      </c>
      <c r="C84" s="541">
        <v>0.82345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ht="12.75">
      <c r="A85" s="512">
        <v>5</v>
      </c>
      <c r="B85" s="511" t="s">
        <v>830</v>
      </c>
      <c r="C85" s="541">
        <v>1.19089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ht="12.75">
      <c r="A86" s="512">
        <v>6</v>
      </c>
      <c r="B86" s="511" t="s">
        <v>533</v>
      </c>
      <c r="C86" s="541">
        <v>0.51895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ht="12.75">
      <c r="A87" s="512">
        <v>7</v>
      </c>
      <c r="B87" s="511" t="s">
        <v>845</v>
      </c>
      <c r="C87" s="541">
        <v>1.11723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ht="12.75">
      <c r="A88" s="512"/>
      <c r="B88" s="516" t="s">
        <v>899</v>
      </c>
      <c r="C88" s="543">
        <f>((C71*C82)+(C73*C84)+(C74*C85)+(C75*C86))/(C71+C73+C74+C75)</f>
        <v>1.4572860731707316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ht="12.75">
      <c r="A89" s="512"/>
      <c r="B89" s="516" t="s">
        <v>808</v>
      </c>
      <c r="C89" s="543">
        <f>((C70*C81)+(C71*C82)+(C73*C84)+(C74*C85)+(C75*C86))/(C70+C71+C73+C74+C75)</f>
        <v>1.2994257145833332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ht="12.75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ht="12.75">
      <c r="A91" s="508" t="s">
        <v>151</v>
      </c>
      <c r="B91" s="509" t="s">
        <v>900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ht="12.75">
      <c r="A92" s="512">
        <v>1</v>
      </c>
      <c r="B92" s="511" t="s">
        <v>901</v>
      </c>
      <c r="C92" s="513">
        <v>84371463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ht="12.75">
      <c r="A93" s="512">
        <v>2</v>
      </c>
      <c r="B93" s="511" t="s">
        <v>902</v>
      </c>
      <c r="C93" s="546">
        <v>36447939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ht="12.75">
      <c r="A94" s="512"/>
      <c r="B94" s="511" t="s">
        <v>750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ht="12.75">
      <c r="A95" s="512">
        <v>3</v>
      </c>
      <c r="B95" s="511" t="s">
        <v>834</v>
      </c>
      <c r="C95" s="513">
        <f>+C92-C93</f>
        <v>47923524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ht="12.75">
      <c r="A96" s="512">
        <v>4</v>
      </c>
      <c r="B96" s="511" t="s">
        <v>752</v>
      </c>
      <c r="C96" s="597">
        <f>(+C92-C93)/C92</f>
        <v>0.5680063174914959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ht="12.75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ht="12.75">
      <c r="A98" s="512">
        <v>5</v>
      </c>
      <c r="B98" s="511" t="s">
        <v>849</v>
      </c>
      <c r="C98" s="513">
        <v>2885294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ht="12.75">
      <c r="A99" s="512">
        <v>6</v>
      </c>
      <c r="B99" s="511" t="s">
        <v>835</v>
      </c>
      <c r="C99" s="513">
        <v>1818984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ht="12.75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>
      <c r="A101" s="512">
        <v>7</v>
      </c>
      <c r="B101" s="548" t="s">
        <v>966</v>
      </c>
      <c r="C101" s="513">
        <v>360327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ht="12.75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ht="12.75">
      <c r="A103" s="512">
        <v>8</v>
      </c>
      <c r="B103" s="511" t="s">
        <v>904</v>
      </c>
      <c r="C103" s="513">
        <v>122057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ht="12.75">
      <c r="A104" s="512">
        <v>9</v>
      </c>
      <c r="B104" s="511" t="s">
        <v>905</v>
      </c>
      <c r="C104" s="513">
        <v>6998451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ht="12.75">
      <c r="A105" s="570">
        <v>10</v>
      </c>
      <c r="B105" s="571" t="s">
        <v>906</v>
      </c>
      <c r="C105" s="578">
        <f>+C103+C104</f>
        <v>7120508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ht="12.75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ht="12.75">
      <c r="A107" s="512">
        <v>11</v>
      </c>
      <c r="B107" s="511" t="s">
        <v>907</v>
      </c>
      <c r="C107" s="513">
        <v>749027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ht="12.75">
      <c r="A108" s="512">
        <v>12</v>
      </c>
      <c r="B108" s="511" t="s">
        <v>792</v>
      </c>
      <c r="C108" s="513">
        <v>88487473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ht="12.75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>
      <c r="A110" s="500" t="s">
        <v>250</v>
      </c>
      <c r="B110" s="501" t="s">
        <v>937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ht="12.75">
      <c r="A112" s="508" t="s">
        <v>129</v>
      </c>
      <c r="B112" s="509" t="s">
        <v>938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ht="12.75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ht="12.75">
      <c r="A114" s="512">
        <v>1</v>
      </c>
      <c r="B114" s="511" t="s">
        <v>736</v>
      </c>
      <c r="C114" s="514">
        <f>+C65</f>
        <v>73651282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ht="12.75">
      <c r="A115" s="512">
        <v>2</v>
      </c>
      <c r="B115" s="511" t="s">
        <v>939</v>
      </c>
      <c r="C115" s="546">
        <f>+C101</f>
        <v>360327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ht="12.75">
      <c r="A116" s="512"/>
      <c r="B116" s="516" t="s">
        <v>940</v>
      </c>
      <c r="C116" s="517">
        <f>+C114+C115</f>
        <v>74011609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ht="12.75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ht="12.75">
      <c r="A118" s="512">
        <v>3</v>
      </c>
      <c r="B118" s="511" t="s">
        <v>941</v>
      </c>
      <c r="C118" s="578">
        <v>8817435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ht="12.75">
      <c r="A119" s="512"/>
      <c r="B119" s="516" t="s">
        <v>942</v>
      </c>
      <c r="C119" s="580">
        <f>+C116+C118</f>
        <v>82829044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ht="12.75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ht="12.75">
      <c r="A121" s="512">
        <v>4</v>
      </c>
      <c r="B121" s="511" t="s">
        <v>943</v>
      </c>
      <c r="C121" s="513">
        <v>82829045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ht="12.75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ht="12.75">
      <c r="A123" s="512"/>
      <c r="B123" s="516" t="s">
        <v>944</v>
      </c>
      <c r="C123" s="582">
        <f>C119-C121</f>
        <v>-1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ht="12.75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ht="12.75">
      <c r="A125" s="340" t="s">
        <v>141</v>
      </c>
      <c r="B125" s="509" t="s">
        <v>945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ht="12.75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44" s="506" customFormat="1" ht="12.75">
      <c r="A127" s="512">
        <v>1</v>
      </c>
      <c r="B127" s="511" t="s">
        <v>946</v>
      </c>
      <c r="C127" s="514">
        <f>+C38</f>
        <v>219139563</v>
      </c>
      <c r="D127" s="588"/>
      <c r="AR127" s="507"/>
    </row>
    <row r="128" spans="1:44" s="506" customFormat="1" ht="12.75">
      <c r="A128" s="512">
        <v>2</v>
      </c>
      <c r="B128" s="583" t="s">
        <v>947</v>
      </c>
      <c r="C128" s="513">
        <v>0</v>
      </c>
      <c r="D128" s="588"/>
      <c r="AR128" s="507"/>
    </row>
    <row r="129" spans="1:44" s="506" customFormat="1" ht="12.75">
      <c r="A129" s="512"/>
      <c r="B129" s="516" t="s">
        <v>948</v>
      </c>
      <c r="C129" s="581">
        <f>C127+C128</f>
        <v>219139563</v>
      </c>
      <c r="D129" s="588"/>
      <c r="AR129" s="507"/>
    </row>
    <row r="130" spans="1:44" s="506" customFormat="1" ht="12.75">
      <c r="A130" s="512"/>
      <c r="B130" s="510"/>
      <c r="C130" s="513"/>
      <c r="D130" s="588"/>
      <c r="AR130" s="507"/>
    </row>
    <row r="131" spans="1:44" s="506" customFormat="1" ht="12.75">
      <c r="A131" s="512">
        <v>3</v>
      </c>
      <c r="B131" s="511" t="s">
        <v>949</v>
      </c>
      <c r="C131" s="513">
        <v>219139563</v>
      </c>
      <c r="D131" s="588"/>
      <c r="AR131" s="507"/>
    </row>
    <row r="132" spans="1:44" s="506" customFormat="1" ht="12.75">
      <c r="A132" s="512"/>
      <c r="B132" s="511"/>
      <c r="C132" s="513"/>
      <c r="D132" s="588"/>
      <c r="AR132" s="507"/>
    </row>
    <row r="133" spans="1:44" s="506" customFormat="1" ht="12.75">
      <c r="A133" s="512"/>
      <c r="B133" s="516" t="s">
        <v>944</v>
      </c>
      <c r="C133" s="581">
        <f>C129-C131</f>
        <v>0</v>
      </c>
      <c r="D133" s="588"/>
      <c r="AR133" s="507"/>
    </row>
    <row r="134" spans="1:44" s="506" customFormat="1" ht="12.75">
      <c r="A134" s="511"/>
      <c r="B134" s="510"/>
      <c r="C134" s="510"/>
      <c r="D134" s="588"/>
      <c r="AR134" s="507"/>
    </row>
    <row r="135" spans="1:44" s="506" customFormat="1" ht="12.75">
      <c r="A135" s="508" t="s">
        <v>151</v>
      </c>
      <c r="B135" s="509" t="s">
        <v>950</v>
      </c>
      <c r="C135" s="510"/>
      <c r="D135" s="588"/>
      <c r="AR135" s="507"/>
    </row>
    <row r="136" spans="1:44" s="506" customFormat="1" ht="12.75">
      <c r="A136" s="510"/>
      <c r="B136" s="551"/>
      <c r="C136" s="510"/>
      <c r="D136" s="588"/>
      <c r="AR136" s="507"/>
    </row>
    <row r="137" spans="1:44" s="506" customFormat="1" ht="12.75">
      <c r="A137" s="512">
        <v>1</v>
      </c>
      <c r="B137" s="511" t="s">
        <v>951</v>
      </c>
      <c r="C137" s="513">
        <f>C105</f>
        <v>7120508</v>
      </c>
      <c r="D137" s="588"/>
      <c r="AR137" s="507"/>
    </row>
    <row r="138" spans="1:44" s="506" customFormat="1" ht="12.75">
      <c r="A138" s="512">
        <v>2</v>
      </c>
      <c r="B138" s="511" t="s">
        <v>967</v>
      </c>
      <c r="C138" s="513">
        <v>0</v>
      </c>
      <c r="D138" s="588"/>
      <c r="AR138" s="507"/>
    </row>
    <row r="139" spans="1:44" s="506" customFormat="1" ht="12.75">
      <c r="A139" s="512"/>
      <c r="B139" s="516" t="s">
        <v>953</v>
      </c>
      <c r="C139" s="581">
        <f>C137+C138</f>
        <v>7120508</v>
      </c>
      <c r="D139" s="588"/>
      <c r="AR139" s="507"/>
    </row>
    <row r="140" spans="1:44" s="506" customFormat="1" ht="12.75">
      <c r="A140" s="512"/>
      <c r="B140" s="510"/>
      <c r="C140" s="513"/>
      <c r="D140" s="588"/>
      <c r="AR140" s="507"/>
    </row>
    <row r="141" spans="1:44" s="506" customFormat="1" ht="12.75">
      <c r="A141" s="512">
        <v>3</v>
      </c>
      <c r="B141" s="511" t="s">
        <v>968</v>
      </c>
      <c r="C141" s="513">
        <v>7120508</v>
      </c>
      <c r="D141" s="588"/>
      <c r="AR141" s="507"/>
    </row>
    <row r="142" spans="1:44" s="506" customFormat="1" ht="12.75">
      <c r="A142" s="512"/>
      <c r="B142" s="511"/>
      <c r="C142" s="513"/>
      <c r="D142" s="588"/>
      <c r="AR142" s="507"/>
    </row>
    <row r="143" spans="1:44" s="506" customFormat="1" ht="12.75">
      <c r="A143" s="512"/>
      <c r="B143" s="516" t="s">
        <v>955</v>
      </c>
      <c r="C143" s="581">
        <f>C139-C141</f>
        <v>0</v>
      </c>
      <c r="D143" s="588"/>
      <c r="AR143" s="507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/>
  <headerFooter alignWithMargins="0">
    <oddHeader>&amp;LOFFICE OF HEALTH CARE ACCESS&amp;CTWELVE MONTHS ACTUAL FILING&amp;RMILFORD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11">
      <selection activeCell="B43" sqref="B43"/>
    </sheetView>
  </sheetViews>
  <sheetFormatPr defaultColWidth="9.140625" defaultRowHeight="12.75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.75" customHeight="1">
      <c r="A1" s="602"/>
      <c r="B1" s="602"/>
      <c r="C1" s="35"/>
      <c r="D1" s="602"/>
      <c r="E1" s="602"/>
      <c r="F1" s="602"/>
    </row>
    <row r="2" spans="1:6" ht="15.75" customHeight="1">
      <c r="A2" s="714" t="s">
        <v>115</v>
      </c>
      <c r="B2" s="715"/>
      <c r="C2" s="715"/>
      <c r="D2" s="715"/>
      <c r="E2" s="715"/>
      <c r="F2" s="716"/>
    </row>
    <row r="3" spans="1:6" ht="15.75" customHeight="1">
      <c r="A3" s="714" t="s">
        <v>708</v>
      </c>
      <c r="B3" s="715"/>
      <c r="C3" s="715"/>
      <c r="D3" s="715"/>
      <c r="E3" s="715"/>
      <c r="F3" s="716"/>
    </row>
    <row r="4" spans="1:6" ht="15.75" customHeight="1">
      <c r="A4" s="714" t="s">
        <v>709</v>
      </c>
      <c r="B4" s="715"/>
      <c r="C4" s="715"/>
      <c r="D4" s="715"/>
      <c r="E4" s="715"/>
      <c r="F4" s="716"/>
    </row>
    <row r="5" spans="1:6" ht="15.75" customHeight="1">
      <c r="A5" s="714" t="s">
        <v>969</v>
      </c>
      <c r="B5" s="715"/>
      <c r="C5" s="715"/>
      <c r="D5" s="715"/>
      <c r="E5" s="715"/>
      <c r="F5" s="716"/>
    </row>
    <row r="6" spans="1:13" ht="15.75" customHeight="1">
      <c r="A6" s="602"/>
      <c r="B6" s="602"/>
      <c r="C6" s="35"/>
      <c r="D6" s="35"/>
      <c r="E6" s="602"/>
      <c r="F6" s="602"/>
      <c r="M6" s="122"/>
    </row>
    <row r="7" spans="1:6" ht="15.75" customHeight="1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3" ht="15.75" customHeight="1">
      <c r="A8" s="602"/>
      <c r="B8" s="305"/>
      <c r="C8" s="35" t="s">
        <v>712</v>
      </c>
      <c r="D8" s="35" t="s">
        <v>712</v>
      </c>
      <c r="E8" s="35" t="s">
        <v>121</v>
      </c>
      <c r="F8" s="35" t="s">
        <v>122</v>
      </c>
      <c r="G8" s="604"/>
      <c r="H8" s="289"/>
      <c r="I8" s="308"/>
      <c r="J8" s="308"/>
      <c r="K8" s="308"/>
      <c r="L8" s="308"/>
      <c r="M8" s="308"/>
    </row>
    <row r="9" spans="1:14" ht="15.75" customHeight="1">
      <c r="A9" s="605" t="s">
        <v>123</v>
      </c>
      <c r="B9" s="606" t="s">
        <v>124</v>
      </c>
      <c r="C9" s="607" t="s">
        <v>714</v>
      </c>
      <c r="D9" s="607" t="s">
        <v>715</v>
      </c>
      <c r="E9" s="605" t="s">
        <v>126</v>
      </c>
      <c r="F9" s="605" t="s">
        <v>126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>
      <c r="A11" s="29" t="s">
        <v>129</v>
      </c>
      <c r="B11" s="606" t="s">
        <v>970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3" ht="15" customHeight="1">
      <c r="A12" s="25">
        <v>1</v>
      </c>
      <c r="B12" s="609" t="s">
        <v>971</v>
      </c>
      <c r="C12" s="49">
        <v>40</v>
      </c>
      <c r="D12" s="49">
        <v>38</v>
      </c>
      <c r="E12" s="49">
        <f>+D12-C12</f>
        <v>-2</v>
      </c>
      <c r="F12" s="70">
        <f>IF(C12=0,0,+E12/C12)</f>
        <v>-0.05</v>
      </c>
      <c r="G12" s="610"/>
      <c r="H12" s="611"/>
      <c r="I12" s="612"/>
      <c r="J12" s="308"/>
      <c r="K12" s="308"/>
      <c r="L12" s="308"/>
      <c r="M12" s="308"/>
    </row>
    <row r="13" spans="1:13" ht="15" customHeight="1">
      <c r="A13" s="44">
        <v>2</v>
      </c>
      <c r="B13" s="609" t="s">
        <v>972</v>
      </c>
      <c r="C13" s="49">
        <v>17</v>
      </c>
      <c r="D13" s="49">
        <v>16</v>
      </c>
      <c r="E13" s="49">
        <f>+D13-C13</f>
        <v>-1</v>
      </c>
      <c r="F13" s="70">
        <f>IF(C13=0,0,+E13/C13)</f>
        <v>-0.058823529411764705</v>
      </c>
      <c r="G13" s="610"/>
      <c r="H13" s="611"/>
      <c r="I13" s="612"/>
      <c r="J13" s="308"/>
      <c r="K13" s="308"/>
      <c r="L13" s="308"/>
      <c r="M13" s="308"/>
    </row>
    <row r="14" spans="1:13" ht="15" customHeight="1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3" ht="15" customHeight="1">
      <c r="A15" s="25">
        <v>3</v>
      </c>
      <c r="B15" s="121" t="s">
        <v>973</v>
      </c>
      <c r="C15" s="51">
        <v>165221</v>
      </c>
      <c r="D15" s="51">
        <v>122057</v>
      </c>
      <c r="E15" s="51">
        <f>+D15-C15</f>
        <v>-43164</v>
      </c>
      <c r="F15" s="70">
        <f>IF(C15=0,0,+E15/C15)</f>
        <v>-0.2612500832218665</v>
      </c>
      <c r="G15" s="610"/>
      <c r="H15" s="611"/>
      <c r="I15" s="612"/>
      <c r="J15" s="308"/>
      <c r="K15" s="308"/>
      <c r="L15" s="308"/>
      <c r="M15" s="308"/>
    </row>
    <row r="16" spans="1:13" ht="15.75" customHeight="1">
      <c r="A16" s="25">
        <v>4</v>
      </c>
      <c r="B16" s="121" t="s">
        <v>974</v>
      </c>
      <c r="C16" s="27">
        <f>IF(C13=0,0,+C15/+C13)</f>
        <v>9718.882352941177</v>
      </c>
      <c r="D16" s="27">
        <f>IF(D13=0,0,+D15/+D13)</f>
        <v>7628.5625</v>
      </c>
      <c r="E16" s="27">
        <f>+D16-C16</f>
        <v>-2090.3198529411766</v>
      </c>
      <c r="F16" s="28">
        <f>IF(C16=0,0,+E16/C16)</f>
        <v>-0.21507821342323313</v>
      </c>
      <c r="G16" s="610"/>
      <c r="H16" s="611"/>
      <c r="I16" s="612"/>
      <c r="J16" s="308"/>
      <c r="K16" s="308"/>
      <c r="L16" s="308"/>
      <c r="M16" s="308"/>
    </row>
    <row r="17" spans="1:13" ht="15.75" customHeight="1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>
      <c r="A18" s="25">
        <v>5</v>
      </c>
      <c r="B18" s="613" t="s">
        <v>975</v>
      </c>
      <c r="C18" s="210">
        <v>0.391407</v>
      </c>
      <c r="D18" s="210">
        <v>0.382652</v>
      </c>
      <c r="E18" s="210">
        <f>+D18-C18</f>
        <v>-0.008755000000000013</v>
      </c>
      <c r="F18" s="70">
        <f>IF(C18=0,0,+E18/C18)</f>
        <v>-0.022368021011376936</v>
      </c>
      <c r="G18" s="610"/>
      <c r="H18" s="611"/>
      <c r="I18" s="612"/>
      <c r="J18" s="308"/>
      <c r="K18" s="308"/>
      <c r="L18" s="308"/>
      <c r="M18" s="308"/>
    </row>
    <row r="19" spans="1:13" ht="15.75" customHeight="1">
      <c r="A19" s="25">
        <v>6</v>
      </c>
      <c r="B19" s="614" t="s">
        <v>976</v>
      </c>
      <c r="C19" s="27">
        <f>+C15*C18</f>
        <v>64668.655947</v>
      </c>
      <c r="D19" s="27">
        <f>+D15*D18</f>
        <v>46705.355164</v>
      </c>
      <c r="E19" s="27">
        <f>+D19-C19</f>
        <v>-17963.300783</v>
      </c>
      <c r="F19" s="28">
        <f>IF(C19=0,0,+E19/C19)</f>
        <v>-0.2777744568825127</v>
      </c>
      <c r="G19" s="610"/>
      <c r="H19" s="611"/>
      <c r="I19" s="612"/>
      <c r="J19" s="308"/>
      <c r="K19" s="308"/>
      <c r="L19" s="308"/>
      <c r="M19" s="308"/>
    </row>
    <row r="20" spans="1:13" ht="15.75" customHeight="1">
      <c r="A20" s="25">
        <v>7</v>
      </c>
      <c r="B20" s="614" t="s">
        <v>977</v>
      </c>
      <c r="C20" s="27">
        <f>IF(C13=0,0,+C19/C13)</f>
        <v>3804.038585117647</v>
      </c>
      <c r="D20" s="27">
        <f>IF(D13=0,0,+D19/D13)</f>
        <v>2919.08469775</v>
      </c>
      <c r="E20" s="27">
        <f>+D20-C20</f>
        <v>-884.953887367647</v>
      </c>
      <c r="F20" s="28">
        <f>IF(C20=0,0,+E20/C20)</f>
        <v>-0.23263536043766972</v>
      </c>
      <c r="G20" s="610"/>
      <c r="H20" s="611"/>
      <c r="I20" s="612"/>
      <c r="J20" s="308"/>
      <c r="K20" s="308"/>
      <c r="L20" s="308"/>
      <c r="M20" s="308"/>
    </row>
    <row r="21" spans="1:13" ht="15.75" customHeight="1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>
      <c r="A22" s="25">
        <v>8</v>
      </c>
      <c r="B22" s="613" t="s">
        <v>978</v>
      </c>
      <c r="C22" s="51">
        <v>145259</v>
      </c>
      <c r="D22" s="51">
        <v>76155</v>
      </c>
      <c r="E22" s="51">
        <f>+D22-C22</f>
        <v>-69104</v>
      </c>
      <c r="F22" s="70">
        <f>IF(C22=0,0,+E22/C22)</f>
        <v>-0.47572955892578084</v>
      </c>
      <c r="G22" s="610"/>
      <c r="H22" s="611"/>
      <c r="I22" s="612"/>
      <c r="J22" s="308"/>
      <c r="K22" s="308"/>
      <c r="L22" s="308"/>
      <c r="M22" s="308"/>
    </row>
    <row r="23" spans="1:13" ht="15" customHeight="1">
      <c r="A23" s="25">
        <v>9</v>
      </c>
      <c r="B23" s="613" t="s">
        <v>979</v>
      </c>
      <c r="C23" s="49">
        <v>545</v>
      </c>
      <c r="D23" s="49">
        <v>5109</v>
      </c>
      <c r="E23" s="49">
        <f>+D23-C23</f>
        <v>4564</v>
      </c>
      <c r="F23" s="70">
        <f>IF(C23=0,0,+E23/C23)</f>
        <v>8.374311926605504</v>
      </c>
      <c r="G23" s="610"/>
      <c r="H23" s="611"/>
      <c r="I23" s="612"/>
      <c r="J23" s="308"/>
      <c r="K23" s="308"/>
      <c r="L23" s="308"/>
      <c r="M23" s="308"/>
    </row>
    <row r="24" spans="1:13" ht="15" customHeight="1">
      <c r="A24" s="25">
        <v>10</v>
      </c>
      <c r="B24" s="613" t="s">
        <v>0</v>
      </c>
      <c r="C24" s="49">
        <v>19417</v>
      </c>
      <c r="D24" s="49">
        <v>40793</v>
      </c>
      <c r="E24" s="49">
        <f>+D24-C24</f>
        <v>21376</v>
      </c>
      <c r="F24" s="70">
        <f>IF(C24=0,0,+E24/C24)</f>
        <v>1.1008909718288098</v>
      </c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5">
        <v>11</v>
      </c>
      <c r="B25" s="614" t="s">
        <v>973</v>
      </c>
      <c r="C25" s="27">
        <f>+C22+C23+C24</f>
        <v>165221</v>
      </c>
      <c r="D25" s="27">
        <f>+D22+D23+D24</f>
        <v>122057</v>
      </c>
      <c r="E25" s="27">
        <f>+E22+E23+E24</f>
        <v>-43164</v>
      </c>
      <c r="F25" s="28">
        <f>IF(C25=0,0,+E25/C25)</f>
        <v>-0.2612500832218665</v>
      </c>
      <c r="G25" s="610"/>
      <c r="H25" s="611"/>
      <c r="I25" s="612"/>
      <c r="J25" s="308"/>
      <c r="K25" s="308"/>
      <c r="L25" s="308"/>
      <c r="M25" s="308"/>
    </row>
    <row r="26" spans="1:13" ht="15.75" customHeight="1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>
      <c r="A27" s="25">
        <v>12</v>
      </c>
      <c r="B27" s="615" t="s">
        <v>1</v>
      </c>
      <c r="C27" s="49">
        <v>51</v>
      </c>
      <c r="D27" s="49">
        <v>20</v>
      </c>
      <c r="E27" s="49">
        <f>+D27-C27</f>
        <v>-31</v>
      </c>
      <c r="F27" s="70">
        <f>IF(C27=0,0,+E27/C27)</f>
        <v>-0.6078431372549019</v>
      </c>
      <c r="G27" s="610"/>
      <c r="H27" s="611"/>
      <c r="I27" s="612"/>
      <c r="J27" s="308"/>
      <c r="K27" s="308"/>
      <c r="L27" s="308"/>
      <c r="M27" s="308"/>
    </row>
    <row r="28" spans="1:13" ht="15" customHeight="1">
      <c r="A28" s="25">
        <v>13</v>
      </c>
      <c r="B28" s="615" t="s">
        <v>2</v>
      </c>
      <c r="C28" s="49">
        <v>10</v>
      </c>
      <c r="D28" s="49">
        <v>3</v>
      </c>
      <c r="E28" s="49">
        <f>+D28-C28</f>
        <v>-7</v>
      </c>
      <c r="F28" s="70">
        <f>IF(C28=0,0,+E28/C28)</f>
        <v>-0.7</v>
      </c>
      <c r="G28" s="610"/>
      <c r="H28" s="611"/>
      <c r="I28" s="612"/>
      <c r="J28" s="308"/>
      <c r="K28" s="308"/>
      <c r="L28" s="308"/>
      <c r="M28" s="308"/>
    </row>
    <row r="29" spans="1:13" ht="16.5" customHeight="1">
      <c r="A29" s="25">
        <v>14</v>
      </c>
      <c r="B29" s="615" t="s">
        <v>3</v>
      </c>
      <c r="C29" s="49">
        <v>17</v>
      </c>
      <c r="D29" s="49">
        <v>29</v>
      </c>
      <c r="E29" s="49">
        <f>+D29-C29</f>
        <v>12</v>
      </c>
      <c r="F29" s="70">
        <f>IF(C29=0,0,+E29/C29)</f>
        <v>0.7058823529411765</v>
      </c>
      <c r="G29" s="610"/>
      <c r="H29" s="611"/>
      <c r="I29" s="612"/>
      <c r="J29" s="308"/>
      <c r="K29" s="308"/>
      <c r="L29" s="308"/>
      <c r="M29" s="308"/>
    </row>
    <row r="30" spans="1:13" ht="15" customHeight="1">
      <c r="A30" s="25">
        <v>15</v>
      </c>
      <c r="B30" s="615" t="s">
        <v>4</v>
      </c>
      <c r="C30" s="49">
        <v>3</v>
      </c>
      <c r="D30" s="49">
        <v>3</v>
      </c>
      <c r="E30" s="49">
        <f>+D30-C30</f>
        <v>0</v>
      </c>
      <c r="F30" s="70">
        <f>IF(C30=0,0,+E30/C30)</f>
        <v>0</v>
      </c>
      <c r="G30" s="610"/>
      <c r="H30" s="611"/>
      <c r="I30" s="612"/>
      <c r="J30" s="308"/>
      <c r="K30" s="308"/>
      <c r="L30" s="308"/>
      <c r="M30" s="308"/>
    </row>
    <row r="31" spans="1:13" ht="15" customHeight="1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>
      <c r="A32" s="29" t="s">
        <v>141</v>
      </c>
      <c r="B32" s="606" t="s">
        <v>5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>
      <c r="A33" s="25">
        <v>1</v>
      </c>
      <c r="B33" s="613" t="s">
        <v>6</v>
      </c>
      <c r="C33" s="51">
        <v>1824508</v>
      </c>
      <c r="D33" s="51">
        <v>2367045</v>
      </c>
      <c r="E33" s="51">
        <f>+D33-C33</f>
        <v>542537</v>
      </c>
      <c r="F33" s="70">
        <f>IF(C33=0,0,+E33/C33)</f>
        <v>0.29736071313471907</v>
      </c>
      <c r="G33" s="610"/>
      <c r="H33" s="611"/>
      <c r="I33" s="612"/>
      <c r="J33" s="308"/>
      <c r="K33" s="308"/>
      <c r="L33" s="308"/>
      <c r="M33" s="308"/>
    </row>
    <row r="34" spans="1:13" ht="15" customHeight="1">
      <c r="A34" s="25">
        <v>2</v>
      </c>
      <c r="B34" s="613" t="s">
        <v>7</v>
      </c>
      <c r="C34" s="49">
        <v>3049066</v>
      </c>
      <c r="D34" s="49">
        <v>4631406</v>
      </c>
      <c r="E34" s="49">
        <f>+D34-C34</f>
        <v>1582340</v>
      </c>
      <c r="F34" s="70">
        <f>IF(C34=0,0,+E34/C34)</f>
        <v>0.5189589205350097</v>
      </c>
      <c r="G34" s="610"/>
      <c r="H34" s="611"/>
      <c r="I34" s="612"/>
      <c r="J34" s="308"/>
      <c r="K34" s="308"/>
      <c r="L34" s="308"/>
      <c r="M34" s="308"/>
    </row>
    <row r="35" spans="1:13" ht="15" customHeight="1">
      <c r="A35" s="25">
        <v>3</v>
      </c>
      <c r="B35" s="613" t="s">
        <v>8</v>
      </c>
      <c r="C35" s="49">
        <v>0</v>
      </c>
      <c r="D35" s="49">
        <v>0</v>
      </c>
      <c r="E35" s="49">
        <f>+D35-C35</f>
        <v>0</v>
      </c>
      <c r="F35" s="70">
        <f>IF(C35=0,0,+E35/C35)</f>
        <v>0</v>
      </c>
      <c r="G35" s="610"/>
      <c r="H35" s="611"/>
      <c r="I35" s="612"/>
      <c r="J35" s="308"/>
      <c r="K35" s="308"/>
      <c r="L35" s="308"/>
      <c r="M35" s="308"/>
    </row>
    <row r="36" spans="1:13" ht="15.75" customHeight="1">
      <c r="A36" s="25">
        <v>4</v>
      </c>
      <c r="B36" s="614" t="s">
        <v>9</v>
      </c>
      <c r="C36" s="27">
        <f>+C33+C34+C35</f>
        <v>4873574</v>
      </c>
      <c r="D36" s="27">
        <f>+D33+D34+D35</f>
        <v>6998451</v>
      </c>
      <c r="E36" s="27">
        <f>+E33+E34+E35</f>
        <v>2124877</v>
      </c>
      <c r="F36" s="28">
        <f>IF(C36=0,0,+E36/C36)</f>
        <v>0.4359997406420832</v>
      </c>
      <c r="G36" s="610"/>
      <c r="H36" s="611"/>
      <c r="I36" s="612"/>
      <c r="J36" s="308"/>
      <c r="K36" s="308"/>
      <c r="L36" s="308"/>
      <c r="M36" s="308"/>
    </row>
    <row r="37" spans="1:13" ht="15.75" customHeight="1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>
      <c r="A38" s="29" t="s">
        <v>151</v>
      </c>
      <c r="B38" s="606" t="s">
        <v>10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>
      <c r="A39" s="25">
        <v>1</v>
      </c>
      <c r="B39" s="609" t="s">
        <v>11</v>
      </c>
      <c r="C39" s="51">
        <f>+C25</f>
        <v>165221</v>
      </c>
      <c r="D39" s="51">
        <f>+D25</f>
        <v>122057</v>
      </c>
      <c r="E39" s="51">
        <f>+D39-C39</f>
        <v>-43164</v>
      </c>
      <c r="F39" s="70">
        <f>IF(C39=0,0,+E39/C39)</f>
        <v>-0.2612500832218665</v>
      </c>
      <c r="G39" s="610"/>
      <c r="H39" s="611"/>
      <c r="I39" s="612"/>
      <c r="J39" s="308"/>
      <c r="K39" s="308"/>
      <c r="L39" s="308"/>
      <c r="M39" s="308"/>
    </row>
    <row r="40" spans="1:13" ht="15" customHeight="1">
      <c r="A40" s="25">
        <v>2</v>
      </c>
      <c r="B40" s="609" t="s">
        <v>12</v>
      </c>
      <c r="C40" s="49">
        <f>+C36</f>
        <v>4873574</v>
      </c>
      <c r="D40" s="49">
        <f>+D36</f>
        <v>6998451</v>
      </c>
      <c r="E40" s="49">
        <f>+D40-C40</f>
        <v>2124877</v>
      </c>
      <c r="F40" s="70">
        <f>IF(C40=0,0,+E40/C40)</f>
        <v>0.4359997406420832</v>
      </c>
      <c r="G40" s="610"/>
      <c r="H40" s="611"/>
      <c r="I40" s="612"/>
      <c r="J40" s="308"/>
      <c r="K40" s="308"/>
      <c r="L40" s="308"/>
      <c r="M40" s="308"/>
    </row>
    <row r="41" spans="1:13" ht="15.75" customHeight="1">
      <c r="A41" s="25">
        <v>3</v>
      </c>
      <c r="B41" s="617" t="s">
        <v>13</v>
      </c>
      <c r="C41" s="27">
        <f>+C39+C40</f>
        <v>5038795</v>
      </c>
      <c r="D41" s="27">
        <f>+D39+D40</f>
        <v>7120508</v>
      </c>
      <c r="E41" s="27">
        <f>+E39+E40</f>
        <v>2081713</v>
      </c>
      <c r="F41" s="28">
        <f>IF(C41=0,0,+E41/C41)</f>
        <v>0.41313706947792084</v>
      </c>
      <c r="G41" s="610"/>
      <c r="H41" s="611"/>
      <c r="I41" s="612"/>
      <c r="J41" s="308"/>
      <c r="K41" s="308"/>
      <c r="L41" s="308"/>
      <c r="M41" s="308"/>
    </row>
    <row r="42" spans="1:13" ht="15.75" customHeight="1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>
      <c r="A43" s="25">
        <v>4</v>
      </c>
      <c r="B43" s="613" t="s">
        <v>14</v>
      </c>
      <c r="C43" s="51">
        <f aca="true" t="shared" si="0" ref="C43:D45">+C22+C33</f>
        <v>1969767</v>
      </c>
      <c r="D43" s="51">
        <f t="shared" si="0"/>
        <v>2443200</v>
      </c>
      <c r="E43" s="51">
        <f>+D43-C43</f>
        <v>473433</v>
      </c>
      <c r="F43" s="70">
        <f>IF(C43=0,0,+E43/C43)</f>
        <v>0.24034974694976613</v>
      </c>
      <c r="G43" s="610"/>
      <c r="H43" s="611"/>
      <c r="I43" s="612"/>
      <c r="J43" s="308"/>
      <c r="K43" s="308"/>
      <c r="L43" s="308"/>
      <c r="M43" s="308"/>
    </row>
    <row r="44" spans="1:13" ht="30">
      <c r="A44" s="25">
        <v>5</v>
      </c>
      <c r="B44" s="613" t="s">
        <v>15</v>
      </c>
      <c r="C44" s="49">
        <f t="shared" si="0"/>
        <v>3049611</v>
      </c>
      <c r="D44" s="49">
        <f t="shared" si="0"/>
        <v>4636515</v>
      </c>
      <c r="E44" s="49">
        <f>+D44-C44</f>
        <v>1586904</v>
      </c>
      <c r="F44" s="70">
        <f>IF(C44=0,0,+E44/C44)</f>
        <v>0.5203627610209958</v>
      </c>
      <c r="G44" s="610"/>
      <c r="H44" s="611"/>
      <c r="I44" s="612"/>
      <c r="J44" s="308"/>
      <c r="K44" s="308"/>
      <c r="L44" s="308"/>
      <c r="M44" s="308"/>
    </row>
    <row r="45" spans="1:13" ht="15" customHeight="1">
      <c r="A45" s="25">
        <v>6</v>
      </c>
      <c r="B45" s="613" t="s">
        <v>16</v>
      </c>
      <c r="C45" s="49">
        <f t="shared" si="0"/>
        <v>19417</v>
      </c>
      <c r="D45" s="49">
        <f t="shared" si="0"/>
        <v>40793</v>
      </c>
      <c r="E45" s="49">
        <f>+D45-C45</f>
        <v>21376</v>
      </c>
      <c r="F45" s="70">
        <f>IF(C45=0,0,+E45/C45)</f>
        <v>1.1008909718288098</v>
      </c>
      <c r="G45" s="610"/>
      <c r="H45" s="611"/>
      <c r="I45" s="612"/>
      <c r="J45" s="308"/>
      <c r="K45" s="308"/>
      <c r="L45" s="308"/>
      <c r="M45" s="308"/>
    </row>
    <row r="46" spans="1:13" ht="15.75" customHeight="1">
      <c r="A46" s="25">
        <v>7</v>
      </c>
      <c r="B46" s="614" t="s">
        <v>13</v>
      </c>
      <c r="C46" s="27">
        <f>+C43+C44+C45</f>
        <v>5038795</v>
      </c>
      <c r="D46" s="27">
        <f>+D43+D44+D45</f>
        <v>7120508</v>
      </c>
      <c r="E46" s="27">
        <f>+E43+E44+E45</f>
        <v>2081713</v>
      </c>
      <c r="F46" s="28">
        <f>IF(C46=0,0,+E46/C46)</f>
        <v>0.41313706947792084</v>
      </c>
      <c r="G46" s="610"/>
      <c r="H46" s="611"/>
      <c r="I46" s="612"/>
      <c r="J46" s="308"/>
      <c r="K46" s="308"/>
      <c r="L46" s="308"/>
      <c r="M46" s="308"/>
    </row>
    <row r="47" spans="1:13" ht="15.75" customHeight="1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6" ht="15.75" customHeight="1">
      <c r="A48" s="711" t="s">
        <v>17</v>
      </c>
      <c r="B48" s="712"/>
      <c r="C48" s="712"/>
      <c r="D48" s="712"/>
      <c r="E48" s="712"/>
      <c r="F48" s="713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70"/>
  <headerFooter alignWithMargins="0">
    <oddHeader>&amp;LOFFICE OF HEALTH CARE ACCESS&amp;CTWELVE MONTHS ACTUAL FILING&amp;RMILFORD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.00390625" style="307" bestFit="1" customWidth="1"/>
    <col min="12" max="12" width="12.8515625" style="307" bestFit="1" customWidth="1"/>
    <col min="13" max="13" width="12.00390625" style="307" bestFit="1" customWidth="1"/>
    <col min="14" max="14" width="9.8515625" style="307" customWidth="1"/>
    <col min="15" max="16384" width="9.140625" style="307" customWidth="1"/>
  </cols>
  <sheetData>
    <row r="1" spans="1:6" ht="15" customHeight="1">
      <c r="A1" s="602"/>
      <c r="B1" s="602"/>
      <c r="C1" s="602"/>
      <c r="D1" s="602"/>
      <c r="E1" s="602"/>
      <c r="F1" s="602"/>
    </row>
    <row r="2" spans="1:6" ht="15.75" customHeight="1">
      <c r="A2" s="714" t="s">
        <v>115</v>
      </c>
      <c r="B2" s="715"/>
      <c r="C2" s="715"/>
      <c r="D2" s="715"/>
      <c r="E2" s="715"/>
      <c r="F2" s="716"/>
    </row>
    <row r="3" spans="1:6" ht="15.75" customHeight="1">
      <c r="A3" s="714" t="s">
        <v>708</v>
      </c>
      <c r="B3" s="715"/>
      <c r="C3" s="715"/>
      <c r="D3" s="715"/>
      <c r="E3" s="715"/>
      <c r="F3" s="716"/>
    </row>
    <row r="4" spans="1:6" ht="15.75" customHeight="1">
      <c r="A4" s="714" t="s">
        <v>709</v>
      </c>
      <c r="B4" s="715"/>
      <c r="C4" s="715"/>
      <c r="D4" s="715"/>
      <c r="E4" s="715"/>
      <c r="F4" s="716"/>
    </row>
    <row r="5" spans="1:6" ht="15.75" customHeight="1">
      <c r="A5" s="714" t="s">
        <v>18</v>
      </c>
      <c r="B5" s="715"/>
      <c r="C5" s="715"/>
      <c r="D5" s="715"/>
      <c r="E5" s="715"/>
      <c r="F5" s="716"/>
    </row>
    <row r="6" spans="1:6" ht="15.75" customHeight="1">
      <c r="A6" s="714" t="s">
        <v>19</v>
      </c>
      <c r="B6" s="715"/>
      <c r="C6" s="715"/>
      <c r="D6" s="715"/>
      <c r="E6" s="715"/>
      <c r="F6" s="716"/>
    </row>
    <row r="7" spans="1:6" ht="15.75" customHeight="1">
      <c r="A7" s="602"/>
      <c r="B7" s="602"/>
      <c r="C7" s="35"/>
      <c r="D7" s="35"/>
      <c r="E7" s="35"/>
      <c r="F7" s="35"/>
    </row>
    <row r="8" spans="1:6" ht="15.75" customHeight="1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3" ht="15.75" customHeight="1">
      <c r="A9" s="602"/>
      <c r="B9" s="26"/>
      <c r="C9" s="35" t="s">
        <v>714</v>
      </c>
      <c r="D9" s="35" t="s">
        <v>715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3" ht="15.75" customHeight="1">
      <c r="A10" s="602"/>
      <c r="B10" s="305"/>
      <c r="C10" s="35" t="s">
        <v>20</v>
      </c>
      <c r="D10" s="35" t="s">
        <v>20</v>
      </c>
      <c r="E10" s="35" t="s">
        <v>121</v>
      </c>
      <c r="F10" s="35" t="s">
        <v>122</v>
      </c>
      <c r="G10" s="604"/>
      <c r="H10" s="289"/>
      <c r="I10" s="308"/>
      <c r="J10" s="308"/>
      <c r="K10" s="308"/>
      <c r="L10" s="308"/>
      <c r="M10" s="308"/>
    </row>
    <row r="11" spans="1:14" ht="15.75" customHeight="1">
      <c r="A11" s="605" t="s">
        <v>123</v>
      </c>
      <c r="B11" s="606" t="s">
        <v>124</v>
      </c>
      <c r="C11" s="605" t="s">
        <v>21</v>
      </c>
      <c r="D11" s="605" t="s">
        <v>21</v>
      </c>
      <c r="E11" s="605" t="s">
        <v>126</v>
      </c>
      <c r="F11" s="605" t="s">
        <v>126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>
      <c r="A13" s="605"/>
      <c r="B13" s="606" t="s">
        <v>22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3" ht="15" customHeight="1">
      <c r="A15" s="25">
        <v>1</v>
      </c>
      <c r="B15" s="609" t="s">
        <v>440</v>
      </c>
      <c r="C15" s="51">
        <v>83765311</v>
      </c>
      <c r="D15" s="51">
        <v>84371463</v>
      </c>
      <c r="E15" s="51">
        <f>+D15-C15</f>
        <v>606152</v>
      </c>
      <c r="F15" s="70">
        <f>+E15/C15</f>
        <v>0.007236312893293025</v>
      </c>
      <c r="G15" s="604"/>
      <c r="H15" s="289"/>
      <c r="I15" s="308"/>
      <c r="J15" s="308"/>
      <c r="K15" s="308"/>
      <c r="L15" s="308"/>
      <c r="M15" s="308"/>
    </row>
    <row r="16" spans="1:13" ht="15" customHeight="1">
      <c r="A16" s="25"/>
      <c r="B16" s="609" t="s">
        <v>619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>
      <c r="A17" s="44">
        <v>2</v>
      </c>
      <c r="B17" s="609" t="s">
        <v>23</v>
      </c>
      <c r="C17" s="51">
        <v>47145662</v>
      </c>
      <c r="D17" s="51">
        <v>47923524</v>
      </c>
      <c r="E17" s="51">
        <f>+D17-C17</f>
        <v>777862</v>
      </c>
      <c r="F17" s="70">
        <f>+E17/C17</f>
        <v>0.016499121382578103</v>
      </c>
      <c r="G17" s="604"/>
      <c r="H17" s="289"/>
      <c r="I17" s="308"/>
      <c r="J17" s="308"/>
      <c r="K17" s="308"/>
      <c r="L17" s="308"/>
      <c r="M17" s="308"/>
    </row>
    <row r="18" spans="1:13" ht="15.75" customHeight="1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>
      <c r="A19" s="29"/>
      <c r="B19" s="617" t="s">
        <v>24</v>
      </c>
      <c r="C19" s="27">
        <f>+C15-C17</f>
        <v>36619649</v>
      </c>
      <c r="D19" s="27">
        <f>+D15-D17</f>
        <v>36447939</v>
      </c>
      <c r="E19" s="27">
        <f>+D19-C19</f>
        <v>-171710</v>
      </c>
      <c r="F19" s="28">
        <f>+E19/C19</f>
        <v>-0.004689012721012154</v>
      </c>
      <c r="G19" s="604"/>
      <c r="H19" s="623"/>
      <c r="I19" s="308"/>
      <c r="J19" s="308"/>
      <c r="K19" s="308"/>
      <c r="L19" s="308"/>
      <c r="M19" s="308"/>
    </row>
    <row r="20" spans="1:13" ht="15.75" customHeight="1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>
      <c r="A21" s="29"/>
      <c r="B21" s="121" t="s">
        <v>25</v>
      </c>
      <c r="C21" s="628">
        <f>+C17/C15</f>
        <v>0.5628303821375414</v>
      </c>
      <c r="D21" s="628">
        <f>+D17/D15</f>
        <v>0.5680063174914959</v>
      </c>
      <c r="E21" s="628">
        <f>+D21-C21</f>
        <v>0.005175935353954442</v>
      </c>
      <c r="F21" s="28">
        <f>+E21/C21</f>
        <v>0.009196261463883759</v>
      </c>
      <c r="G21" s="610"/>
      <c r="H21" s="611"/>
      <c r="I21" s="612"/>
      <c r="J21" s="308"/>
      <c r="K21" s="308"/>
      <c r="L21" s="308"/>
      <c r="M21" s="308"/>
    </row>
    <row r="22" spans="1:13" ht="15.75" customHeight="1">
      <c r="A22" s="29"/>
      <c r="B22" s="619" t="s">
        <v>619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>
      <c r="A23" s="29"/>
      <c r="B23" s="619" t="s">
        <v>619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>
      <c r="A24" s="29"/>
      <c r="B24" s="619" t="s">
        <v>619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>
      <c r="A25" s="29"/>
      <c r="B25" s="619" t="s">
        <v>619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6" ht="15.75" customHeight="1">
      <c r="A26" s="711" t="s">
        <v>26</v>
      </c>
      <c r="B26" s="712"/>
      <c r="C26" s="712"/>
      <c r="D26" s="712"/>
      <c r="E26" s="712"/>
      <c r="F26" s="713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/>
  <headerFooter alignWithMargins="0">
    <oddHeader>&amp;L&amp;12OFFICE OF HEALTH CARE ACCESS&amp;C&amp;12TWELVE MONTHS ACTUAL FILING&amp;R&amp;12MILFORD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6"/>
  <sheetViews>
    <sheetView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5" width="18.28125" style="0" customWidth="1"/>
  </cols>
  <sheetData>
    <row r="1" spans="1:6" ht="25.5" customHeight="1">
      <c r="A1" s="718" t="s">
        <v>115</v>
      </c>
      <c r="B1" s="718"/>
      <c r="C1" s="718"/>
      <c r="D1" s="718"/>
      <c r="E1" s="718"/>
      <c r="F1" s="630"/>
    </row>
    <row r="2" spans="1:6" ht="25.5" customHeight="1">
      <c r="A2" s="718" t="s">
        <v>116</v>
      </c>
      <c r="B2" s="718"/>
      <c r="C2" s="718"/>
      <c r="D2" s="718"/>
      <c r="E2" s="718"/>
      <c r="F2" s="630"/>
    </row>
    <row r="3" spans="1:6" ht="25.5" customHeight="1">
      <c r="A3" s="718" t="s">
        <v>117</v>
      </c>
      <c r="B3" s="718"/>
      <c r="C3" s="718"/>
      <c r="D3" s="718"/>
      <c r="E3" s="718"/>
      <c r="F3" s="630"/>
    </row>
    <row r="4" spans="1:6" ht="25.5" customHeight="1">
      <c r="A4" s="718" t="s">
        <v>27</v>
      </c>
      <c r="B4" s="718"/>
      <c r="C4" s="718"/>
      <c r="D4" s="718"/>
      <c r="E4" s="718"/>
      <c r="F4" s="630"/>
    </row>
    <row r="5" spans="1:5" ht="25.5" customHeight="1">
      <c r="A5" s="717"/>
      <c r="B5" s="717"/>
      <c r="C5" s="717"/>
      <c r="D5" s="717"/>
      <c r="E5" s="717"/>
    </row>
    <row r="6" spans="1:5" ht="25.5" customHeight="1">
      <c r="A6" s="632" t="s">
        <v>28</v>
      </c>
      <c r="B6" s="632" t="s">
        <v>29</v>
      </c>
      <c r="C6" s="632" t="s">
        <v>30</v>
      </c>
      <c r="D6" s="632" t="s">
        <v>31</v>
      </c>
      <c r="E6" s="632" t="s">
        <v>32</v>
      </c>
    </row>
    <row r="7" spans="1:5" ht="37.5" customHeight="1">
      <c r="A7" s="633" t="s">
        <v>123</v>
      </c>
      <c r="B7" s="634" t="s">
        <v>33</v>
      </c>
      <c r="C7" s="631" t="s">
        <v>34</v>
      </c>
      <c r="D7" s="631" t="s">
        <v>35</v>
      </c>
      <c r="E7" s="631" t="s">
        <v>36</v>
      </c>
    </row>
    <row r="8" spans="1:5" ht="25.5" customHeight="1">
      <c r="A8" s="635"/>
      <c r="B8" s="634"/>
      <c r="C8" s="636"/>
      <c r="D8" s="636"/>
      <c r="E8" s="636"/>
    </row>
    <row r="9" spans="1:5" ht="25.5" customHeight="1">
      <c r="A9" s="629" t="s">
        <v>129</v>
      </c>
      <c r="B9" s="637" t="s">
        <v>37</v>
      </c>
      <c r="C9" s="638"/>
      <c r="D9" s="638"/>
      <c r="E9" s="638"/>
    </row>
    <row r="10" spans="1:5" ht="25.5" customHeight="1">
      <c r="A10" s="639">
        <v>1</v>
      </c>
      <c r="B10" s="640" t="s">
        <v>38</v>
      </c>
      <c r="C10" s="641">
        <v>126628911</v>
      </c>
      <c r="D10" s="641">
        <v>132305630</v>
      </c>
      <c r="E10" s="641">
        <v>128350324</v>
      </c>
    </row>
    <row r="11" spans="1:5" ht="25.5" customHeight="1">
      <c r="A11" s="639">
        <v>2</v>
      </c>
      <c r="B11" s="640" t="s">
        <v>39</v>
      </c>
      <c r="C11" s="641">
        <v>83157912</v>
      </c>
      <c r="D11" s="641">
        <v>90072124</v>
      </c>
      <c r="E11" s="641">
        <v>90789239</v>
      </c>
    </row>
    <row r="12" spans="1:5" ht="25.5" customHeight="1">
      <c r="A12" s="639">
        <v>3</v>
      </c>
      <c r="B12" s="640" t="s">
        <v>186</v>
      </c>
      <c r="C12" s="641">
        <f>+C11+C10</f>
        <v>209786823</v>
      </c>
      <c r="D12" s="641">
        <f>+D11+D10</f>
        <v>222377754</v>
      </c>
      <c r="E12" s="641">
        <f>+E11+E10</f>
        <v>219139563</v>
      </c>
    </row>
    <row r="13" spans="1:5" ht="25.5" customHeight="1">
      <c r="A13" s="639">
        <v>4</v>
      </c>
      <c r="B13" s="640" t="s">
        <v>599</v>
      </c>
      <c r="C13" s="641">
        <v>76632879</v>
      </c>
      <c r="D13" s="641">
        <v>83253020</v>
      </c>
      <c r="E13" s="641">
        <v>82468718</v>
      </c>
    </row>
    <row r="14" spans="1:5" ht="25.5" customHeight="1">
      <c r="A14" s="639"/>
      <c r="B14" s="640"/>
      <c r="C14" s="641"/>
      <c r="D14" s="641"/>
      <c r="E14" s="641"/>
    </row>
    <row r="15" spans="1:5" ht="25.5" customHeight="1">
      <c r="A15" s="629" t="s">
        <v>141</v>
      </c>
      <c r="B15" s="642" t="s">
        <v>439</v>
      </c>
      <c r="C15" s="641"/>
      <c r="D15" s="641"/>
      <c r="E15" s="641"/>
    </row>
    <row r="16" spans="1:5" ht="25.5" customHeight="1">
      <c r="A16" s="639">
        <v>1</v>
      </c>
      <c r="B16" s="640" t="s">
        <v>40</v>
      </c>
      <c r="C16" s="641">
        <v>82425087</v>
      </c>
      <c r="D16" s="641">
        <v>85362191</v>
      </c>
      <c r="E16" s="641">
        <v>88487473</v>
      </c>
    </row>
    <row r="17" spans="1:5" ht="25.5" customHeight="1">
      <c r="A17" s="639"/>
      <c r="B17" s="640"/>
      <c r="C17" s="641"/>
      <c r="D17" s="641"/>
      <c r="E17" s="641"/>
    </row>
    <row r="18" spans="1:5" ht="25.5" customHeight="1">
      <c r="A18" s="629" t="s">
        <v>151</v>
      </c>
      <c r="B18" s="642" t="s">
        <v>41</v>
      </c>
      <c r="C18" s="643"/>
      <c r="D18" s="643"/>
      <c r="E18" s="641"/>
    </row>
    <row r="19" spans="1:5" ht="25.5" customHeight="1">
      <c r="A19" s="639">
        <v>1</v>
      </c>
      <c r="B19" s="640" t="s">
        <v>487</v>
      </c>
      <c r="C19" s="644">
        <v>22304</v>
      </c>
      <c r="D19" s="644">
        <v>21629</v>
      </c>
      <c r="E19" s="644">
        <v>20370</v>
      </c>
    </row>
    <row r="20" spans="1:5" ht="25.5" customHeight="1">
      <c r="A20" s="639">
        <v>2</v>
      </c>
      <c r="B20" s="640" t="s">
        <v>488</v>
      </c>
      <c r="C20" s="645">
        <v>5026</v>
      </c>
      <c r="D20" s="645">
        <v>4935</v>
      </c>
      <c r="E20" s="645">
        <v>4800</v>
      </c>
    </row>
    <row r="21" spans="1:5" ht="25.5" customHeight="1">
      <c r="A21" s="639">
        <v>3</v>
      </c>
      <c r="B21" s="640" t="s">
        <v>42</v>
      </c>
      <c r="C21" s="646">
        <f>IF(C20=0,0,+C19/C20)</f>
        <v>4.437723836052527</v>
      </c>
      <c r="D21" s="646">
        <f>IF(D20=0,0,+D19/D20)</f>
        <v>4.3827760891590675</v>
      </c>
      <c r="E21" s="646">
        <f>IF(E20=0,0,+E19/E20)</f>
        <v>4.24375</v>
      </c>
    </row>
    <row r="22" spans="1:5" ht="25.5" customHeight="1">
      <c r="A22" s="639">
        <v>4</v>
      </c>
      <c r="B22" s="640" t="s">
        <v>43</v>
      </c>
      <c r="C22" s="645">
        <f>IF(C10=0,0,C19*(C12/C10))</f>
        <v>36951.16117828732</v>
      </c>
      <c r="D22" s="645">
        <f>IF(D10=0,0,D19*(D12/D10))</f>
        <v>36353.76998897175</v>
      </c>
      <c r="E22" s="645">
        <f>IF(E10=0,0,E19*(E12/E10))</f>
        <v>34778.82064645197</v>
      </c>
    </row>
    <row r="23" spans="1:5" ht="25.5" customHeight="1">
      <c r="A23" s="639">
        <v>0</v>
      </c>
      <c r="B23" s="640" t="s">
        <v>44</v>
      </c>
      <c r="C23" s="645">
        <f>IF(C10=0,0,C20*(C12/C10))</f>
        <v>8326.602227496058</v>
      </c>
      <c r="D23" s="645">
        <f>IF(D10=0,0,D20*(D12/D10))</f>
        <v>8294.69022588079</v>
      </c>
      <c r="E23" s="645">
        <f>IF(E10=0,0,E20*(E12/E10))</f>
        <v>8195.303834215487</v>
      </c>
    </row>
    <row r="24" spans="1:5" ht="25.5" customHeight="1">
      <c r="A24" s="639"/>
      <c r="B24" s="640"/>
      <c r="C24" s="645"/>
      <c r="D24" s="645"/>
      <c r="E24" s="645"/>
    </row>
    <row r="25" spans="1:5" ht="25.5" customHeight="1">
      <c r="A25" s="629" t="s">
        <v>436</v>
      </c>
      <c r="B25" s="642" t="s">
        <v>45</v>
      </c>
      <c r="C25" s="645"/>
      <c r="D25" s="645"/>
      <c r="E25" s="645"/>
    </row>
    <row r="26" spans="1:5" ht="25.5" customHeight="1">
      <c r="A26" s="639">
        <v>1</v>
      </c>
      <c r="B26" s="640" t="s">
        <v>537</v>
      </c>
      <c r="C26" s="647">
        <v>1.1789556923995226</v>
      </c>
      <c r="D26" s="647">
        <v>1.256470609929078</v>
      </c>
      <c r="E26" s="647">
        <v>1.2994257145833334</v>
      </c>
    </row>
    <row r="27" spans="1:5" ht="25.5" customHeight="1">
      <c r="A27" s="639">
        <v>2</v>
      </c>
      <c r="B27" s="640" t="s">
        <v>46</v>
      </c>
      <c r="C27" s="645">
        <f>C19*C26</f>
        <v>26295.427763278953</v>
      </c>
      <c r="D27" s="645">
        <f>D19*D26</f>
        <v>27176.202822156032</v>
      </c>
      <c r="E27" s="645">
        <f>E19*E26</f>
        <v>26469.301806062504</v>
      </c>
    </row>
    <row r="28" spans="1:5" ht="25.5" customHeight="1">
      <c r="A28" s="639">
        <v>3</v>
      </c>
      <c r="B28" s="640" t="s">
        <v>47</v>
      </c>
      <c r="C28" s="645">
        <f>C20*C26</f>
        <v>5925.431310000001</v>
      </c>
      <c r="D28" s="645">
        <f>D20*D26</f>
        <v>6200.682460000001</v>
      </c>
      <c r="E28" s="645">
        <f>E20*E26</f>
        <v>6237.24343</v>
      </c>
    </row>
    <row r="29" spans="1:5" ht="25.5" customHeight="1">
      <c r="A29" s="639">
        <v>4</v>
      </c>
      <c r="B29" s="640" t="s">
        <v>48</v>
      </c>
      <c r="C29" s="645">
        <f>C22*C26</f>
        <v>43563.78181191409</v>
      </c>
      <c r="D29" s="645">
        <f>D22*D26</f>
        <v>45677.44355126475</v>
      </c>
      <c r="E29" s="645">
        <f>E22*E26</f>
        <v>45192.49387088144</v>
      </c>
    </row>
    <row r="30" spans="1:5" ht="25.5" customHeight="1">
      <c r="A30" s="639">
        <v>5</v>
      </c>
      <c r="B30" s="640" t="s">
        <v>49</v>
      </c>
      <c r="C30" s="645">
        <f>C23*C26</f>
        <v>9816.695094453022</v>
      </c>
      <c r="D30" s="645">
        <f>D23*D26</f>
        <v>10422.034487285198</v>
      </c>
      <c r="E30" s="645">
        <f>E23*E26</f>
        <v>10649.188541002992</v>
      </c>
    </row>
    <row r="31" spans="1:5" ht="25.5" customHeight="1">
      <c r="A31" s="639"/>
      <c r="B31" s="640"/>
      <c r="C31" s="645"/>
      <c r="D31" s="645"/>
      <c r="E31" s="645"/>
    </row>
    <row r="32" spans="1:5" ht="39" customHeight="1">
      <c r="A32" s="629" t="s">
        <v>457</v>
      </c>
      <c r="B32" s="634" t="s">
        <v>50</v>
      </c>
      <c r="C32" s="648"/>
      <c r="D32" s="648"/>
      <c r="E32" s="645"/>
    </row>
    <row r="33" spans="1:5" ht="25.5" customHeight="1">
      <c r="A33" s="639">
        <v>1</v>
      </c>
      <c r="B33" s="640" t="s">
        <v>51</v>
      </c>
      <c r="C33" s="641">
        <f>IF(C19=0,0,C12/C19)</f>
        <v>9405.793714131994</v>
      </c>
      <c r="D33" s="641">
        <f>IF(D19=0,0,D12/D19)</f>
        <v>10281.462573396828</v>
      </c>
      <c r="E33" s="641">
        <f>IF(E19=0,0,E12/E19)</f>
        <v>10757.955964653902</v>
      </c>
    </row>
    <row r="34" spans="1:5" ht="25.5" customHeight="1">
      <c r="A34" s="639">
        <v>2</v>
      </c>
      <c r="B34" s="640" t="s">
        <v>52</v>
      </c>
      <c r="C34" s="641">
        <f>IF(C20=0,0,C12/C20)</f>
        <v>41740.31496219658</v>
      </c>
      <c r="D34" s="641">
        <f>IF(D20=0,0,D12/D20)</f>
        <v>45061.34832826748</v>
      </c>
      <c r="E34" s="641">
        <f>IF(E20=0,0,E12/E20)</f>
        <v>45654.075625</v>
      </c>
    </row>
    <row r="35" spans="1:5" ht="25.5" customHeight="1">
      <c r="A35" s="639">
        <v>3</v>
      </c>
      <c r="B35" s="640" t="s">
        <v>53</v>
      </c>
      <c r="C35" s="641">
        <f>IF(C22=0,0,C12/C22)</f>
        <v>5677.408133070301</v>
      </c>
      <c r="D35" s="641">
        <f>IF(D22=0,0,D12/D22)</f>
        <v>6117.047944888806</v>
      </c>
      <c r="E35" s="641">
        <f>IF(E22=0,0,E12/E22)</f>
        <v>6300.948649975455</v>
      </c>
    </row>
    <row r="36" spans="1:5" ht="25.5" customHeight="1">
      <c r="A36" s="639">
        <v>4</v>
      </c>
      <c r="B36" s="640" t="s">
        <v>54</v>
      </c>
      <c r="C36" s="641">
        <f>IF(C23=0,0,C12/C23)</f>
        <v>25194.76939912455</v>
      </c>
      <c r="D36" s="641">
        <f>IF(D23=0,0,D12/D23)</f>
        <v>26809.651469098273</v>
      </c>
      <c r="E36" s="641">
        <f>IF(E23=0,0,E12/E23)</f>
        <v>26739.650833333333</v>
      </c>
    </row>
    <row r="37" spans="1:5" ht="25.5" customHeight="1">
      <c r="A37" s="639">
        <v>5</v>
      </c>
      <c r="B37" s="640" t="s">
        <v>55</v>
      </c>
      <c r="C37" s="641">
        <f>IF(C29=0,0,C12/C29)</f>
        <v>4815.62468349858</v>
      </c>
      <c r="D37" s="641">
        <f>IF(D29=0,0,D12/D29)</f>
        <v>4868.436950733042</v>
      </c>
      <c r="E37" s="641">
        <f>IF(E29=0,0,E12/E29)</f>
        <v>4849.02567284955</v>
      </c>
    </row>
    <row r="38" spans="1:5" ht="25.5" customHeight="1">
      <c r="A38" s="639">
        <v>6</v>
      </c>
      <c r="B38" s="640" t="s">
        <v>56</v>
      </c>
      <c r="C38" s="641">
        <f>IF(C30=0,0,C12/C30)</f>
        <v>21370.41244344456</v>
      </c>
      <c r="D38" s="641">
        <f>IF(D30=0,0,D12/D30)</f>
        <v>21337.269059251255</v>
      </c>
      <c r="E38" s="641">
        <f>IF(E30=0,0,E12/E30)</f>
        <v>20578.052699155272</v>
      </c>
    </row>
    <row r="39" spans="1:5" ht="25.5" customHeight="1">
      <c r="A39" s="639">
        <v>7</v>
      </c>
      <c r="B39" s="640" t="s">
        <v>57</v>
      </c>
      <c r="C39" s="641">
        <f>IF(C22=0,0,C10/C22)</f>
        <v>3426.9264337600234</v>
      </c>
      <c r="D39" s="641">
        <f>IF(D22=0,0,D10/D22)</f>
        <v>3639.3922842152583</v>
      </c>
      <c r="E39" s="641">
        <f>IF(E22=0,0,E10/E22)</f>
        <v>3690.4737312619</v>
      </c>
    </row>
    <row r="40" spans="1:5" ht="25.5" customHeight="1">
      <c r="A40" s="639">
        <v>8</v>
      </c>
      <c r="B40" s="640" t="s">
        <v>58</v>
      </c>
      <c r="C40" s="641">
        <f>IF(C23=0,0,C10/C23)</f>
        <v>15207.753119495337</v>
      </c>
      <c r="D40" s="641">
        <f>IF(D23=0,0,D10/D23)</f>
        <v>15950.641482328636</v>
      </c>
      <c r="E40" s="641">
        <f>IF(E23=0,0,E10/E23)</f>
        <v>15661.447897042686</v>
      </c>
    </row>
    <row r="41" spans="1:5" ht="25.5" customHeight="1">
      <c r="A41" s="639"/>
      <c r="B41" s="640"/>
      <c r="C41" s="641"/>
      <c r="D41" s="641"/>
      <c r="E41" s="641"/>
    </row>
    <row r="42" spans="1:5" ht="39.75" customHeight="1">
      <c r="A42" s="629" t="s">
        <v>469</v>
      </c>
      <c r="B42" s="634" t="s">
        <v>59</v>
      </c>
      <c r="C42" s="641"/>
      <c r="D42" s="641"/>
      <c r="E42" s="641"/>
    </row>
    <row r="43" spans="1:5" ht="25.5" customHeight="1">
      <c r="A43" s="639">
        <v>1</v>
      </c>
      <c r="B43" s="640" t="s">
        <v>60</v>
      </c>
      <c r="C43" s="641">
        <f>IF(C19=0,0,C13/C19)</f>
        <v>3435.8356796987086</v>
      </c>
      <c r="D43" s="641">
        <f>IF(D19=0,0,D13/D19)</f>
        <v>3849.138656433492</v>
      </c>
      <c r="E43" s="641">
        <f>IF(E19=0,0,E13/E19)</f>
        <v>4048.5379479626904</v>
      </c>
    </row>
    <row r="44" spans="1:5" ht="25.5" customHeight="1">
      <c r="A44" s="639">
        <v>2</v>
      </c>
      <c r="B44" s="640" t="s">
        <v>61</v>
      </c>
      <c r="C44" s="641">
        <f>IF(C20=0,0,C13/C20)</f>
        <v>15247.289892558694</v>
      </c>
      <c r="D44" s="641">
        <f>IF(D20=0,0,D13/D20)</f>
        <v>16869.91286727457</v>
      </c>
      <c r="E44" s="641">
        <f>IF(E20=0,0,E13/E20)</f>
        <v>17180.982916666668</v>
      </c>
    </row>
    <row r="45" spans="1:5" ht="25.5" customHeight="1">
      <c r="A45" s="639">
        <v>3</v>
      </c>
      <c r="B45" s="640" t="s">
        <v>62</v>
      </c>
      <c r="C45" s="641">
        <f>IF(C22=0,0,C13/C22)</f>
        <v>2073.896369054563</v>
      </c>
      <c r="D45" s="641">
        <f>IF(D22=0,0,D13/D22)</f>
        <v>2290.079406489494</v>
      </c>
      <c r="E45" s="641">
        <f>IF(E22=0,0,E13/E22)</f>
        <v>2371.233885080379</v>
      </c>
    </row>
    <row r="46" spans="1:5" ht="25.5" customHeight="1">
      <c r="A46" s="639">
        <v>4</v>
      </c>
      <c r="B46" s="640" t="s">
        <v>63</v>
      </c>
      <c r="C46" s="641">
        <f>IF(C23=0,0,C13/C23)</f>
        <v>9203.379350456222</v>
      </c>
      <c r="D46" s="641">
        <f>IF(D23=0,0,D13/D23)</f>
        <v>10036.905265037743</v>
      </c>
      <c r="E46" s="641">
        <f>IF(E23=0,0,E13/E23)</f>
        <v>10062.923799809858</v>
      </c>
    </row>
    <row r="47" spans="1:5" ht="25.5" customHeight="1">
      <c r="A47" s="639">
        <v>5</v>
      </c>
      <c r="B47" s="640" t="s">
        <v>64</v>
      </c>
      <c r="C47" s="641">
        <f>IF(C29=0,0,C13/C29)</f>
        <v>1759.0961071943018</v>
      </c>
      <c r="D47" s="641">
        <f>IF(D29=0,0,D13/D29)</f>
        <v>1822.6287096510425</v>
      </c>
      <c r="E47" s="641">
        <f>IF(E29=0,0,E13/E29)</f>
        <v>1824.8321996927125</v>
      </c>
    </row>
    <row r="48" spans="1:5" ht="25.5" customHeight="1">
      <c r="A48" s="639">
        <v>6</v>
      </c>
      <c r="B48" s="640" t="s">
        <v>65</v>
      </c>
      <c r="C48" s="641">
        <f>IF(C30=0,0,C13/C30)</f>
        <v>7806.382724803364</v>
      </c>
      <c r="D48" s="641">
        <f>IF(D30=0,0,D13/D30)</f>
        <v>7988.173528073434</v>
      </c>
      <c r="E48" s="641">
        <f>IF(E30=0,0,E13/E30)</f>
        <v>7744.131647445947</v>
      </c>
    </row>
    <row r="49" spans="1:5" ht="25.5" customHeight="1">
      <c r="A49" s="639"/>
      <c r="B49" s="640"/>
      <c r="C49" s="641"/>
      <c r="D49" s="641"/>
      <c r="E49" s="641"/>
    </row>
    <row r="50" spans="1:5" ht="37.5" customHeight="1">
      <c r="A50" s="629" t="s">
        <v>481</v>
      </c>
      <c r="B50" s="634" t="s">
        <v>66</v>
      </c>
      <c r="C50" s="648"/>
      <c r="D50" s="648"/>
      <c r="E50" s="641"/>
    </row>
    <row r="51" spans="1:5" ht="25.5" customHeight="1">
      <c r="A51" s="639">
        <v>1</v>
      </c>
      <c r="B51" s="640" t="s">
        <v>67</v>
      </c>
      <c r="C51" s="641">
        <f>IF(C19=0,0,C16/C19)</f>
        <v>3695.529366929699</v>
      </c>
      <c r="D51" s="641">
        <f>IF(D19=0,0,D16/D19)</f>
        <v>3946.6545378889455</v>
      </c>
      <c r="E51" s="641">
        <f>IF(E19=0,0,E16/E19)</f>
        <v>4344.009474717722</v>
      </c>
    </row>
    <row r="52" spans="1:5" ht="25.5" customHeight="1">
      <c r="A52" s="639">
        <v>2</v>
      </c>
      <c r="B52" s="640" t="s">
        <v>68</v>
      </c>
      <c r="C52" s="641">
        <f>IF(C20=0,0,C16/C20)</f>
        <v>16399.738758456027</v>
      </c>
      <c r="D52" s="641">
        <f>IF(D20=0,0,D16/D20)</f>
        <v>17297.3031408308</v>
      </c>
      <c r="E52" s="641">
        <f>IF(E20=0,0,E16/E20)</f>
        <v>18434.890208333334</v>
      </c>
    </row>
    <row r="53" spans="1:5" ht="25.5" customHeight="1">
      <c r="A53" s="639">
        <v>3</v>
      </c>
      <c r="B53" s="640" t="s">
        <v>69</v>
      </c>
      <c r="C53" s="641">
        <f>IF(C22=0,0,C16/C22)</f>
        <v>2230.649440278845</v>
      </c>
      <c r="D53" s="641">
        <f>IF(D22=0,0,D16/D22)</f>
        <v>2348.0973507258095</v>
      </c>
      <c r="E53" s="641">
        <f>IF(E22=0,0,E16/E22)</f>
        <v>2544.2919384624743</v>
      </c>
    </row>
    <row r="54" spans="1:5" ht="25.5" customHeight="1">
      <c r="A54" s="639">
        <v>4</v>
      </c>
      <c r="B54" s="640" t="s">
        <v>70</v>
      </c>
      <c r="C54" s="641">
        <f>IF(C23=0,0,C16/C23)</f>
        <v>9899.006191002658</v>
      </c>
      <c r="D54" s="641">
        <f>IF(D23=0,0,D16/D23)</f>
        <v>10291.18492377883</v>
      </c>
      <c r="E54" s="641">
        <f>IF(E23=0,0,E16/E23)</f>
        <v>10797.338913850124</v>
      </c>
    </row>
    <row r="55" spans="1:5" ht="25.5" customHeight="1">
      <c r="A55" s="639">
        <v>5</v>
      </c>
      <c r="B55" s="640" t="s">
        <v>71</v>
      </c>
      <c r="C55" s="641">
        <f>IF(C29=0,0,C16/C29)</f>
        <v>1892.0553627751824</v>
      </c>
      <c r="D55" s="641">
        <f>IF(D29=0,0,D16/D29)</f>
        <v>1868.804039004421</v>
      </c>
      <c r="E55" s="641">
        <f>IF(E29=0,0,E16/E29)</f>
        <v>1958.012612732012</v>
      </c>
    </row>
    <row r="56" spans="1:5" ht="25.5" customHeight="1">
      <c r="A56" s="639">
        <v>6</v>
      </c>
      <c r="B56" s="640" t="s">
        <v>72</v>
      </c>
      <c r="C56" s="641">
        <f>IF(C30=0,0,C16/C30)</f>
        <v>8396.419182518437</v>
      </c>
      <c r="D56" s="641">
        <f>IF(D30=0,0,D16/D30)</f>
        <v>8190.549657472465</v>
      </c>
      <c r="E56" s="641">
        <f>IF(E30=0,0,E16/E30)</f>
        <v>8309.316025281474</v>
      </c>
    </row>
    <row r="57" spans="1:5" ht="25.5" customHeight="1">
      <c r="A57" s="639"/>
      <c r="B57" s="640"/>
      <c r="C57" s="641"/>
      <c r="D57" s="641"/>
      <c r="E57" s="641"/>
    </row>
    <row r="58" spans="1:5" ht="25.5" customHeight="1">
      <c r="A58" s="629" t="s">
        <v>485</v>
      </c>
      <c r="B58" s="642" t="s">
        <v>73</v>
      </c>
      <c r="C58" s="641"/>
      <c r="D58" s="641"/>
      <c r="E58" s="641"/>
    </row>
    <row r="59" spans="1:5" ht="25.5" customHeight="1">
      <c r="A59" s="639">
        <v>1</v>
      </c>
      <c r="B59" s="640" t="s">
        <v>74</v>
      </c>
      <c r="C59" s="649">
        <v>14489206</v>
      </c>
      <c r="D59" s="649">
        <v>15347305</v>
      </c>
      <c r="E59" s="649">
        <v>17018295</v>
      </c>
    </row>
    <row r="60" spans="1:5" ht="25.5" customHeight="1">
      <c r="A60" s="639">
        <v>2</v>
      </c>
      <c r="B60" s="640" t="s">
        <v>75</v>
      </c>
      <c r="C60" s="649">
        <v>5878271</v>
      </c>
      <c r="D60" s="649">
        <v>5503138</v>
      </c>
      <c r="E60" s="649">
        <v>6911685</v>
      </c>
    </row>
    <row r="61" spans="1:5" ht="25.5" customHeight="1">
      <c r="A61" s="650">
        <v>3</v>
      </c>
      <c r="B61" s="651" t="s">
        <v>76</v>
      </c>
      <c r="C61" s="652">
        <f>C59+C60</f>
        <v>20367477</v>
      </c>
      <c r="D61" s="652">
        <f>D59+D60</f>
        <v>20850443</v>
      </c>
      <c r="E61" s="652">
        <f>E59+E60</f>
        <v>23929980</v>
      </c>
    </row>
    <row r="62" spans="1:5" ht="25.5" customHeight="1">
      <c r="A62" s="639"/>
      <c r="B62" s="640"/>
      <c r="C62" s="649"/>
      <c r="D62" s="649"/>
      <c r="E62" s="649"/>
    </row>
    <row r="63" spans="1:6" ht="25.5" customHeight="1">
      <c r="A63" s="629" t="s">
        <v>127</v>
      </c>
      <c r="B63" s="642" t="s">
        <v>77</v>
      </c>
      <c r="C63" s="640"/>
      <c r="D63" s="640"/>
      <c r="E63" s="649"/>
      <c r="F63" s="653"/>
    </row>
    <row r="64" spans="1:6" ht="25.5" customHeight="1">
      <c r="A64" s="639">
        <v>1</v>
      </c>
      <c r="B64" s="640" t="s">
        <v>78</v>
      </c>
      <c r="C64" s="641">
        <v>4088726</v>
      </c>
      <c r="D64" s="641">
        <v>4451036</v>
      </c>
      <c r="E64" s="649">
        <v>4932122</v>
      </c>
      <c r="F64" s="653"/>
    </row>
    <row r="65" spans="1:6" ht="25.5" customHeight="1">
      <c r="A65" s="639">
        <v>2</v>
      </c>
      <c r="B65" s="640" t="s">
        <v>79</v>
      </c>
      <c r="C65" s="649">
        <v>795418</v>
      </c>
      <c r="D65" s="649">
        <v>821247</v>
      </c>
      <c r="E65" s="649">
        <v>968548</v>
      </c>
      <c r="F65" s="653"/>
    </row>
    <row r="66" spans="1:6" ht="25.5" customHeight="1">
      <c r="A66" s="650">
        <v>3</v>
      </c>
      <c r="B66" s="651" t="s">
        <v>80</v>
      </c>
      <c r="C66" s="654">
        <f>C64+C65</f>
        <v>4884144</v>
      </c>
      <c r="D66" s="654">
        <f>D64+D65</f>
        <v>5272283</v>
      </c>
      <c r="E66" s="654">
        <f>E64+E65</f>
        <v>5900670</v>
      </c>
      <c r="F66" s="655"/>
    </row>
    <row r="67" spans="1:5" ht="25.5" customHeight="1">
      <c r="A67" s="639"/>
      <c r="B67" s="640"/>
      <c r="C67" s="649"/>
      <c r="D67" s="649"/>
      <c r="E67" s="649"/>
    </row>
    <row r="68" spans="1:5" ht="25.5" customHeight="1">
      <c r="A68" s="629" t="s">
        <v>511</v>
      </c>
      <c r="B68" s="642" t="s">
        <v>81</v>
      </c>
      <c r="C68" s="649"/>
      <c r="D68" s="649"/>
      <c r="E68" s="649"/>
    </row>
    <row r="69" spans="1:5" ht="25.5" customHeight="1">
      <c r="A69" s="639">
        <v>1</v>
      </c>
      <c r="B69" s="640" t="s">
        <v>82</v>
      </c>
      <c r="C69" s="649">
        <v>15799285</v>
      </c>
      <c r="D69" s="649">
        <v>16331416</v>
      </c>
      <c r="E69" s="649">
        <v>15222495</v>
      </c>
    </row>
    <row r="70" spans="1:5" ht="25.5" customHeight="1">
      <c r="A70" s="639">
        <v>2</v>
      </c>
      <c r="B70" s="640" t="s">
        <v>83</v>
      </c>
      <c r="C70" s="649">
        <v>6409770</v>
      </c>
      <c r="D70" s="649">
        <v>6016868</v>
      </c>
      <c r="E70" s="649">
        <v>6129230</v>
      </c>
    </row>
    <row r="71" spans="1:5" ht="25.5" customHeight="1">
      <c r="A71" s="650">
        <v>3</v>
      </c>
      <c r="B71" s="651" t="s">
        <v>84</v>
      </c>
      <c r="C71" s="652">
        <f>C69+C70</f>
        <v>22209055</v>
      </c>
      <c r="D71" s="652">
        <f>D69+D70</f>
        <v>22348284</v>
      </c>
      <c r="E71" s="652">
        <f>E69+E70</f>
        <v>21351725</v>
      </c>
    </row>
    <row r="72" spans="1:5" ht="25.5" customHeight="1">
      <c r="A72" s="639"/>
      <c r="B72" s="640"/>
      <c r="C72" s="649"/>
      <c r="D72" s="649"/>
      <c r="E72" s="649"/>
    </row>
    <row r="73" spans="1:5" ht="25.5" customHeight="1">
      <c r="A73" s="639"/>
      <c r="B73" s="640"/>
      <c r="C73" s="649"/>
      <c r="D73" s="649"/>
      <c r="E73" s="649"/>
    </row>
    <row r="74" spans="1:5" ht="25.5" customHeight="1">
      <c r="A74" s="629" t="s">
        <v>527</v>
      </c>
      <c r="B74" s="642" t="s">
        <v>85</v>
      </c>
      <c r="C74" s="641"/>
      <c r="D74" s="641"/>
      <c r="E74" s="641"/>
    </row>
    <row r="75" spans="1:5" ht="25.5" customHeight="1">
      <c r="A75" s="639">
        <v>1</v>
      </c>
      <c r="B75" s="640" t="s">
        <v>86</v>
      </c>
      <c r="C75" s="641">
        <f aca="true" t="shared" si="0" ref="C75:E76">+C59+C64+C69</f>
        <v>34377217</v>
      </c>
      <c r="D75" s="641">
        <f t="shared" si="0"/>
        <v>36129757</v>
      </c>
      <c r="E75" s="641">
        <f t="shared" si="0"/>
        <v>37172912</v>
      </c>
    </row>
    <row r="76" spans="1:5" ht="25.5" customHeight="1">
      <c r="A76" s="639">
        <v>2</v>
      </c>
      <c r="B76" s="640" t="s">
        <v>87</v>
      </c>
      <c r="C76" s="641">
        <f t="shared" si="0"/>
        <v>13083459</v>
      </c>
      <c r="D76" s="641">
        <f t="shared" si="0"/>
        <v>12341253</v>
      </c>
      <c r="E76" s="641">
        <f t="shared" si="0"/>
        <v>14009463</v>
      </c>
    </row>
    <row r="77" spans="1:5" ht="25.5" customHeight="1">
      <c r="A77" s="650">
        <v>3</v>
      </c>
      <c r="B77" s="651" t="s">
        <v>85</v>
      </c>
      <c r="C77" s="654">
        <f>C75+C76</f>
        <v>47460676</v>
      </c>
      <c r="D77" s="654">
        <f>D75+D76</f>
        <v>48471010</v>
      </c>
      <c r="E77" s="654">
        <f>E75+E76</f>
        <v>51182375</v>
      </c>
    </row>
    <row r="78" spans="1:5" ht="25.5" customHeight="1">
      <c r="A78" s="650"/>
      <c r="B78" s="651"/>
      <c r="C78" s="654"/>
      <c r="D78" s="654"/>
      <c r="E78" s="654"/>
    </row>
    <row r="79" spans="1:5" ht="25.5" customHeight="1">
      <c r="A79" s="629" t="s">
        <v>536</v>
      </c>
      <c r="B79" s="642" t="s">
        <v>88</v>
      </c>
      <c r="C79" s="649"/>
      <c r="D79" s="649"/>
      <c r="E79" s="649"/>
    </row>
    <row r="80" spans="1:5" ht="25.5" customHeight="1">
      <c r="A80" s="639">
        <v>1</v>
      </c>
      <c r="B80" s="640" t="s">
        <v>693</v>
      </c>
      <c r="C80" s="646">
        <v>207.7</v>
      </c>
      <c r="D80" s="646">
        <v>211</v>
      </c>
      <c r="E80" s="646">
        <v>206.3</v>
      </c>
    </row>
    <row r="81" spans="1:5" ht="25.5" customHeight="1">
      <c r="A81" s="639">
        <v>2</v>
      </c>
      <c r="B81" s="640" t="s">
        <v>694</v>
      </c>
      <c r="C81" s="646">
        <v>17.6</v>
      </c>
      <c r="D81" s="646">
        <v>18</v>
      </c>
      <c r="E81" s="646">
        <v>20.3</v>
      </c>
    </row>
    <row r="82" spans="1:5" ht="25.5" customHeight="1">
      <c r="A82" s="639">
        <v>3</v>
      </c>
      <c r="B82" s="640" t="s">
        <v>89</v>
      </c>
      <c r="C82" s="646">
        <v>335.7</v>
      </c>
      <c r="D82" s="646">
        <v>331</v>
      </c>
      <c r="E82" s="646">
        <v>321.3</v>
      </c>
    </row>
    <row r="83" spans="1:5" ht="25.5" customHeight="1">
      <c r="A83" s="650">
        <v>4</v>
      </c>
      <c r="B83" s="651" t="s">
        <v>88</v>
      </c>
      <c r="C83" s="656">
        <f>C80+C81+C82</f>
        <v>561</v>
      </c>
      <c r="D83" s="656">
        <f>D80+D81+D82</f>
        <v>560</v>
      </c>
      <c r="E83" s="656">
        <f>E80+E81+E82</f>
        <v>547.9000000000001</v>
      </c>
    </row>
    <row r="84" spans="1:5" ht="25.5" customHeight="1">
      <c r="A84" s="639"/>
      <c r="B84" s="640"/>
      <c r="C84" s="657"/>
      <c r="D84" s="657"/>
      <c r="E84" s="657"/>
    </row>
    <row r="85" spans="1:5" ht="25.5" customHeight="1">
      <c r="A85" s="629" t="s">
        <v>539</v>
      </c>
      <c r="B85" s="642" t="s">
        <v>90</v>
      </c>
      <c r="C85" s="657"/>
      <c r="D85" s="657"/>
      <c r="E85" s="657"/>
    </row>
    <row r="86" spans="1:5" ht="25.5" customHeight="1">
      <c r="A86" s="639">
        <v>1</v>
      </c>
      <c r="B86" s="640" t="s">
        <v>91</v>
      </c>
      <c r="C86" s="649">
        <f>IF(C80=0,0,C59/C80)</f>
        <v>69760.25999037073</v>
      </c>
      <c r="D86" s="649">
        <f>IF(D80=0,0,D59/D80)</f>
        <v>72736.04265402844</v>
      </c>
      <c r="E86" s="649">
        <f>IF(E80=0,0,E59/E80)</f>
        <v>82492.94716432379</v>
      </c>
    </row>
    <row r="87" spans="1:5" ht="25.5" customHeight="1">
      <c r="A87" s="639">
        <v>2</v>
      </c>
      <c r="B87" s="640" t="s">
        <v>92</v>
      </c>
      <c r="C87" s="649">
        <f>IF(C80=0,0,C60/C80)</f>
        <v>28301.738083774675</v>
      </c>
      <c r="D87" s="649">
        <f>IF(D80=0,0,D60/D80)</f>
        <v>26081.222748815166</v>
      </c>
      <c r="E87" s="649">
        <f>IF(E80=0,0,E60/E80)</f>
        <v>33503.07804168686</v>
      </c>
    </row>
    <row r="88" spans="1:5" ht="25.5" customHeight="1">
      <c r="A88" s="650">
        <v>3</v>
      </c>
      <c r="B88" s="651" t="s">
        <v>93</v>
      </c>
      <c r="C88" s="652">
        <f>+C86+C87</f>
        <v>98061.9980741454</v>
      </c>
      <c r="D88" s="652">
        <f>+D86+D87</f>
        <v>98817.26540284361</v>
      </c>
      <c r="E88" s="652">
        <f>+E86+E87</f>
        <v>115996.02520601064</v>
      </c>
    </row>
    <row r="89" spans="1:5" ht="25.5" customHeight="1">
      <c r="A89" s="639"/>
      <c r="B89" s="640"/>
      <c r="C89" s="649"/>
      <c r="D89" s="649"/>
      <c r="E89" s="649"/>
    </row>
    <row r="90" spans="1:2" ht="25.5" customHeight="1">
      <c r="A90" s="629" t="s">
        <v>691</v>
      </c>
      <c r="B90" s="642" t="s">
        <v>94</v>
      </c>
    </row>
    <row r="91" spans="1:5" ht="25.5" customHeight="1">
      <c r="A91" s="639">
        <v>1</v>
      </c>
      <c r="B91" s="640" t="s">
        <v>95</v>
      </c>
      <c r="C91" s="641">
        <f>IF(C81=0,0,C64/C81)</f>
        <v>232313.97727272726</v>
      </c>
      <c r="D91" s="641">
        <f>IF(D81=0,0,D64/D81)</f>
        <v>247279.77777777778</v>
      </c>
      <c r="E91" s="641">
        <f>IF(E81=0,0,E64/E81)</f>
        <v>242961.67487684728</v>
      </c>
    </row>
    <row r="92" spans="1:5" ht="25.5" customHeight="1">
      <c r="A92" s="639">
        <v>2</v>
      </c>
      <c r="B92" s="640" t="s">
        <v>96</v>
      </c>
      <c r="C92" s="641">
        <f>IF(C81=0,0,C65/C81)</f>
        <v>45194.204545454544</v>
      </c>
      <c r="D92" s="641">
        <f>IF(D81=0,0,D65/D81)</f>
        <v>45624.833333333336</v>
      </c>
      <c r="E92" s="641">
        <f>IF(E81=0,0,E65/E81)</f>
        <v>47711.724137931036</v>
      </c>
    </row>
    <row r="93" spans="1:5" ht="25.5" customHeight="1">
      <c r="A93" s="650">
        <v>3</v>
      </c>
      <c r="B93" s="651" t="s">
        <v>97</v>
      </c>
      <c r="C93" s="654">
        <f>+C91+C92</f>
        <v>277508.1818181818</v>
      </c>
      <c r="D93" s="654">
        <f>+D91+D92</f>
        <v>292904.6111111111</v>
      </c>
      <c r="E93" s="654">
        <f>+E91+E92</f>
        <v>290673.3990147783</v>
      </c>
    </row>
    <row r="94" spans="1:5" ht="25.5" customHeight="1">
      <c r="A94" s="639"/>
      <c r="B94" s="640"/>
      <c r="C94" s="649"/>
      <c r="D94" s="649"/>
      <c r="E94" s="649"/>
    </row>
    <row r="95" spans="1:5" ht="25.5" customHeight="1">
      <c r="A95" s="629" t="s">
        <v>98</v>
      </c>
      <c r="B95" s="642" t="s">
        <v>99</v>
      </c>
      <c r="C95" s="649"/>
      <c r="D95" s="649"/>
      <c r="E95" s="649"/>
    </row>
    <row r="96" spans="1:5" ht="25.5" customHeight="1">
      <c r="A96" s="639">
        <v>1</v>
      </c>
      <c r="B96" s="640" t="s">
        <v>100</v>
      </c>
      <c r="C96" s="649">
        <f>IF(C82=0,0,C69/C82)</f>
        <v>47063.70271075365</v>
      </c>
      <c r="D96" s="649">
        <f>IF(D82=0,0,D69/D82)</f>
        <v>49339.625377643504</v>
      </c>
      <c r="E96" s="649">
        <f>IF(E82=0,0,E69/E82)</f>
        <v>47377.82446311858</v>
      </c>
    </row>
    <row r="97" spans="1:5" ht="25.5" customHeight="1">
      <c r="A97" s="639">
        <v>2</v>
      </c>
      <c r="B97" s="640" t="s">
        <v>101</v>
      </c>
      <c r="C97" s="649">
        <f>IF(C82=0,0,C70/C82)</f>
        <v>19093.744414655943</v>
      </c>
      <c r="D97" s="649">
        <f>IF(D82=0,0,D70/D82)</f>
        <v>18177.848942598186</v>
      </c>
      <c r="E97" s="649">
        <f>IF(E82=0,0,E70/E82)</f>
        <v>19076.346093993154</v>
      </c>
    </row>
    <row r="98" spans="1:5" ht="25.5" customHeight="1">
      <c r="A98" s="650">
        <v>3</v>
      </c>
      <c r="B98" s="651" t="s">
        <v>102</v>
      </c>
      <c r="C98" s="654">
        <f>+C96+C97</f>
        <v>66157.44712540958</v>
      </c>
      <c r="D98" s="654">
        <f>+D96+D97</f>
        <v>67517.47432024169</v>
      </c>
      <c r="E98" s="654">
        <f>+E96+E97</f>
        <v>66454.17055711173</v>
      </c>
    </row>
    <row r="99" spans="1:5" ht="25.5" customHeight="1">
      <c r="A99" s="639"/>
      <c r="B99" s="640"/>
      <c r="C99" s="649"/>
      <c r="D99" s="649"/>
      <c r="E99" s="649"/>
    </row>
    <row r="100" spans="1:2" ht="25.5" customHeight="1">
      <c r="A100" s="629" t="s">
        <v>103</v>
      </c>
      <c r="B100" s="642" t="s">
        <v>104</v>
      </c>
    </row>
    <row r="101" spans="1:5" ht="25.5" customHeight="1">
      <c r="A101" s="639">
        <v>1</v>
      </c>
      <c r="B101" s="640" t="s">
        <v>105</v>
      </c>
      <c r="C101" s="641">
        <f>IF(C83=0,0,C75/C83)</f>
        <v>61278.461675579325</v>
      </c>
      <c r="D101" s="641">
        <f>IF(D83=0,0,D75/D83)</f>
        <v>64517.423214285714</v>
      </c>
      <c r="E101" s="641">
        <f>IF(E83=0,0,E75/E83)</f>
        <v>67846.16170834092</v>
      </c>
    </row>
    <row r="102" spans="1:5" ht="25.5" customHeight="1">
      <c r="A102" s="639">
        <v>2</v>
      </c>
      <c r="B102" s="640" t="s">
        <v>106</v>
      </c>
      <c r="C102" s="658">
        <f>IF(C83=0,0,C76/C83)</f>
        <v>23321.673796791445</v>
      </c>
      <c r="D102" s="658">
        <f>IF(D83=0,0,D76/D83)</f>
        <v>22037.951785714286</v>
      </c>
      <c r="E102" s="658">
        <f>IF(E83=0,0,E76/E83)</f>
        <v>25569.37944880452</v>
      </c>
    </row>
    <row r="103" spans="1:5" ht="25.5" customHeight="1">
      <c r="A103" s="650">
        <v>3</v>
      </c>
      <c r="B103" s="651" t="s">
        <v>104</v>
      </c>
      <c r="C103" s="654">
        <f>+C101+C102</f>
        <v>84600.13547237078</v>
      </c>
      <c r="D103" s="654">
        <f>+D101+D102</f>
        <v>86555.375</v>
      </c>
      <c r="E103" s="654">
        <f>+E101+E102</f>
        <v>93415.54115714545</v>
      </c>
    </row>
    <row r="104" spans="1:5" ht="25.5" customHeight="1">
      <c r="A104" s="650"/>
      <c r="B104" s="651"/>
      <c r="C104" s="654"/>
      <c r="D104" s="654"/>
      <c r="E104" s="654"/>
    </row>
    <row r="105" spans="1:5" ht="25.5" customHeight="1">
      <c r="A105" s="650"/>
      <c r="B105" s="651"/>
      <c r="C105" s="654"/>
      <c r="D105" s="654"/>
      <c r="E105" s="654"/>
    </row>
    <row r="106" spans="1:5" ht="25.5" customHeight="1">
      <c r="A106" s="650"/>
      <c r="B106" s="651"/>
      <c r="C106" s="654"/>
      <c r="D106" s="654"/>
      <c r="E106" s="654"/>
    </row>
    <row r="107" spans="1:5" ht="30" customHeight="1">
      <c r="A107" s="629" t="s">
        <v>107</v>
      </c>
      <c r="B107" s="634" t="s">
        <v>108</v>
      </c>
      <c r="C107" s="659"/>
      <c r="D107" s="659"/>
      <c r="E107" s="641"/>
    </row>
    <row r="108" spans="1:5" ht="25.5" customHeight="1">
      <c r="A108" s="639">
        <v>1</v>
      </c>
      <c r="B108" s="640" t="s">
        <v>109</v>
      </c>
      <c r="C108" s="641">
        <f>IF(C19=0,0,C77/C19)</f>
        <v>2127.89974892396</v>
      </c>
      <c r="D108" s="641">
        <f>IF(D19=0,0,D77/D19)</f>
        <v>2241.0194646077025</v>
      </c>
      <c r="E108" s="641">
        <f>IF(E19=0,0,E77/E19)</f>
        <v>2512.63500245459</v>
      </c>
    </row>
    <row r="109" spans="1:5" ht="25.5" customHeight="1">
      <c r="A109" s="639">
        <v>2</v>
      </c>
      <c r="B109" s="640" t="s">
        <v>110</v>
      </c>
      <c r="C109" s="641">
        <f>IF(C20=0,0,C77/C20)</f>
        <v>9443.031436530044</v>
      </c>
      <c r="D109" s="641">
        <f>IF(D20=0,0,D77/D20)</f>
        <v>9821.886524822696</v>
      </c>
      <c r="E109" s="641">
        <f>IF(E20=0,0,E77/E20)</f>
        <v>10662.994791666666</v>
      </c>
    </row>
    <row r="110" spans="1:5" ht="25.5" customHeight="1">
      <c r="A110" s="639">
        <v>3</v>
      </c>
      <c r="B110" s="640" t="s">
        <v>111</v>
      </c>
      <c r="C110" s="641">
        <f>IF(C22=0,0,C77/C22)</f>
        <v>1284.41636166736</v>
      </c>
      <c r="D110" s="641">
        <f>IF(D22=0,0,D77/D22)</f>
        <v>1333.3145369711071</v>
      </c>
      <c r="E110" s="641">
        <f>IF(E22=0,0,E77/E22)</f>
        <v>1471.6535537619352</v>
      </c>
    </row>
    <row r="111" spans="1:5" ht="25.5" customHeight="1">
      <c r="A111" s="639">
        <v>4</v>
      </c>
      <c r="B111" s="640" t="s">
        <v>112</v>
      </c>
      <c r="C111" s="641">
        <f>IF(C23=0,0,C77/C23)</f>
        <v>5699.885103587107</v>
      </c>
      <c r="D111" s="641">
        <f>IF(D23=0,0,D77/D23)</f>
        <v>5843.619071965162</v>
      </c>
      <c r="E111" s="641">
        <f>IF(E23=0,0,E77/E23)</f>
        <v>6245.329768777211</v>
      </c>
    </row>
    <row r="112" spans="1:5" ht="25.5" customHeight="1">
      <c r="A112" s="639">
        <v>5</v>
      </c>
      <c r="B112" s="640" t="s">
        <v>113</v>
      </c>
      <c r="C112" s="641">
        <f>IF(C29=0,0,C77/C29)</f>
        <v>1089.4526146722221</v>
      </c>
      <c r="D112" s="641">
        <f>IF(D29=0,0,D77/D29)</f>
        <v>1061.1585551104665</v>
      </c>
      <c r="E112" s="641">
        <f>IF(E29=0,0,E77/E29)</f>
        <v>1132.541504485947</v>
      </c>
    </row>
    <row r="113" spans="1:5" ht="25.5" customHeight="1">
      <c r="A113" s="639">
        <v>6</v>
      </c>
      <c r="B113" s="640" t="s">
        <v>114</v>
      </c>
      <c r="C113" s="641">
        <f>IF(C30=0,0,C77/C30)</f>
        <v>4834.6898363806695</v>
      </c>
      <c r="D113" s="641">
        <f>IF(D30=0,0,D77/D30)</f>
        <v>4650.820342144738</v>
      </c>
      <c r="E113" s="641">
        <f>IF(E30=0,0,E77/E30)</f>
        <v>4806.223009662236</v>
      </c>
    </row>
    <row r="116" spans="1:7" ht="12.75">
      <c r="A116" s="630"/>
      <c r="B116" s="630"/>
      <c r="C116" s="630"/>
      <c r="D116" s="630"/>
      <c r="E116" s="630"/>
      <c r="F116" s="630"/>
      <c r="G116" s="630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horizontalDpi="1200" verticalDpi="1200" orientation="portrait" paperSize="9" scale="65" r:id="rId1"/>
  <headerFooter alignWithMargins="0">
    <oddHeader>&amp;L&amp;12OFFICE OF HEALTH CARE ACCESS&amp;C&amp;12TWELVE MONTHS ACTUAL FILING&amp;R&amp;12MILFORD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115</v>
      </c>
      <c r="C1" s="57"/>
      <c r="D1" s="57"/>
      <c r="E1" s="57"/>
      <c r="F1" s="58"/>
    </row>
    <row r="2" spans="1:6" ht="22.5" customHeight="1">
      <c r="A2" s="57"/>
      <c r="B2" s="57" t="s">
        <v>116</v>
      </c>
      <c r="C2" s="57"/>
      <c r="D2" s="57"/>
      <c r="E2" s="57"/>
      <c r="F2" s="58"/>
    </row>
    <row r="3" spans="1:6" ht="22.5" customHeight="1">
      <c r="A3" s="57"/>
      <c r="B3" s="57" t="s">
        <v>117</v>
      </c>
      <c r="C3" s="57"/>
      <c r="D3" s="57"/>
      <c r="E3" s="57"/>
      <c r="F3" s="58"/>
    </row>
    <row r="4" spans="1:6" ht="22.5" customHeight="1">
      <c r="A4" s="57"/>
      <c r="B4" s="57" t="s">
        <v>184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119</v>
      </c>
      <c r="D6" s="10" t="s">
        <v>120</v>
      </c>
      <c r="E6" s="59" t="s">
        <v>121</v>
      </c>
      <c r="F6" s="59" t="s">
        <v>122</v>
      </c>
    </row>
    <row r="7" spans="1:8" ht="15.75" customHeight="1">
      <c r="A7" s="61" t="s">
        <v>123</v>
      </c>
      <c r="B7" s="62" t="s">
        <v>124</v>
      </c>
      <c r="C7" s="14" t="s">
        <v>125</v>
      </c>
      <c r="D7" s="14" t="s">
        <v>125</v>
      </c>
      <c r="E7" s="63" t="s">
        <v>126</v>
      </c>
      <c r="F7" s="63" t="s">
        <v>126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129</v>
      </c>
      <c r="B11" s="30" t="s">
        <v>185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186</v>
      </c>
      <c r="C12" s="51">
        <v>222377753</v>
      </c>
      <c r="D12" s="51">
        <v>219139563</v>
      </c>
      <c r="E12" s="51">
        <f aca="true" t="shared" si="0" ref="E12:E19">D12-C12</f>
        <v>-3238190</v>
      </c>
      <c r="F12" s="70">
        <f aca="true" t="shared" si="1" ref="F12:F19">IF(C12=0,0,E12/C12)</f>
        <v>-0.014561663459204033</v>
      </c>
    </row>
    <row r="13" spans="1:6" ht="22.5" customHeight="1">
      <c r="A13" s="25">
        <v>2</v>
      </c>
      <c r="B13" s="48" t="s">
        <v>187</v>
      </c>
      <c r="C13" s="51">
        <v>138959512</v>
      </c>
      <c r="D13" s="51">
        <v>136548788</v>
      </c>
      <c r="E13" s="51">
        <f t="shared" si="0"/>
        <v>-2410724</v>
      </c>
      <c r="F13" s="70">
        <f t="shared" si="1"/>
        <v>-0.01734839137892194</v>
      </c>
    </row>
    <row r="14" spans="1:6" ht="22.5" customHeight="1">
      <c r="A14" s="25">
        <v>3</v>
      </c>
      <c r="B14" s="48" t="s">
        <v>188</v>
      </c>
      <c r="C14" s="51">
        <v>165221</v>
      </c>
      <c r="D14" s="51">
        <v>122057</v>
      </c>
      <c r="E14" s="51">
        <f t="shared" si="0"/>
        <v>-43164</v>
      </c>
      <c r="F14" s="70">
        <f t="shared" si="1"/>
        <v>-0.2612500832218665</v>
      </c>
    </row>
    <row r="15" spans="1:7" ht="22.5" customHeight="1">
      <c r="A15" s="25">
        <v>4</v>
      </c>
      <c r="B15" s="48" t="s">
        <v>189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190</v>
      </c>
      <c r="C16" s="27">
        <f>C12-C13-C14-C15</f>
        <v>83253020</v>
      </c>
      <c r="D16" s="27">
        <f>D12-D13-D14-D15</f>
        <v>82468718</v>
      </c>
      <c r="E16" s="27">
        <f t="shared" si="0"/>
        <v>-784302</v>
      </c>
      <c r="F16" s="28">
        <f t="shared" si="1"/>
        <v>-0.009420703297009525</v>
      </c>
    </row>
    <row r="17" spans="1:7" ht="22.5" customHeight="1">
      <c r="A17" s="25">
        <v>5</v>
      </c>
      <c r="B17" s="48" t="s">
        <v>191</v>
      </c>
      <c r="C17" s="51">
        <v>974502</v>
      </c>
      <c r="D17" s="51">
        <v>1109354</v>
      </c>
      <c r="E17" s="51">
        <f t="shared" si="0"/>
        <v>134852</v>
      </c>
      <c r="F17" s="70">
        <f t="shared" si="1"/>
        <v>0.1383804240524904</v>
      </c>
      <c r="G17" s="64"/>
    </row>
    <row r="18" spans="1:7" ht="22.5" customHeight="1">
      <c r="A18" s="25">
        <v>6</v>
      </c>
      <c r="B18" s="45" t="s">
        <v>192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6" ht="22.5" customHeight="1">
      <c r="A19" s="29"/>
      <c r="B19" s="71" t="s">
        <v>193</v>
      </c>
      <c r="C19" s="27">
        <f>SUM(C16:C18)</f>
        <v>84227522</v>
      </c>
      <c r="D19" s="27">
        <f>SUM(D16:D18)</f>
        <v>83578072</v>
      </c>
      <c r="E19" s="27">
        <f t="shared" si="0"/>
        <v>-649450</v>
      </c>
      <c r="F19" s="28">
        <f t="shared" si="1"/>
        <v>-0.007710662555168131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141</v>
      </c>
      <c r="B21" s="30" t="s">
        <v>194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195</v>
      </c>
      <c r="C22" s="51">
        <v>36129757</v>
      </c>
      <c r="D22" s="51">
        <v>37172912</v>
      </c>
      <c r="E22" s="51">
        <f aca="true" t="shared" si="2" ref="E22:E31">D22-C22</f>
        <v>1043155</v>
      </c>
      <c r="F22" s="70">
        <f aca="true" t="shared" si="3" ref="F22:F31">IF(C22=0,0,E22/C22)</f>
        <v>0.02887246100215952</v>
      </c>
    </row>
    <row r="23" spans="1:6" ht="22.5" customHeight="1">
      <c r="A23" s="25">
        <v>2</v>
      </c>
      <c r="B23" s="48" t="s">
        <v>196</v>
      </c>
      <c r="C23" s="51">
        <v>12341253</v>
      </c>
      <c r="D23" s="51">
        <v>14009463</v>
      </c>
      <c r="E23" s="51">
        <f t="shared" si="2"/>
        <v>1668210</v>
      </c>
      <c r="F23" s="70">
        <f t="shared" si="3"/>
        <v>0.1351734706354371</v>
      </c>
    </row>
    <row r="24" spans="1:7" ht="22.5" customHeight="1">
      <c r="A24" s="25">
        <v>3</v>
      </c>
      <c r="B24" s="48" t="s">
        <v>197</v>
      </c>
      <c r="C24" s="51">
        <v>647422</v>
      </c>
      <c r="D24" s="51">
        <v>621077</v>
      </c>
      <c r="E24" s="51">
        <f t="shared" si="2"/>
        <v>-26345</v>
      </c>
      <c r="F24" s="70">
        <f t="shared" si="3"/>
        <v>-0.0406921606000414</v>
      </c>
      <c r="G24" s="64"/>
    </row>
    <row r="25" spans="1:6" ht="22.5" customHeight="1">
      <c r="A25" s="25">
        <v>4</v>
      </c>
      <c r="B25" s="48" t="s">
        <v>198</v>
      </c>
      <c r="C25" s="51">
        <v>13323717</v>
      </c>
      <c r="D25" s="51">
        <v>12162216</v>
      </c>
      <c r="E25" s="51">
        <f t="shared" si="2"/>
        <v>-1161501</v>
      </c>
      <c r="F25" s="70">
        <f t="shared" si="3"/>
        <v>-0.08717544811256499</v>
      </c>
    </row>
    <row r="26" spans="1:6" ht="22.5" customHeight="1">
      <c r="A26" s="25">
        <v>5</v>
      </c>
      <c r="B26" s="48" t="s">
        <v>199</v>
      </c>
      <c r="C26" s="51">
        <v>3977866</v>
      </c>
      <c r="D26" s="51">
        <v>3973806</v>
      </c>
      <c r="E26" s="51">
        <f t="shared" si="2"/>
        <v>-4060</v>
      </c>
      <c r="F26" s="70">
        <f t="shared" si="3"/>
        <v>-0.0010206477543486885</v>
      </c>
    </row>
    <row r="27" spans="1:6" ht="22.5" customHeight="1">
      <c r="A27" s="25">
        <v>6</v>
      </c>
      <c r="B27" s="48" t="s">
        <v>200</v>
      </c>
      <c r="C27" s="51">
        <v>4873574</v>
      </c>
      <c r="D27" s="51">
        <v>6998451</v>
      </c>
      <c r="E27" s="51">
        <f t="shared" si="2"/>
        <v>2124877</v>
      </c>
      <c r="F27" s="70">
        <f t="shared" si="3"/>
        <v>0.4359997406420832</v>
      </c>
    </row>
    <row r="28" spans="1:6" ht="22.5" customHeight="1">
      <c r="A28" s="25">
        <v>7</v>
      </c>
      <c r="B28" s="48" t="s">
        <v>201</v>
      </c>
      <c r="C28" s="51">
        <v>337777</v>
      </c>
      <c r="D28" s="51">
        <v>280961</v>
      </c>
      <c r="E28" s="51">
        <f t="shared" si="2"/>
        <v>-56816</v>
      </c>
      <c r="F28" s="70">
        <f t="shared" si="3"/>
        <v>-0.16820565047353728</v>
      </c>
    </row>
    <row r="29" spans="1:6" ht="22.5" customHeight="1">
      <c r="A29" s="25">
        <v>8</v>
      </c>
      <c r="B29" s="48" t="s">
        <v>202</v>
      </c>
      <c r="C29" s="51">
        <v>1188607</v>
      </c>
      <c r="D29" s="51">
        <v>1524271</v>
      </c>
      <c r="E29" s="51">
        <f t="shared" si="2"/>
        <v>335664</v>
      </c>
      <c r="F29" s="70">
        <f t="shared" si="3"/>
        <v>0.2824011637151725</v>
      </c>
    </row>
    <row r="30" spans="1:6" ht="22.5" customHeight="1">
      <c r="A30" s="25">
        <v>9</v>
      </c>
      <c r="B30" s="48" t="s">
        <v>203</v>
      </c>
      <c r="C30" s="51">
        <v>12542218</v>
      </c>
      <c r="D30" s="51">
        <v>11744316</v>
      </c>
      <c r="E30" s="51">
        <f t="shared" si="2"/>
        <v>-797902</v>
      </c>
      <c r="F30" s="70">
        <f t="shared" si="3"/>
        <v>-0.06361729639845201</v>
      </c>
    </row>
    <row r="31" spans="1:6" ht="22.5" customHeight="1">
      <c r="A31" s="29"/>
      <c r="B31" s="71" t="s">
        <v>204</v>
      </c>
      <c r="C31" s="27">
        <f>SUM(C22:C30)</f>
        <v>85362191</v>
      </c>
      <c r="D31" s="27">
        <f>SUM(D22:D30)</f>
        <v>88487473</v>
      </c>
      <c r="E31" s="27">
        <f t="shared" si="2"/>
        <v>3125282</v>
      </c>
      <c r="F31" s="28">
        <f t="shared" si="3"/>
        <v>0.03661201714000054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205</v>
      </c>
      <c r="C33" s="27">
        <f>+C19-C31</f>
        <v>-1134669</v>
      </c>
      <c r="D33" s="27">
        <f>+D19-D31</f>
        <v>-4909401</v>
      </c>
      <c r="E33" s="27">
        <f>D33-C33</f>
        <v>-3774732</v>
      </c>
      <c r="F33" s="28">
        <f>IF(C33=0,0,E33/C33)</f>
        <v>3.326725238814139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151</v>
      </c>
      <c r="B35" s="30" t="s">
        <v>206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207</v>
      </c>
      <c r="C36" s="51">
        <v>-4019414</v>
      </c>
      <c r="D36" s="51">
        <v>-2308155</v>
      </c>
      <c r="E36" s="51">
        <f>D36-C36</f>
        <v>1711259</v>
      </c>
      <c r="F36" s="70">
        <f>IF(C36=0,0,E36/C36)</f>
        <v>-0.42574838023652206</v>
      </c>
    </row>
    <row r="37" spans="1:6" ht="22.5" customHeight="1">
      <c r="A37" s="44">
        <v>2</v>
      </c>
      <c r="B37" s="48" t="s">
        <v>208</v>
      </c>
      <c r="C37" s="51">
        <v>99598</v>
      </c>
      <c r="D37" s="51">
        <v>38801</v>
      </c>
      <c r="E37" s="51">
        <f>D37-C37</f>
        <v>-60797</v>
      </c>
      <c r="F37" s="70">
        <f>IF(C37=0,0,E37/C37)</f>
        <v>-0.6104239040944597</v>
      </c>
    </row>
    <row r="38" spans="1:6" ht="22.5" customHeight="1">
      <c r="A38" s="44">
        <v>3</v>
      </c>
      <c r="B38" s="48" t="s">
        <v>209</v>
      </c>
      <c r="C38" s="51">
        <v>0</v>
      </c>
      <c r="D38" s="51">
        <v>0</v>
      </c>
      <c r="E38" s="51">
        <f>D38-C38</f>
        <v>0</v>
      </c>
      <c r="F38" s="70">
        <f>IF(C38=0,0,E38/C38)</f>
        <v>0</v>
      </c>
    </row>
    <row r="39" spans="1:6" ht="22.5" customHeight="1">
      <c r="A39" s="20"/>
      <c r="B39" s="71" t="s">
        <v>210</v>
      </c>
      <c r="C39" s="27">
        <f>SUM(C36:C38)</f>
        <v>-3919816</v>
      </c>
      <c r="D39" s="27">
        <f>SUM(D36:D38)</f>
        <v>-2269354</v>
      </c>
      <c r="E39" s="27">
        <f>D39-C39</f>
        <v>1650462</v>
      </c>
      <c r="F39" s="28">
        <f>IF(C39=0,0,E39/C39)</f>
        <v>-0.42105598834230995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211</v>
      </c>
      <c r="C41" s="27">
        <f>C33+C39</f>
        <v>-5054485</v>
      </c>
      <c r="D41" s="27">
        <f>D33+D39</f>
        <v>-7178755</v>
      </c>
      <c r="E41" s="27">
        <f>D41-C41</f>
        <v>-2124270</v>
      </c>
      <c r="F41" s="28">
        <f>IF(C41=0,0,E41/C41)</f>
        <v>0.42027427126601424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212</v>
      </c>
      <c r="C43" s="27"/>
      <c r="D43" s="27"/>
      <c r="E43" s="27"/>
      <c r="F43" s="28"/>
    </row>
    <row r="44" spans="1:6" ht="22.5" customHeight="1">
      <c r="A44" s="44"/>
      <c r="B44" s="48" t="s">
        <v>213</v>
      </c>
      <c r="C44" s="51">
        <v>0</v>
      </c>
      <c r="D44" s="51">
        <v>3551963</v>
      </c>
      <c r="E44" s="51">
        <f>D44-C44</f>
        <v>3551963</v>
      </c>
      <c r="F44" s="70">
        <f>IF(C44=0,0,E44/C44)</f>
        <v>0</v>
      </c>
    </row>
    <row r="45" spans="1:6" ht="22.5" customHeight="1">
      <c r="A45" s="44"/>
      <c r="B45" s="48" t="s">
        <v>214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215</v>
      </c>
      <c r="C46" s="27">
        <f>SUM(C44:C45)</f>
        <v>0</v>
      </c>
      <c r="D46" s="27">
        <f>SUM(D44:D45)</f>
        <v>3551963</v>
      </c>
      <c r="E46" s="27">
        <f>D46-C46</f>
        <v>3551963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216</v>
      </c>
      <c r="C48" s="27">
        <f>C41+C46</f>
        <v>-5054485</v>
      </c>
      <c r="D48" s="27">
        <f>D41+D46</f>
        <v>-3626792</v>
      </c>
      <c r="E48" s="27">
        <f>D48-C48</f>
        <v>1427693</v>
      </c>
      <c r="F48" s="28">
        <f>IF(C48=0,0,E48/C48)</f>
        <v>-0.28246062655245785</v>
      </c>
    </row>
    <row r="49" spans="1:6" ht="22.5" customHeight="1">
      <c r="A49" s="44"/>
      <c r="B49" s="48" t="s">
        <v>217</v>
      </c>
      <c r="C49" s="51">
        <v>0</v>
      </c>
      <c r="D49" s="51">
        <v>778379</v>
      </c>
      <c r="E49" s="51">
        <f>D49-C49</f>
        <v>778379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FILING&amp;RMILFORD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9"/>
  <sheetViews>
    <sheetView zoomScale="75" zoomScaleNormal="75" zoomScalePageLayoutView="0" workbookViewId="0" topLeftCell="A1">
      <selection activeCell="D93" sqref="D93"/>
    </sheetView>
  </sheetViews>
  <sheetFormatPr defaultColWidth="9.140625" defaultRowHeight="18" customHeight="1"/>
  <cols>
    <col min="1" max="1" width="6.28125" style="75" customWidth="1"/>
    <col min="2" max="2" width="68.7109375" style="75" customWidth="1"/>
    <col min="3" max="3" width="21.421875" style="76" customWidth="1"/>
    <col min="4" max="4" width="19.57421875" style="75" customWidth="1"/>
    <col min="5" max="5" width="20.00390625" style="75" bestFit="1" customWidth="1"/>
    <col min="6" max="6" width="18.140625" style="75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5" t="s">
        <v>115</v>
      </c>
      <c r="B2" s="675"/>
      <c r="C2" s="675"/>
      <c r="D2" s="675"/>
      <c r="E2" s="675"/>
      <c r="F2" s="675"/>
    </row>
    <row r="3" spans="1:6" ht="18" customHeight="1">
      <c r="A3" s="675" t="s">
        <v>116</v>
      </c>
      <c r="B3" s="675"/>
      <c r="C3" s="675"/>
      <c r="D3" s="675"/>
      <c r="E3" s="675"/>
      <c r="F3" s="675"/>
    </row>
    <row r="4" spans="1:6" ht="18" customHeight="1">
      <c r="A4" s="675" t="s">
        <v>117</v>
      </c>
      <c r="B4" s="675"/>
      <c r="C4" s="675"/>
      <c r="D4" s="675"/>
      <c r="E4" s="675"/>
      <c r="F4" s="675"/>
    </row>
    <row r="5" spans="1:6" ht="18" customHeight="1">
      <c r="A5" s="675" t="s">
        <v>218</v>
      </c>
      <c r="B5" s="675"/>
      <c r="C5" s="675"/>
      <c r="D5" s="675"/>
      <c r="E5" s="675"/>
      <c r="F5" s="675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123</v>
      </c>
      <c r="B8" s="87" t="s">
        <v>219</v>
      </c>
      <c r="C8" s="88" t="s">
        <v>220</v>
      </c>
      <c r="D8" s="89" t="s">
        <v>221</v>
      </c>
      <c r="E8" s="90" t="s">
        <v>222</v>
      </c>
      <c r="F8" s="91" t="s">
        <v>223</v>
      </c>
    </row>
    <row r="9" spans="1:6" ht="18" customHeight="1">
      <c r="A9" s="92"/>
      <c r="B9" s="93"/>
      <c r="C9" s="662"/>
      <c r="D9" s="663"/>
      <c r="E9" s="663"/>
      <c r="F9" s="664"/>
    </row>
    <row r="10" spans="1:6" ht="18" customHeight="1">
      <c r="A10" s="665" t="s">
        <v>127</v>
      </c>
      <c r="B10" s="667" t="s">
        <v>224</v>
      </c>
      <c r="C10" s="669"/>
      <c r="D10" s="670"/>
      <c r="E10" s="670"/>
      <c r="F10" s="671"/>
    </row>
    <row r="11" spans="1:6" ht="18" customHeight="1">
      <c r="A11" s="666"/>
      <c r="B11" s="668"/>
      <c r="C11" s="672"/>
      <c r="D11" s="673"/>
      <c r="E11" s="673"/>
      <c r="F11" s="674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225</v>
      </c>
      <c r="B13" s="95" t="s">
        <v>226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227</v>
      </c>
      <c r="C14" s="97">
        <v>66096270</v>
      </c>
      <c r="D14" s="97">
        <v>62752095</v>
      </c>
      <c r="E14" s="97">
        <f aca="true" t="shared" si="0" ref="E14:E25">D14-C14</f>
        <v>-3344175</v>
      </c>
      <c r="F14" s="98">
        <f aca="true" t="shared" si="1" ref="F14:F25">IF(C14=0,0,E14/C14)</f>
        <v>-0.050595517719835024</v>
      </c>
    </row>
    <row r="15" spans="1:6" ht="18" customHeight="1">
      <c r="A15" s="99">
        <v>2</v>
      </c>
      <c r="B15" s="100" t="s">
        <v>228</v>
      </c>
      <c r="C15" s="97">
        <v>19074297</v>
      </c>
      <c r="D15" s="97">
        <v>17675681</v>
      </c>
      <c r="E15" s="97">
        <f t="shared" si="0"/>
        <v>-1398616</v>
      </c>
      <c r="F15" s="98">
        <f t="shared" si="1"/>
        <v>-0.0733246420562708</v>
      </c>
    </row>
    <row r="16" spans="1:6" ht="18" customHeight="1">
      <c r="A16" s="99">
        <v>3</v>
      </c>
      <c r="B16" s="100" t="s">
        <v>229</v>
      </c>
      <c r="C16" s="97">
        <v>5688516</v>
      </c>
      <c r="D16" s="97">
        <v>3243329</v>
      </c>
      <c r="E16" s="97">
        <f t="shared" si="0"/>
        <v>-2445187</v>
      </c>
      <c r="F16" s="98">
        <f t="shared" si="1"/>
        <v>-0.4298462024190492</v>
      </c>
    </row>
    <row r="17" spans="1:6" ht="18" customHeight="1">
      <c r="A17" s="99">
        <v>4</v>
      </c>
      <c r="B17" s="100" t="s">
        <v>230</v>
      </c>
      <c r="C17" s="97">
        <v>2725035</v>
      </c>
      <c r="D17" s="97">
        <v>3491071</v>
      </c>
      <c r="E17" s="97">
        <f t="shared" si="0"/>
        <v>766036</v>
      </c>
      <c r="F17" s="98">
        <f t="shared" si="1"/>
        <v>0.28111051784655977</v>
      </c>
    </row>
    <row r="18" spans="1:6" ht="18" customHeight="1">
      <c r="A18" s="99">
        <v>5</v>
      </c>
      <c r="B18" s="100" t="s">
        <v>231</v>
      </c>
      <c r="C18" s="97">
        <v>109879</v>
      </c>
      <c r="D18" s="97">
        <v>46587</v>
      </c>
      <c r="E18" s="97">
        <f t="shared" si="0"/>
        <v>-63292</v>
      </c>
      <c r="F18" s="98">
        <f t="shared" si="1"/>
        <v>-0.5760154351604947</v>
      </c>
    </row>
    <row r="19" spans="1:6" ht="18" customHeight="1">
      <c r="A19" s="99">
        <v>6</v>
      </c>
      <c r="B19" s="100" t="s">
        <v>232</v>
      </c>
      <c r="C19" s="97">
        <v>0</v>
      </c>
      <c r="D19" s="97">
        <v>0</v>
      </c>
      <c r="E19" s="97">
        <f t="shared" si="0"/>
        <v>0</v>
      </c>
      <c r="F19" s="98">
        <f t="shared" si="1"/>
        <v>0</v>
      </c>
    </row>
    <row r="20" spans="1:6" ht="18" customHeight="1">
      <c r="A20" s="99">
        <v>7</v>
      </c>
      <c r="B20" s="100" t="s">
        <v>233</v>
      </c>
      <c r="C20" s="97">
        <v>34935295</v>
      </c>
      <c r="D20" s="97">
        <v>37233772</v>
      </c>
      <c r="E20" s="97">
        <f t="shared" si="0"/>
        <v>2298477</v>
      </c>
      <c r="F20" s="98">
        <f t="shared" si="1"/>
        <v>0.06579240278348873</v>
      </c>
    </row>
    <row r="21" spans="1:6" ht="18" customHeight="1">
      <c r="A21" s="99">
        <v>8</v>
      </c>
      <c r="B21" s="100" t="s">
        <v>234</v>
      </c>
      <c r="C21" s="97">
        <v>1077270</v>
      </c>
      <c r="D21" s="97">
        <v>546400</v>
      </c>
      <c r="E21" s="97">
        <f t="shared" si="0"/>
        <v>-530870</v>
      </c>
      <c r="F21" s="98">
        <f t="shared" si="1"/>
        <v>-0.49279196487417265</v>
      </c>
    </row>
    <row r="22" spans="1:6" ht="18" customHeight="1">
      <c r="A22" s="99">
        <v>9</v>
      </c>
      <c r="B22" s="100" t="s">
        <v>235</v>
      </c>
      <c r="C22" s="97">
        <v>2529704</v>
      </c>
      <c r="D22" s="97">
        <v>2605659</v>
      </c>
      <c r="E22" s="97">
        <f t="shared" si="0"/>
        <v>75955</v>
      </c>
      <c r="F22" s="98">
        <f t="shared" si="1"/>
        <v>0.030025251966237947</v>
      </c>
    </row>
    <row r="23" spans="1:6" ht="18" customHeight="1">
      <c r="A23" s="99">
        <v>10</v>
      </c>
      <c r="B23" s="100" t="s">
        <v>236</v>
      </c>
      <c r="C23" s="97">
        <v>0</v>
      </c>
      <c r="D23" s="97">
        <v>724567</v>
      </c>
      <c r="E23" s="97">
        <f t="shared" si="0"/>
        <v>724567</v>
      </c>
      <c r="F23" s="98">
        <f t="shared" si="1"/>
        <v>0</v>
      </c>
    </row>
    <row r="24" spans="1:6" ht="18" customHeight="1">
      <c r="A24" s="99">
        <v>11</v>
      </c>
      <c r="B24" s="100" t="s">
        <v>237</v>
      </c>
      <c r="C24" s="97">
        <v>69364</v>
      </c>
      <c r="D24" s="97">
        <v>31163</v>
      </c>
      <c r="E24" s="97">
        <f t="shared" si="0"/>
        <v>-38201</v>
      </c>
      <c r="F24" s="98">
        <f t="shared" si="1"/>
        <v>-0.5507323683755262</v>
      </c>
    </row>
    <row r="25" spans="1:6" ht="18" customHeight="1">
      <c r="A25" s="101"/>
      <c r="B25" s="102" t="s">
        <v>238</v>
      </c>
      <c r="C25" s="103">
        <f>SUM(C14:C24)</f>
        <v>132305630</v>
      </c>
      <c r="D25" s="103">
        <f>SUM(D14:D24)</f>
        <v>128350324</v>
      </c>
      <c r="E25" s="103">
        <f t="shared" si="0"/>
        <v>-3955306</v>
      </c>
      <c r="F25" s="104">
        <f t="shared" si="1"/>
        <v>-0.029895220634223955</v>
      </c>
    </row>
    <row r="26" spans="1:6" ht="18" customHeight="1">
      <c r="A26" s="94" t="s">
        <v>239</v>
      </c>
      <c r="B26" s="95" t="s">
        <v>240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227</v>
      </c>
      <c r="C27" s="97">
        <v>19383131</v>
      </c>
      <c r="D27" s="97">
        <v>17505903</v>
      </c>
      <c r="E27" s="97">
        <f aca="true" t="shared" si="2" ref="E27:E38">D27-C27</f>
        <v>-1877228</v>
      </c>
      <c r="F27" s="98">
        <f aca="true" t="shared" si="3" ref="F27:F38">IF(C27=0,0,E27/C27)</f>
        <v>-0.09684854319975447</v>
      </c>
    </row>
    <row r="28" spans="1:6" ht="18" customHeight="1">
      <c r="A28" s="99">
        <v>2</v>
      </c>
      <c r="B28" s="100" t="s">
        <v>228</v>
      </c>
      <c r="C28" s="97">
        <v>7292960</v>
      </c>
      <c r="D28" s="97">
        <v>7502495</v>
      </c>
      <c r="E28" s="97">
        <f t="shared" si="2"/>
        <v>209535</v>
      </c>
      <c r="F28" s="98">
        <f t="shared" si="3"/>
        <v>0.02873113248941445</v>
      </c>
    </row>
    <row r="29" spans="1:6" ht="18" customHeight="1">
      <c r="A29" s="99">
        <v>3</v>
      </c>
      <c r="B29" s="100" t="s">
        <v>229</v>
      </c>
      <c r="C29" s="97">
        <v>3728332</v>
      </c>
      <c r="D29" s="97">
        <v>2657244</v>
      </c>
      <c r="E29" s="97">
        <f t="shared" si="2"/>
        <v>-1071088</v>
      </c>
      <c r="F29" s="98">
        <f t="shared" si="3"/>
        <v>-0.2872834286217</v>
      </c>
    </row>
    <row r="30" spans="1:6" ht="18" customHeight="1">
      <c r="A30" s="99">
        <v>4</v>
      </c>
      <c r="B30" s="100" t="s">
        <v>230</v>
      </c>
      <c r="C30" s="97">
        <v>4975883</v>
      </c>
      <c r="D30" s="97">
        <v>6092897</v>
      </c>
      <c r="E30" s="97">
        <f t="shared" si="2"/>
        <v>1117014</v>
      </c>
      <c r="F30" s="98">
        <f t="shared" si="3"/>
        <v>0.2244855837647308</v>
      </c>
    </row>
    <row r="31" spans="1:6" ht="18" customHeight="1">
      <c r="A31" s="99">
        <v>5</v>
      </c>
      <c r="B31" s="100" t="s">
        <v>231</v>
      </c>
      <c r="C31" s="97">
        <v>162128</v>
      </c>
      <c r="D31" s="97">
        <v>233699</v>
      </c>
      <c r="E31" s="97">
        <f t="shared" si="2"/>
        <v>71571</v>
      </c>
      <c r="F31" s="98">
        <f t="shared" si="3"/>
        <v>0.44144749827296953</v>
      </c>
    </row>
    <row r="32" spans="1:6" ht="18" customHeight="1">
      <c r="A32" s="99">
        <v>6</v>
      </c>
      <c r="B32" s="100" t="s">
        <v>232</v>
      </c>
      <c r="C32" s="97">
        <v>0</v>
      </c>
      <c r="D32" s="97">
        <v>0</v>
      </c>
      <c r="E32" s="97">
        <f t="shared" si="2"/>
        <v>0</v>
      </c>
      <c r="F32" s="98">
        <f t="shared" si="3"/>
        <v>0</v>
      </c>
    </row>
    <row r="33" spans="1:6" ht="18" customHeight="1">
      <c r="A33" s="99">
        <v>7</v>
      </c>
      <c r="B33" s="100" t="s">
        <v>233</v>
      </c>
      <c r="C33" s="97">
        <v>48650325</v>
      </c>
      <c r="D33" s="97">
        <v>48064359</v>
      </c>
      <c r="E33" s="97">
        <f t="shared" si="2"/>
        <v>-585966</v>
      </c>
      <c r="F33" s="98">
        <f t="shared" si="3"/>
        <v>-0.012044441635281984</v>
      </c>
    </row>
    <row r="34" spans="1:6" ht="18" customHeight="1">
      <c r="A34" s="99">
        <v>8</v>
      </c>
      <c r="B34" s="100" t="s">
        <v>234</v>
      </c>
      <c r="C34" s="97">
        <v>1556794</v>
      </c>
      <c r="D34" s="97">
        <v>1412226</v>
      </c>
      <c r="E34" s="97">
        <f t="shared" si="2"/>
        <v>-144568</v>
      </c>
      <c r="F34" s="98">
        <f t="shared" si="3"/>
        <v>-0.09286263950143693</v>
      </c>
    </row>
    <row r="35" spans="1:6" ht="18" customHeight="1">
      <c r="A35" s="99">
        <v>9</v>
      </c>
      <c r="B35" s="100" t="s">
        <v>235</v>
      </c>
      <c r="C35" s="97">
        <v>4252320</v>
      </c>
      <c r="D35" s="97">
        <v>5204794</v>
      </c>
      <c r="E35" s="97">
        <f t="shared" si="2"/>
        <v>952474</v>
      </c>
      <c r="F35" s="98">
        <f t="shared" si="3"/>
        <v>0.22398925762877675</v>
      </c>
    </row>
    <row r="36" spans="1:6" ht="18" customHeight="1">
      <c r="A36" s="99">
        <v>10</v>
      </c>
      <c r="B36" s="100" t="s">
        <v>236</v>
      </c>
      <c r="C36" s="97">
        <v>0</v>
      </c>
      <c r="D36" s="97">
        <v>1980416</v>
      </c>
      <c r="E36" s="97">
        <f t="shared" si="2"/>
        <v>1980416</v>
      </c>
      <c r="F36" s="98">
        <f t="shared" si="3"/>
        <v>0</v>
      </c>
    </row>
    <row r="37" spans="1:6" ht="18" customHeight="1">
      <c r="A37" s="99">
        <v>11</v>
      </c>
      <c r="B37" s="100" t="s">
        <v>237</v>
      </c>
      <c r="C37" s="97">
        <v>70251</v>
      </c>
      <c r="D37" s="97">
        <v>135206</v>
      </c>
      <c r="E37" s="97">
        <f t="shared" si="2"/>
        <v>64955</v>
      </c>
      <c r="F37" s="98">
        <f t="shared" si="3"/>
        <v>0.924613172766224</v>
      </c>
    </row>
    <row r="38" spans="1:6" ht="18" customHeight="1">
      <c r="A38" s="101"/>
      <c r="B38" s="102" t="s">
        <v>241</v>
      </c>
      <c r="C38" s="103">
        <f>SUM(C27:C37)</f>
        <v>90072124</v>
      </c>
      <c r="D38" s="103">
        <f>SUM(D27:D37)</f>
        <v>90789239</v>
      </c>
      <c r="E38" s="103">
        <f t="shared" si="2"/>
        <v>717115</v>
      </c>
      <c r="F38" s="104">
        <f t="shared" si="3"/>
        <v>0.007961564223799142</v>
      </c>
    </row>
    <row r="39" spans="1:6" ht="18" customHeight="1">
      <c r="A39" s="665" t="s">
        <v>242</v>
      </c>
      <c r="B39" s="667" t="s">
        <v>243</v>
      </c>
      <c r="C39" s="669"/>
      <c r="D39" s="670"/>
      <c r="E39" s="670"/>
      <c r="F39" s="671"/>
    </row>
    <row r="40" spans="1:6" ht="18" customHeight="1">
      <c r="A40" s="666"/>
      <c r="B40" s="668"/>
      <c r="C40" s="672"/>
      <c r="D40" s="673"/>
      <c r="E40" s="673"/>
      <c r="F40" s="674"/>
    </row>
    <row r="41" spans="1:6" ht="18" customHeight="1">
      <c r="A41" s="105">
        <v>1</v>
      </c>
      <c r="B41" s="106" t="s">
        <v>227</v>
      </c>
      <c r="C41" s="103">
        <f aca="true" t="shared" si="4" ref="C41:D51">+C27+C14</f>
        <v>85479401</v>
      </c>
      <c r="D41" s="103">
        <f t="shared" si="4"/>
        <v>80257998</v>
      </c>
      <c r="E41" s="107">
        <f aca="true" t="shared" si="5" ref="E41:E52">D41-C41</f>
        <v>-5221403</v>
      </c>
      <c r="F41" s="108">
        <f aca="true" t="shared" si="6" ref="F41:F52">IF(C41=0,0,E41/C41)</f>
        <v>-0.061083757477430146</v>
      </c>
    </row>
    <row r="42" spans="1:6" ht="18" customHeight="1">
      <c r="A42" s="105">
        <v>2</v>
      </c>
      <c r="B42" s="106" t="s">
        <v>228</v>
      </c>
      <c r="C42" s="103">
        <f t="shared" si="4"/>
        <v>26367257</v>
      </c>
      <c r="D42" s="103">
        <f t="shared" si="4"/>
        <v>25178176</v>
      </c>
      <c r="E42" s="107">
        <f t="shared" si="5"/>
        <v>-1189081</v>
      </c>
      <c r="F42" s="108">
        <f t="shared" si="6"/>
        <v>-0.04509687905723375</v>
      </c>
    </row>
    <row r="43" spans="1:6" ht="18" customHeight="1">
      <c r="A43" s="105">
        <v>3</v>
      </c>
      <c r="B43" s="106" t="s">
        <v>229</v>
      </c>
      <c r="C43" s="103">
        <f t="shared" si="4"/>
        <v>9416848</v>
      </c>
      <c r="D43" s="103">
        <f t="shared" si="4"/>
        <v>5900573</v>
      </c>
      <c r="E43" s="107">
        <f t="shared" si="5"/>
        <v>-3516275</v>
      </c>
      <c r="F43" s="108">
        <f t="shared" si="6"/>
        <v>-0.3734025440359662</v>
      </c>
    </row>
    <row r="44" spans="1:6" ht="18" customHeight="1">
      <c r="A44" s="105">
        <v>4</v>
      </c>
      <c r="B44" s="106" t="s">
        <v>230</v>
      </c>
      <c r="C44" s="103">
        <f t="shared" si="4"/>
        <v>7700918</v>
      </c>
      <c r="D44" s="103">
        <f t="shared" si="4"/>
        <v>9583968</v>
      </c>
      <c r="E44" s="107">
        <f t="shared" si="5"/>
        <v>1883050</v>
      </c>
      <c r="F44" s="108">
        <f t="shared" si="6"/>
        <v>0.24452279585368913</v>
      </c>
    </row>
    <row r="45" spans="1:6" ht="18" customHeight="1">
      <c r="A45" s="105">
        <v>5</v>
      </c>
      <c r="B45" s="106" t="s">
        <v>231</v>
      </c>
      <c r="C45" s="103">
        <f t="shared" si="4"/>
        <v>272007</v>
      </c>
      <c r="D45" s="103">
        <f t="shared" si="4"/>
        <v>280286</v>
      </c>
      <c r="E45" s="107">
        <f t="shared" si="5"/>
        <v>8279</v>
      </c>
      <c r="F45" s="108">
        <f t="shared" si="6"/>
        <v>0.030436716702143696</v>
      </c>
    </row>
    <row r="46" spans="1:6" ht="18" customHeight="1">
      <c r="A46" s="105">
        <v>6</v>
      </c>
      <c r="B46" s="106" t="s">
        <v>232</v>
      </c>
      <c r="C46" s="103">
        <f t="shared" si="4"/>
        <v>0</v>
      </c>
      <c r="D46" s="103">
        <f t="shared" si="4"/>
        <v>0</v>
      </c>
      <c r="E46" s="107">
        <f t="shared" si="5"/>
        <v>0</v>
      </c>
      <c r="F46" s="108">
        <f t="shared" si="6"/>
        <v>0</v>
      </c>
    </row>
    <row r="47" spans="1:6" ht="18" customHeight="1">
      <c r="A47" s="105">
        <v>7</v>
      </c>
      <c r="B47" s="106" t="s">
        <v>233</v>
      </c>
      <c r="C47" s="103">
        <f t="shared" si="4"/>
        <v>83585620</v>
      </c>
      <c r="D47" s="103">
        <f t="shared" si="4"/>
        <v>85298131</v>
      </c>
      <c r="E47" s="107">
        <f t="shared" si="5"/>
        <v>1712511</v>
      </c>
      <c r="F47" s="108">
        <f t="shared" si="6"/>
        <v>0.02048810548991561</v>
      </c>
    </row>
    <row r="48" spans="1:6" ht="18" customHeight="1">
      <c r="A48" s="105">
        <v>8</v>
      </c>
      <c r="B48" s="106" t="s">
        <v>234</v>
      </c>
      <c r="C48" s="103">
        <f t="shared" si="4"/>
        <v>2634064</v>
      </c>
      <c r="D48" s="103">
        <f t="shared" si="4"/>
        <v>1958626</v>
      </c>
      <c r="E48" s="107">
        <f t="shared" si="5"/>
        <v>-675438</v>
      </c>
      <c r="F48" s="108">
        <f t="shared" si="6"/>
        <v>-0.2564242934112459</v>
      </c>
    </row>
    <row r="49" spans="1:6" ht="18" customHeight="1">
      <c r="A49" s="105">
        <v>9</v>
      </c>
      <c r="B49" s="106" t="s">
        <v>235</v>
      </c>
      <c r="C49" s="103">
        <f t="shared" si="4"/>
        <v>6782024</v>
      </c>
      <c r="D49" s="103">
        <f t="shared" si="4"/>
        <v>7810453</v>
      </c>
      <c r="E49" s="107">
        <f t="shared" si="5"/>
        <v>1028429</v>
      </c>
      <c r="F49" s="108">
        <f t="shared" si="6"/>
        <v>0.15164042474635891</v>
      </c>
    </row>
    <row r="50" spans="1:6" ht="18" customHeight="1">
      <c r="A50" s="105">
        <v>10</v>
      </c>
      <c r="B50" s="106" t="s">
        <v>236</v>
      </c>
      <c r="C50" s="103">
        <f t="shared" si="4"/>
        <v>0</v>
      </c>
      <c r="D50" s="103">
        <f t="shared" si="4"/>
        <v>2704983</v>
      </c>
      <c r="E50" s="107">
        <f t="shared" si="5"/>
        <v>2704983</v>
      </c>
      <c r="F50" s="108">
        <f t="shared" si="6"/>
        <v>0</v>
      </c>
    </row>
    <row r="51" spans="1:6" ht="18" customHeight="1" thickBot="1">
      <c r="A51" s="105">
        <v>11</v>
      </c>
      <c r="B51" s="106" t="s">
        <v>237</v>
      </c>
      <c r="C51" s="103">
        <f t="shared" si="4"/>
        <v>139615</v>
      </c>
      <c r="D51" s="103">
        <f t="shared" si="4"/>
        <v>166369</v>
      </c>
      <c r="E51" s="107">
        <f t="shared" si="5"/>
        <v>26754</v>
      </c>
      <c r="F51" s="108">
        <f t="shared" si="6"/>
        <v>0.19162697417899222</v>
      </c>
    </row>
    <row r="52" spans="1:6" ht="18.75" customHeight="1" thickBot="1">
      <c r="A52" s="109"/>
      <c r="B52" s="110" t="s">
        <v>243</v>
      </c>
      <c r="C52" s="111">
        <f>SUM(C41:C51)</f>
        <v>222377754</v>
      </c>
      <c r="D52" s="112">
        <f>SUM(D41:D51)</f>
        <v>219139563</v>
      </c>
      <c r="E52" s="111">
        <f t="shared" si="5"/>
        <v>-3238191</v>
      </c>
      <c r="F52" s="113">
        <f t="shared" si="6"/>
        <v>-0.014561667890575062</v>
      </c>
    </row>
    <row r="53" spans="1:6" ht="18" customHeight="1">
      <c r="A53" s="665" t="s">
        <v>159</v>
      </c>
      <c r="B53" s="667" t="s">
        <v>244</v>
      </c>
      <c r="C53" s="669"/>
      <c r="D53" s="670"/>
      <c r="E53" s="670"/>
      <c r="F53" s="671"/>
    </row>
    <row r="54" spans="1:6" ht="18" customHeight="1">
      <c r="A54" s="666"/>
      <c r="B54" s="668"/>
      <c r="C54" s="672"/>
      <c r="D54" s="673"/>
      <c r="E54" s="673"/>
      <c r="F54" s="674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225</v>
      </c>
      <c r="B56" s="95" t="s">
        <v>245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227</v>
      </c>
      <c r="C57" s="97">
        <v>21206244</v>
      </c>
      <c r="D57" s="97">
        <v>19977784</v>
      </c>
      <c r="E57" s="97">
        <f aca="true" t="shared" si="7" ref="E57:E68">D57-C57</f>
        <v>-1228460</v>
      </c>
      <c r="F57" s="98">
        <f aca="true" t="shared" si="8" ref="F57:F68">IF(C57=0,0,E57/C57)</f>
        <v>-0.0579291646366042</v>
      </c>
    </row>
    <row r="58" spans="1:6" ht="18" customHeight="1">
      <c r="A58" s="99">
        <v>2</v>
      </c>
      <c r="B58" s="100" t="s">
        <v>228</v>
      </c>
      <c r="C58" s="97">
        <v>5706085</v>
      </c>
      <c r="D58" s="97">
        <v>5624547</v>
      </c>
      <c r="E58" s="97">
        <f t="shared" si="7"/>
        <v>-81538</v>
      </c>
      <c r="F58" s="98">
        <f t="shared" si="8"/>
        <v>-0.014289657444640239</v>
      </c>
    </row>
    <row r="59" spans="1:6" ht="18" customHeight="1">
      <c r="A59" s="99">
        <v>3</v>
      </c>
      <c r="B59" s="100" t="s">
        <v>229</v>
      </c>
      <c r="C59" s="97">
        <v>1021518</v>
      </c>
      <c r="D59" s="97">
        <v>567699</v>
      </c>
      <c r="E59" s="97">
        <f t="shared" si="7"/>
        <v>-453819</v>
      </c>
      <c r="F59" s="98">
        <f t="shared" si="8"/>
        <v>-0.4442594256782553</v>
      </c>
    </row>
    <row r="60" spans="1:6" ht="18" customHeight="1">
      <c r="A60" s="99">
        <v>4</v>
      </c>
      <c r="B60" s="100" t="s">
        <v>230</v>
      </c>
      <c r="C60" s="97">
        <v>816230</v>
      </c>
      <c r="D60" s="97">
        <v>913673</v>
      </c>
      <c r="E60" s="97">
        <f t="shared" si="7"/>
        <v>97443</v>
      </c>
      <c r="F60" s="98">
        <f t="shared" si="8"/>
        <v>0.11938179189689181</v>
      </c>
    </row>
    <row r="61" spans="1:6" ht="18" customHeight="1">
      <c r="A61" s="99">
        <v>5</v>
      </c>
      <c r="B61" s="100" t="s">
        <v>231</v>
      </c>
      <c r="C61" s="97">
        <v>37229</v>
      </c>
      <c r="D61" s="97">
        <v>9600</v>
      </c>
      <c r="E61" s="97">
        <f t="shared" si="7"/>
        <v>-27629</v>
      </c>
      <c r="F61" s="98">
        <f t="shared" si="8"/>
        <v>-0.7421365064868785</v>
      </c>
    </row>
    <row r="62" spans="1:6" ht="18" customHeight="1">
      <c r="A62" s="99">
        <v>6</v>
      </c>
      <c r="B62" s="100" t="s">
        <v>232</v>
      </c>
      <c r="C62" s="97">
        <v>0</v>
      </c>
      <c r="D62" s="97">
        <v>0</v>
      </c>
      <c r="E62" s="97">
        <f t="shared" si="7"/>
        <v>0</v>
      </c>
      <c r="F62" s="98">
        <f t="shared" si="8"/>
        <v>0</v>
      </c>
    </row>
    <row r="63" spans="1:6" ht="18" customHeight="1">
      <c r="A63" s="99">
        <v>7</v>
      </c>
      <c r="B63" s="100" t="s">
        <v>233</v>
      </c>
      <c r="C63" s="97">
        <v>14074940</v>
      </c>
      <c r="D63" s="97">
        <v>15338329</v>
      </c>
      <c r="E63" s="97">
        <f t="shared" si="7"/>
        <v>1263389</v>
      </c>
      <c r="F63" s="98">
        <f t="shared" si="8"/>
        <v>0.08976159045793446</v>
      </c>
    </row>
    <row r="64" spans="1:6" ht="18" customHeight="1">
      <c r="A64" s="99">
        <v>8</v>
      </c>
      <c r="B64" s="100" t="s">
        <v>234</v>
      </c>
      <c r="C64" s="97">
        <v>803758</v>
      </c>
      <c r="D64" s="97">
        <v>293226</v>
      </c>
      <c r="E64" s="97">
        <f t="shared" si="7"/>
        <v>-510532</v>
      </c>
      <c r="F64" s="98">
        <f t="shared" si="8"/>
        <v>-0.6351812361432172</v>
      </c>
    </row>
    <row r="65" spans="1:6" ht="18" customHeight="1">
      <c r="A65" s="99">
        <v>9</v>
      </c>
      <c r="B65" s="100" t="s">
        <v>235</v>
      </c>
      <c r="C65" s="97">
        <v>570962</v>
      </c>
      <c r="D65" s="97">
        <v>188048</v>
      </c>
      <c r="E65" s="97">
        <f t="shared" si="7"/>
        <v>-382914</v>
      </c>
      <c r="F65" s="98">
        <f t="shared" si="8"/>
        <v>-0.67064708334355</v>
      </c>
    </row>
    <row r="66" spans="1:6" ht="18" customHeight="1">
      <c r="A66" s="99">
        <v>10</v>
      </c>
      <c r="B66" s="100" t="s">
        <v>236</v>
      </c>
      <c r="C66" s="97">
        <v>0</v>
      </c>
      <c r="D66" s="97">
        <v>53111</v>
      </c>
      <c r="E66" s="97">
        <f t="shared" si="7"/>
        <v>53111</v>
      </c>
      <c r="F66" s="98">
        <f t="shared" si="8"/>
        <v>0</v>
      </c>
    </row>
    <row r="67" spans="1:6" ht="18" customHeight="1">
      <c r="A67" s="99">
        <v>11</v>
      </c>
      <c r="B67" s="100" t="s">
        <v>237</v>
      </c>
      <c r="C67" s="97">
        <v>26801</v>
      </c>
      <c r="D67" s="97">
        <v>6089</v>
      </c>
      <c r="E67" s="97">
        <f t="shared" si="7"/>
        <v>-20712</v>
      </c>
      <c r="F67" s="98">
        <f t="shared" si="8"/>
        <v>-0.7728069848139995</v>
      </c>
    </row>
    <row r="68" spans="1:6" ht="18" customHeight="1">
      <c r="A68" s="101"/>
      <c r="B68" s="102" t="s">
        <v>246</v>
      </c>
      <c r="C68" s="103">
        <f>SUM(C57:C67)</f>
        <v>44263767</v>
      </c>
      <c r="D68" s="103">
        <f>SUM(D57:D67)</f>
        <v>42972106</v>
      </c>
      <c r="E68" s="103">
        <f t="shared" si="7"/>
        <v>-1291661</v>
      </c>
      <c r="F68" s="104">
        <f t="shared" si="8"/>
        <v>-0.029181000342786007</v>
      </c>
    </row>
    <row r="69" spans="1:6" ht="18" customHeight="1">
      <c r="A69" s="94" t="s">
        <v>239</v>
      </c>
      <c r="B69" s="95" t="s">
        <v>247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227</v>
      </c>
      <c r="C70" s="97">
        <v>5202833</v>
      </c>
      <c r="D70" s="97">
        <v>4392393</v>
      </c>
      <c r="E70" s="97">
        <f aca="true" t="shared" si="9" ref="E70:E81">D70-C70</f>
        <v>-810440</v>
      </c>
      <c r="F70" s="98">
        <f aca="true" t="shared" si="10" ref="F70:F81">IF(C70=0,0,E70/C70)</f>
        <v>-0.15576898201422187</v>
      </c>
    </row>
    <row r="71" spans="1:6" ht="18" customHeight="1">
      <c r="A71" s="99">
        <v>2</v>
      </c>
      <c r="B71" s="100" t="s">
        <v>228</v>
      </c>
      <c r="C71" s="97">
        <v>1898805</v>
      </c>
      <c r="D71" s="97">
        <v>1849714</v>
      </c>
      <c r="E71" s="97">
        <f t="shared" si="9"/>
        <v>-49091</v>
      </c>
      <c r="F71" s="98">
        <f t="shared" si="10"/>
        <v>-0.025853628992971896</v>
      </c>
    </row>
    <row r="72" spans="1:6" ht="18" customHeight="1">
      <c r="A72" s="99">
        <v>3</v>
      </c>
      <c r="B72" s="100" t="s">
        <v>229</v>
      </c>
      <c r="C72" s="97">
        <v>264952</v>
      </c>
      <c r="D72" s="97">
        <v>201303</v>
      </c>
      <c r="E72" s="97">
        <f t="shared" si="9"/>
        <v>-63649</v>
      </c>
      <c r="F72" s="98">
        <f t="shared" si="10"/>
        <v>-0.24022841873244966</v>
      </c>
    </row>
    <row r="73" spans="1:6" ht="18" customHeight="1">
      <c r="A73" s="99">
        <v>4</v>
      </c>
      <c r="B73" s="100" t="s">
        <v>230</v>
      </c>
      <c r="C73" s="97">
        <v>1272774</v>
      </c>
      <c r="D73" s="97">
        <v>1607062</v>
      </c>
      <c r="E73" s="97">
        <f t="shared" si="9"/>
        <v>334288</v>
      </c>
      <c r="F73" s="98">
        <f t="shared" si="10"/>
        <v>0.2626452143114174</v>
      </c>
    </row>
    <row r="74" spans="1:6" ht="18" customHeight="1">
      <c r="A74" s="99">
        <v>5</v>
      </c>
      <c r="B74" s="100" t="s">
        <v>231</v>
      </c>
      <c r="C74" s="97">
        <v>74359</v>
      </c>
      <c r="D74" s="97">
        <v>103943</v>
      </c>
      <c r="E74" s="97">
        <f t="shared" si="9"/>
        <v>29584</v>
      </c>
      <c r="F74" s="98">
        <f t="shared" si="10"/>
        <v>0.39785365591253247</v>
      </c>
    </row>
    <row r="75" spans="1:6" ht="18" customHeight="1">
      <c r="A75" s="99">
        <v>6</v>
      </c>
      <c r="B75" s="100" t="s">
        <v>232</v>
      </c>
      <c r="C75" s="97">
        <v>0</v>
      </c>
      <c r="D75" s="97">
        <v>0</v>
      </c>
      <c r="E75" s="97">
        <f t="shared" si="9"/>
        <v>0</v>
      </c>
      <c r="F75" s="98">
        <f t="shared" si="10"/>
        <v>0</v>
      </c>
    </row>
    <row r="76" spans="1:6" ht="18" customHeight="1">
      <c r="A76" s="99">
        <v>7</v>
      </c>
      <c r="B76" s="100" t="s">
        <v>233</v>
      </c>
      <c r="C76" s="97">
        <v>21538000</v>
      </c>
      <c r="D76" s="97">
        <v>20796349</v>
      </c>
      <c r="E76" s="97">
        <f t="shared" si="9"/>
        <v>-741651</v>
      </c>
      <c r="F76" s="98">
        <f t="shared" si="10"/>
        <v>-0.03443453431144953</v>
      </c>
    </row>
    <row r="77" spans="1:6" ht="18" customHeight="1">
      <c r="A77" s="99">
        <v>8</v>
      </c>
      <c r="B77" s="100" t="s">
        <v>234</v>
      </c>
      <c r="C77" s="97">
        <v>1073911</v>
      </c>
      <c r="D77" s="97">
        <v>1021862</v>
      </c>
      <c r="E77" s="97">
        <f t="shared" si="9"/>
        <v>-52049</v>
      </c>
      <c r="F77" s="98">
        <f t="shared" si="10"/>
        <v>-0.048466772386166077</v>
      </c>
    </row>
    <row r="78" spans="1:6" ht="18" customHeight="1">
      <c r="A78" s="99">
        <v>9</v>
      </c>
      <c r="B78" s="100" t="s">
        <v>235</v>
      </c>
      <c r="C78" s="97">
        <v>1183976</v>
      </c>
      <c r="D78" s="97">
        <v>462477</v>
      </c>
      <c r="E78" s="97">
        <f t="shared" si="9"/>
        <v>-721499</v>
      </c>
      <c r="F78" s="98">
        <f t="shared" si="10"/>
        <v>-0.6093865078346182</v>
      </c>
    </row>
    <row r="79" spans="1:6" ht="18" customHeight="1">
      <c r="A79" s="99">
        <v>10</v>
      </c>
      <c r="B79" s="100" t="s">
        <v>236</v>
      </c>
      <c r="C79" s="97">
        <v>0</v>
      </c>
      <c r="D79" s="97">
        <v>214677</v>
      </c>
      <c r="E79" s="97">
        <f t="shared" si="9"/>
        <v>214677</v>
      </c>
      <c r="F79" s="98">
        <f t="shared" si="10"/>
        <v>0</v>
      </c>
    </row>
    <row r="80" spans="1:6" ht="18" customHeight="1">
      <c r="A80" s="99">
        <v>11</v>
      </c>
      <c r="B80" s="100" t="s">
        <v>237</v>
      </c>
      <c r="C80" s="97">
        <v>34365</v>
      </c>
      <c r="D80" s="97">
        <v>29396</v>
      </c>
      <c r="E80" s="97">
        <f t="shared" si="9"/>
        <v>-4969</v>
      </c>
      <c r="F80" s="98">
        <f t="shared" si="10"/>
        <v>-0.14459479121198895</v>
      </c>
    </row>
    <row r="81" spans="1:6" ht="18" customHeight="1">
      <c r="A81" s="101"/>
      <c r="B81" s="102" t="s">
        <v>248</v>
      </c>
      <c r="C81" s="103">
        <f>SUM(C70:C80)</f>
        <v>32543975</v>
      </c>
      <c r="D81" s="103">
        <f>SUM(D70:D80)</f>
        <v>30679176</v>
      </c>
      <c r="E81" s="103">
        <f t="shared" si="9"/>
        <v>-1864799</v>
      </c>
      <c r="F81" s="104">
        <f t="shared" si="10"/>
        <v>-0.05730089824614234</v>
      </c>
    </row>
    <row r="82" spans="1:6" ht="18" customHeight="1">
      <c r="A82" s="665" t="s">
        <v>242</v>
      </c>
      <c r="B82" s="667" t="s">
        <v>249</v>
      </c>
      <c r="C82" s="669"/>
      <c r="D82" s="670"/>
      <c r="E82" s="670"/>
      <c r="F82" s="671"/>
    </row>
    <row r="83" spans="1:6" ht="18" customHeight="1">
      <c r="A83" s="666"/>
      <c r="B83" s="668"/>
      <c r="C83" s="672"/>
      <c r="D83" s="673"/>
      <c r="E83" s="673"/>
      <c r="F83" s="674"/>
    </row>
    <row r="84" spans="1:6" ht="18" customHeight="1">
      <c r="A84" s="114">
        <v>1</v>
      </c>
      <c r="B84" s="106" t="s">
        <v>227</v>
      </c>
      <c r="C84" s="103">
        <f aca="true" t="shared" si="11" ref="C84:D94">+C70+C57</f>
        <v>26409077</v>
      </c>
      <c r="D84" s="103">
        <f t="shared" si="11"/>
        <v>24370177</v>
      </c>
      <c r="E84" s="103">
        <f aca="true" t="shared" si="12" ref="E84:E95">D84-C84</f>
        <v>-2038900</v>
      </c>
      <c r="F84" s="104">
        <f aca="true" t="shared" si="13" ref="F84:F95">IF(C84=0,0,E84/C84)</f>
        <v>-0.07720451570496008</v>
      </c>
    </row>
    <row r="85" spans="1:6" ht="18" customHeight="1">
      <c r="A85" s="114">
        <v>2</v>
      </c>
      <c r="B85" s="106" t="s">
        <v>228</v>
      </c>
      <c r="C85" s="103">
        <f t="shared" si="11"/>
        <v>7604890</v>
      </c>
      <c r="D85" s="103">
        <f t="shared" si="11"/>
        <v>7474261</v>
      </c>
      <c r="E85" s="103">
        <f t="shared" si="12"/>
        <v>-130629</v>
      </c>
      <c r="F85" s="104">
        <f t="shared" si="13"/>
        <v>-0.017176974288911476</v>
      </c>
    </row>
    <row r="86" spans="1:6" ht="18" customHeight="1">
      <c r="A86" s="114">
        <v>3</v>
      </c>
      <c r="B86" s="106" t="s">
        <v>229</v>
      </c>
      <c r="C86" s="103">
        <f t="shared" si="11"/>
        <v>1286470</v>
      </c>
      <c r="D86" s="103">
        <f t="shared" si="11"/>
        <v>769002</v>
      </c>
      <c r="E86" s="103">
        <f t="shared" si="12"/>
        <v>-517468</v>
      </c>
      <c r="F86" s="104">
        <f t="shared" si="13"/>
        <v>-0.40223868415120445</v>
      </c>
    </row>
    <row r="87" spans="1:6" ht="18" customHeight="1">
      <c r="A87" s="114">
        <v>4</v>
      </c>
      <c r="B87" s="106" t="s">
        <v>230</v>
      </c>
      <c r="C87" s="103">
        <f t="shared" si="11"/>
        <v>2089004</v>
      </c>
      <c r="D87" s="103">
        <f t="shared" si="11"/>
        <v>2520735</v>
      </c>
      <c r="E87" s="103">
        <f t="shared" si="12"/>
        <v>431731</v>
      </c>
      <c r="F87" s="104">
        <f t="shared" si="13"/>
        <v>0.20666834529756764</v>
      </c>
    </row>
    <row r="88" spans="1:6" ht="18" customHeight="1">
      <c r="A88" s="114">
        <v>5</v>
      </c>
      <c r="B88" s="106" t="s">
        <v>231</v>
      </c>
      <c r="C88" s="103">
        <f t="shared" si="11"/>
        <v>111588</v>
      </c>
      <c r="D88" s="103">
        <f t="shared" si="11"/>
        <v>113543</v>
      </c>
      <c r="E88" s="103">
        <f t="shared" si="12"/>
        <v>1955</v>
      </c>
      <c r="F88" s="104">
        <f t="shared" si="13"/>
        <v>0.01751980499695308</v>
      </c>
    </row>
    <row r="89" spans="1:6" ht="18" customHeight="1">
      <c r="A89" s="114">
        <v>6</v>
      </c>
      <c r="B89" s="106" t="s">
        <v>232</v>
      </c>
      <c r="C89" s="103">
        <f t="shared" si="11"/>
        <v>0</v>
      </c>
      <c r="D89" s="103">
        <f t="shared" si="11"/>
        <v>0</v>
      </c>
      <c r="E89" s="103">
        <f t="shared" si="12"/>
        <v>0</v>
      </c>
      <c r="F89" s="104">
        <f t="shared" si="13"/>
        <v>0</v>
      </c>
    </row>
    <row r="90" spans="1:6" ht="18" customHeight="1">
      <c r="A90" s="114">
        <v>7</v>
      </c>
      <c r="B90" s="106" t="s">
        <v>233</v>
      </c>
      <c r="C90" s="103">
        <f t="shared" si="11"/>
        <v>35612940</v>
      </c>
      <c r="D90" s="103">
        <f t="shared" si="11"/>
        <v>36134678</v>
      </c>
      <c r="E90" s="103">
        <f t="shared" si="12"/>
        <v>521738</v>
      </c>
      <c r="F90" s="104">
        <f t="shared" si="13"/>
        <v>0.01465023668363241</v>
      </c>
    </row>
    <row r="91" spans="1:6" ht="18" customHeight="1">
      <c r="A91" s="114">
        <v>8</v>
      </c>
      <c r="B91" s="106" t="s">
        <v>234</v>
      </c>
      <c r="C91" s="103">
        <f t="shared" si="11"/>
        <v>1877669</v>
      </c>
      <c r="D91" s="103">
        <f t="shared" si="11"/>
        <v>1315088</v>
      </c>
      <c r="E91" s="103">
        <f t="shared" si="12"/>
        <v>-562581</v>
      </c>
      <c r="F91" s="104">
        <f t="shared" si="13"/>
        <v>-0.29961670560679227</v>
      </c>
    </row>
    <row r="92" spans="1:6" ht="18" customHeight="1">
      <c r="A92" s="114">
        <v>9</v>
      </c>
      <c r="B92" s="106" t="s">
        <v>235</v>
      </c>
      <c r="C92" s="103">
        <f t="shared" si="11"/>
        <v>1754938</v>
      </c>
      <c r="D92" s="103">
        <f t="shared" si="11"/>
        <v>650525</v>
      </c>
      <c r="E92" s="103">
        <f t="shared" si="12"/>
        <v>-1104413</v>
      </c>
      <c r="F92" s="104">
        <f t="shared" si="13"/>
        <v>-0.6293173889903803</v>
      </c>
    </row>
    <row r="93" spans="1:6" ht="18" customHeight="1">
      <c r="A93" s="114">
        <v>10</v>
      </c>
      <c r="B93" s="106" t="s">
        <v>236</v>
      </c>
      <c r="C93" s="103">
        <f t="shared" si="11"/>
        <v>0</v>
      </c>
      <c r="D93" s="103">
        <f t="shared" si="11"/>
        <v>267788</v>
      </c>
      <c r="E93" s="103">
        <f t="shared" si="12"/>
        <v>267788</v>
      </c>
      <c r="F93" s="104">
        <f t="shared" si="13"/>
        <v>0</v>
      </c>
    </row>
    <row r="94" spans="1:6" ht="18" customHeight="1" thickBot="1">
      <c r="A94" s="114">
        <v>11</v>
      </c>
      <c r="B94" s="106" t="s">
        <v>237</v>
      </c>
      <c r="C94" s="103">
        <f t="shared" si="11"/>
        <v>61166</v>
      </c>
      <c r="D94" s="103">
        <f t="shared" si="11"/>
        <v>35485</v>
      </c>
      <c r="E94" s="103">
        <f t="shared" si="12"/>
        <v>-25681</v>
      </c>
      <c r="F94" s="104">
        <f t="shared" si="13"/>
        <v>-0.41985743713827944</v>
      </c>
    </row>
    <row r="95" spans="1:6" ht="18.75" customHeight="1" thickBot="1">
      <c r="A95" s="115"/>
      <c r="B95" s="116" t="s">
        <v>249</v>
      </c>
      <c r="C95" s="112">
        <f>SUM(C84:C94)</f>
        <v>76807742</v>
      </c>
      <c r="D95" s="112">
        <f>SUM(D84:D94)</f>
        <v>73651282</v>
      </c>
      <c r="E95" s="112">
        <f t="shared" si="12"/>
        <v>-3156460</v>
      </c>
      <c r="F95" s="113">
        <f t="shared" si="13"/>
        <v>-0.04109559684751571</v>
      </c>
    </row>
    <row r="96" spans="1:6" ht="18" customHeight="1">
      <c r="A96" s="665" t="s">
        <v>250</v>
      </c>
      <c r="B96" s="667" t="s">
        <v>251</v>
      </c>
      <c r="C96" s="669"/>
      <c r="D96" s="670"/>
      <c r="E96" s="670"/>
      <c r="F96" s="671"/>
    </row>
    <row r="97" spans="1:6" ht="18" customHeight="1">
      <c r="A97" s="666"/>
      <c r="B97" s="668"/>
      <c r="C97" s="672"/>
      <c r="D97" s="673"/>
      <c r="E97" s="673"/>
      <c r="F97" s="674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225</v>
      </c>
      <c r="B99" s="95" t="s">
        <v>252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227</v>
      </c>
      <c r="C100" s="117">
        <v>2068</v>
      </c>
      <c r="D100" s="117">
        <v>1861</v>
      </c>
      <c r="E100" s="117">
        <f aca="true" t="shared" si="14" ref="E100:E111">D100-C100</f>
        <v>-207</v>
      </c>
      <c r="F100" s="98">
        <f aca="true" t="shared" si="15" ref="F100:F111">IF(C100=0,0,E100/C100)</f>
        <v>-0.10009671179883946</v>
      </c>
    </row>
    <row r="101" spans="1:6" ht="18" customHeight="1">
      <c r="A101" s="99">
        <v>2</v>
      </c>
      <c r="B101" s="100" t="s">
        <v>228</v>
      </c>
      <c r="C101" s="117">
        <v>564</v>
      </c>
      <c r="D101" s="117">
        <v>562</v>
      </c>
      <c r="E101" s="117">
        <f t="shared" si="14"/>
        <v>-2</v>
      </c>
      <c r="F101" s="98">
        <f t="shared" si="15"/>
        <v>-0.0035460992907801418</v>
      </c>
    </row>
    <row r="102" spans="1:6" ht="18" customHeight="1">
      <c r="A102" s="99">
        <v>3</v>
      </c>
      <c r="B102" s="100" t="s">
        <v>229</v>
      </c>
      <c r="C102" s="117">
        <v>145</v>
      </c>
      <c r="D102" s="117">
        <v>107</v>
      </c>
      <c r="E102" s="117">
        <f t="shared" si="14"/>
        <v>-38</v>
      </c>
      <c r="F102" s="98">
        <f t="shared" si="15"/>
        <v>-0.2620689655172414</v>
      </c>
    </row>
    <row r="103" spans="1:6" ht="18" customHeight="1">
      <c r="A103" s="99">
        <v>4</v>
      </c>
      <c r="B103" s="100" t="s">
        <v>230</v>
      </c>
      <c r="C103" s="117">
        <v>269</v>
      </c>
      <c r="D103" s="117">
        <v>310</v>
      </c>
      <c r="E103" s="117">
        <f t="shared" si="14"/>
        <v>41</v>
      </c>
      <c r="F103" s="98">
        <f t="shared" si="15"/>
        <v>0.1524163568773234</v>
      </c>
    </row>
    <row r="104" spans="1:6" ht="18" customHeight="1">
      <c r="A104" s="99">
        <v>5</v>
      </c>
      <c r="B104" s="100" t="s">
        <v>231</v>
      </c>
      <c r="C104" s="117">
        <v>8</v>
      </c>
      <c r="D104" s="117">
        <v>3</v>
      </c>
      <c r="E104" s="117">
        <f t="shared" si="14"/>
        <v>-5</v>
      </c>
      <c r="F104" s="98">
        <f t="shared" si="15"/>
        <v>-0.625</v>
      </c>
    </row>
    <row r="105" spans="1:6" ht="18" customHeight="1">
      <c r="A105" s="99">
        <v>6</v>
      </c>
      <c r="B105" s="100" t="s">
        <v>232</v>
      </c>
      <c r="C105" s="117">
        <v>0</v>
      </c>
      <c r="D105" s="117">
        <v>0</v>
      </c>
      <c r="E105" s="117">
        <f t="shared" si="14"/>
        <v>0</v>
      </c>
      <c r="F105" s="98">
        <f t="shared" si="15"/>
        <v>0</v>
      </c>
    </row>
    <row r="106" spans="1:6" ht="18" customHeight="1">
      <c r="A106" s="99">
        <v>7</v>
      </c>
      <c r="B106" s="100" t="s">
        <v>233</v>
      </c>
      <c r="C106" s="117">
        <v>1739</v>
      </c>
      <c r="D106" s="117">
        <v>1814</v>
      </c>
      <c r="E106" s="117">
        <f t="shared" si="14"/>
        <v>75</v>
      </c>
      <c r="F106" s="98">
        <f t="shared" si="15"/>
        <v>0.04312823461759632</v>
      </c>
    </row>
    <row r="107" spans="1:6" ht="18" customHeight="1">
      <c r="A107" s="99">
        <v>8</v>
      </c>
      <c r="B107" s="100" t="s">
        <v>234</v>
      </c>
      <c r="C107" s="117">
        <v>24</v>
      </c>
      <c r="D107" s="117">
        <v>17</v>
      </c>
      <c r="E107" s="117">
        <f t="shared" si="14"/>
        <v>-7</v>
      </c>
      <c r="F107" s="98">
        <f t="shared" si="15"/>
        <v>-0.2916666666666667</v>
      </c>
    </row>
    <row r="108" spans="1:6" ht="18" customHeight="1">
      <c r="A108" s="99">
        <v>9</v>
      </c>
      <c r="B108" s="100" t="s">
        <v>235</v>
      </c>
      <c r="C108" s="117">
        <v>116</v>
      </c>
      <c r="D108" s="117">
        <v>99</v>
      </c>
      <c r="E108" s="117">
        <f t="shared" si="14"/>
        <v>-17</v>
      </c>
      <c r="F108" s="98">
        <f t="shared" si="15"/>
        <v>-0.14655172413793102</v>
      </c>
    </row>
    <row r="109" spans="1:6" ht="18" customHeight="1">
      <c r="A109" s="99">
        <v>10</v>
      </c>
      <c r="B109" s="100" t="s">
        <v>236</v>
      </c>
      <c r="C109" s="117">
        <v>0</v>
      </c>
      <c r="D109" s="117">
        <v>26</v>
      </c>
      <c r="E109" s="117">
        <f t="shared" si="14"/>
        <v>26</v>
      </c>
      <c r="F109" s="98">
        <f t="shared" si="15"/>
        <v>0</v>
      </c>
    </row>
    <row r="110" spans="1:6" ht="18" customHeight="1">
      <c r="A110" s="99">
        <v>11</v>
      </c>
      <c r="B110" s="100" t="s">
        <v>237</v>
      </c>
      <c r="C110" s="117">
        <v>2</v>
      </c>
      <c r="D110" s="117">
        <v>1</v>
      </c>
      <c r="E110" s="117">
        <f t="shared" si="14"/>
        <v>-1</v>
      </c>
      <c r="F110" s="98">
        <f t="shared" si="15"/>
        <v>-0.5</v>
      </c>
    </row>
    <row r="111" spans="1:6" ht="18" customHeight="1">
      <c r="A111" s="101"/>
      <c r="B111" s="102" t="s">
        <v>253</v>
      </c>
      <c r="C111" s="118">
        <f>SUM(C100:C110)</f>
        <v>4935</v>
      </c>
      <c r="D111" s="118">
        <f>SUM(D100:D110)</f>
        <v>4800</v>
      </c>
      <c r="E111" s="118">
        <f t="shared" si="14"/>
        <v>-135</v>
      </c>
      <c r="F111" s="104">
        <f t="shared" si="15"/>
        <v>-0.02735562310030395</v>
      </c>
    </row>
    <row r="112" spans="1:6" ht="18" customHeight="1">
      <c r="A112" s="94" t="s">
        <v>239</v>
      </c>
      <c r="B112" s="95" t="s">
        <v>254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227</v>
      </c>
      <c r="C113" s="117">
        <v>10661</v>
      </c>
      <c r="D113" s="117">
        <v>9239</v>
      </c>
      <c r="E113" s="117">
        <f aca="true" t="shared" si="16" ref="E113:E124">D113-C113</f>
        <v>-1422</v>
      </c>
      <c r="F113" s="98">
        <f aca="true" t="shared" si="17" ref="F113:F124">IF(C113=0,0,E113/C113)</f>
        <v>-0.13338335990995215</v>
      </c>
    </row>
    <row r="114" spans="1:6" ht="18" customHeight="1">
      <c r="A114" s="99">
        <v>2</v>
      </c>
      <c r="B114" s="100" t="s">
        <v>228</v>
      </c>
      <c r="C114" s="117">
        <v>2995</v>
      </c>
      <c r="D114" s="117">
        <v>2615</v>
      </c>
      <c r="E114" s="117">
        <f t="shared" si="16"/>
        <v>-380</v>
      </c>
      <c r="F114" s="98">
        <f t="shared" si="17"/>
        <v>-0.12687813021702837</v>
      </c>
    </row>
    <row r="115" spans="1:6" ht="18" customHeight="1">
      <c r="A115" s="99">
        <v>3</v>
      </c>
      <c r="B115" s="100" t="s">
        <v>229</v>
      </c>
      <c r="C115" s="117">
        <v>996</v>
      </c>
      <c r="D115" s="117">
        <v>520</v>
      </c>
      <c r="E115" s="117">
        <f t="shared" si="16"/>
        <v>-476</v>
      </c>
      <c r="F115" s="98">
        <f t="shared" si="17"/>
        <v>-0.4779116465863454</v>
      </c>
    </row>
    <row r="116" spans="1:6" ht="18" customHeight="1">
      <c r="A116" s="99">
        <v>4</v>
      </c>
      <c r="B116" s="100" t="s">
        <v>230</v>
      </c>
      <c r="C116" s="117">
        <v>791</v>
      </c>
      <c r="D116" s="117">
        <v>965</v>
      </c>
      <c r="E116" s="117">
        <f t="shared" si="16"/>
        <v>174</v>
      </c>
      <c r="F116" s="98">
        <f t="shared" si="17"/>
        <v>0.21997471554993678</v>
      </c>
    </row>
    <row r="117" spans="1:6" ht="18" customHeight="1">
      <c r="A117" s="99">
        <v>5</v>
      </c>
      <c r="B117" s="100" t="s">
        <v>231</v>
      </c>
      <c r="C117" s="117">
        <v>25</v>
      </c>
      <c r="D117" s="117">
        <v>11</v>
      </c>
      <c r="E117" s="117">
        <f t="shared" si="16"/>
        <v>-14</v>
      </c>
      <c r="F117" s="98">
        <f t="shared" si="17"/>
        <v>-0.56</v>
      </c>
    </row>
    <row r="118" spans="1:6" ht="18" customHeight="1">
      <c r="A118" s="99">
        <v>6</v>
      </c>
      <c r="B118" s="100" t="s">
        <v>232</v>
      </c>
      <c r="C118" s="117">
        <v>0</v>
      </c>
      <c r="D118" s="117">
        <v>0</v>
      </c>
      <c r="E118" s="117">
        <f t="shared" si="16"/>
        <v>0</v>
      </c>
      <c r="F118" s="98">
        <f t="shared" si="17"/>
        <v>0</v>
      </c>
    </row>
    <row r="119" spans="1:6" ht="18" customHeight="1">
      <c r="A119" s="99">
        <v>7</v>
      </c>
      <c r="B119" s="100" t="s">
        <v>233</v>
      </c>
      <c r="C119" s="117">
        <v>5688</v>
      </c>
      <c r="D119" s="117">
        <v>6429</v>
      </c>
      <c r="E119" s="117">
        <f t="shared" si="16"/>
        <v>741</v>
      </c>
      <c r="F119" s="98">
        <f t="shared" si="17"/>
        <v>0.13027426160337552</v>
      </c>
    </row>
    <row r="120" spans="1:6" ht="18" customHeight="1">
      <c r="A120" s="99">
        <v>8</v>
      </c>
      <c r="B120" s="100" t="s">
        <v>234</v>
      </c>
      <c r="C120" s="117">
        <v>80</v>
      </c>
      <c r="D120" s="117">
        <v>46</v>
      </c>
      <c r="E120" s="117">
        <f t="shared" si="16"/>
        <v>-34</v>
      </c>
      <c r="F120" s="98">
        <f t="shared" si="17"/>
        <v>-0.425</v>
      </c>
    </row>
    <row r="121" spans="1:6" ht="18" customHeight="1">
      <c r="A121" s="99">
        <v>9</v>
      </c>
      <c r="B121" s="100" t="s">
        <v>235</v>
      </c>
      <c r="C121" s="117">
        <v>386</v>
      </c>
      <c r="D121" s="117">
        <v>440</v>
      </c>
      <c r="E121" s="117">
        <f t="shared" si="16"/>
        <v>54</v>
      </c>
      <c r="F121" s="98">
        <f t="shared" si="17"/>
        <v>0.13989637305699482</v>
      </c>
    </row>
    <row r="122" spans="1:6" ht="18" customHeight="1">
      <c r="A122" s="99">
        <v>10</v>
      </c>
      <c r="B122" s="100" t="s">
        <v>236</v>
      </c>
      <c r="C122" s="117">
        <v>0</v>
      </c>
      <c r="D122" s="117">
        <v>100</v>
      </c>
      <c r="E122" s="117">
        <f t="shared" si="16"/>
        <v>100</v>
      </c>
      <c r="F122" s="98">
        <f t="shared" si="17"/>
        <v>0</v>
      </c>
    </row>
    <row r="123" spans="1:6" ht="18" customHeight="1">
      <c r="A123" s="99">
        <v>11</v>
      </c>
      <c r="B123" s="100" t="s">
        <v>237</v>
      </c>
      <c r="C123" s="117">
        <v>7</v>
      </c>
      <c r="D123" s="117">
        <v>5</v>
      </c>
      <c r="E123" s="117">
        <f t="shared" si="16"/>
        <v>-2</v>
      </c>
      <c r="F123" s="98">
        <f t="shared" si="17"/>
        <v>-0.2857142857142857</v>
      </c>
    </row>
    <row r="124" spans="1:6" ht="18" customHeight="1">
      <c r="A124" s="101"/>
      <c r="B124" s="102" t="s">
        <v>255</v>
      </c>
      <c r="C124" s="118">
        <f>SUM(C113:C123)</f>
        <v>21629</v>
      </c>
      <c r="D124" s="118">
        <f>SUM(D113:D123)</f>
        <v>20370</v>
      </c>
      <c r="E124" s="118">
        <f t="shared" si="16"/>
        <v>-1259</v>
      </c>
      <c r="F124" s="104">
        <f t="shared" si="17"/>
        <v>-0.05820888621757825</v>
      </c>
    </row>
    <row r="125" spans="1:6" ht="18" customHeight="1">
      <c r="A125" s="94" t="s">
        <v>256</v>
      </c>
      <c r="B125" s="95" t="s">
        <v>257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227</v>
      </c>
      <c r="C126" s="117">
        <v>9382</v>
      </c>
      <c r="D126" s="117">
        <v>4583</v>
      </c>
      <c r="E126" s="117">
        <f aca="true" t="shared" si="18" ref="E126:E137">D126-C126</f>
        <v>-4799</v>
      </c>
      <c r="F126" s="98">
        <f aca="true" t="shared" si="19" ref="F126:F137">IF(C126=0,0,E126/C126)</f>
        <v>-0.511511404817736</v>
      </c>
    </row>
    <row r="127" spans="1:6" ht="18" customHeight="1">
      <c r="A127" s="99">
        <v>2</v>
      </c>
      <c r="B127" s="100" t="s">
        <v>228</v>
      </c>
      <c r="C127" s="117">
        <v>6164</v>
      </c>
      <c r="D127" s="117">
        <v>6123</v>
      </c>
      <c r="E127" s="117">
        <f t="shared" si="18"/>
        <v>-41</v>
      </c>
      <c r="F127" s="98">
        <f t="shared" si="19"/>
        <v>-0.006651524983776768</v>
      </c>
    </row>
    <row r="128" spans="1:6" ht="18" customHeight="1">
      <c r="A128" s="99">
        <v>3</v>
      </c>
      <c r="B128" s="100" t="s">
        <v>229</v>
      </c>
      <c r="C128" s="117">
        <v>2834</v>
      </c>
      <c r="D128" s="117">
        <v>312</v>
      </c>
      <c r="E128" s="117">
        <f t="shared" si="18"/>
        <v>-2522</v>
      </c>
      <c r="F128" s="98">
        <f t="shared" si="19"/>
        <v>-0.8899082568807339</v>
      </c>
    </row>
    <row r="129" spans="1:6" ht="18" customHeight="1">
      <c r="A129" s="99">
        <v>4</v>
      </c>
      <c r="B129" s="100" t="s">
        <v>230</v>
      </c>
      <c r="C129" s="117">
        <v>5293</v>
      </c>
      <c r="D129" s="117">
        <v>5840</v>
      </c>
      <c r="E129" s="117">
        <f t="shared" si="18"/>
        <v>547</v>
      </c>
      <c r="F129" s="98">
        <f t="shared" si="19"/>
        <v>0.10334403929718496</v>
      </c>
    </row>
    <row r="130" spans="1:6" ht="18" customHeight="1">
      <c r="A130" s="99">
        <v>5</v>
      </c>
      <c r="B130" s="100" t="s">
        <v>231</v>
      </c>
      <c r="C130" s="117">
        <v>146</v>
      </c>
      <c r="D130" s="117">
        <v>39</v>
      </c>
      <c r="E130" s="117">
        <f t="shared" si="18"/>
        <v>-107</v>
      </c>
      <c r="F130" s="98">
        <f t="shared" si="19"/>
        <v>-0.7328767123287672</v>
      </c>
    </row>
    <row r="131" spans="1:6" ht="18" customHeight="1">
      <c r="A131" s="99">
        <v>6</v>
      </c>
      <c r="B131" s="100" t="s">
        <v>232</v>
      </c>
      <c r="C131" s="117">
        <v>0</v>
      </c>
      <c r="D131" s="117">
        <v>0</v>
      </c>
      <c r="E131" s="117">
        <f t="shared" si="18"/>
        <v>0</v>
      </c>
      <c r="F131" s="98">
        <f t="shared" si="19"/>
        <v>0</v>
      </c>
    </row>
    <row r="132" spans="1:6" ht="18" customHeight="1">
      <c r="A132" s="99">
        <v>7</v>
      </c>
      <c r="B132" s="100" t="s">
        <v>233</v>
      </c>
      <c r="C132" s="117">
        <v>42367</v>
      </c>
      <c r="D132" s="117">
        <v>21317</v>
      </c>
      <c r="E132" s="117">
        <f t="shared" si="18"/>
        <v>-21050</v>
      </c>
      <c r="F132" s="98">
        <f t="shared" si="19"/>
        <v>-0.49684896263601386</v>
      </c>
    </row>
    <row r="133" spans="1:6" ht="18" customHeight="1">
      <c r="A133" s="99">
        <v>8</v>
      </c>
      <c r="B133" s="100" t="s">
        <v>234</v>
      </c>
      <c r="C133" s="117">
        <v>1360</v>
      </c>
      <c r="D133" s="117">
        <v>151</v>
      </c>
      <c r="E133" s="117">
        <f t="shared" si="18"/>
        <v>-1209</v>
      </c>
      <c r="F133" s="98">
        <f t="shared" si="19"/>
        <v>-0.8889705882352941</v>
      </c>
    </row>
    <row r="134" spans="1:6" ht="18" customHeight="1">
      <c r="A134" s="99">
        <v>9</v>
      </c>
      <c r="B134" s="100" t="s">
        <v>235</v>
      </c>
      <c r="C134" s="117">
        <v>3754</v>
      </c>
      <c r="D134" s="117">
        <v>306</v>
      </c>
      <c r="E134" s="117">
        <f t="shared" si="18"/>
        <v>-3448</v>
      </c>
      <c r="F134" s="98">
        <f t="shared" si="19"/>
        <v>-0.91848694725626</v>
      </c>
    </row>
    <row r="135" spans="1:6" ht="18" customHeight="1">
      <c r="A135" s="99">
        <v>10</v>
      </c>
      <c r="B135" s="100" t="s">
        <v>236</v>
      </c>
      <c r="C135" s="117">
        <v>0</v>
      </c>
      <c r="D135" s="117">
        <v>88</v>
      </c>
      <c r="E135" s="117">
        <f t="shared" si="18"/>
        <v>88</v>
      </c>
      <c r="F135" s="98">
        <f t="shared" si="19"/>
        <v>0</v>
      </c>
    </row>
    <row r="136" spans="1:6" ht="18" customHeight="1">
      <c r="A136" s="99">
        <v>11</v>
      </c>
      <c r="B136" s="100" t="s">
        <v>237</v>
      </c>
      <c r="C136" s="117">
        <v>80</v>
      </c>
      <c r="D136" s="117">
        <v>3</v>
      </c>
      <c r="E136" s="117">
        <f t="shared" si="18"/>
        <v>-77</v>
      </c>
      <c r="F136" s="98">
        <f t="shared" si="19"/>
        <v>-0.9625</v>
      </c>
    </row>
    <row r="137" spans="1:6" ht="18" customHeight="1">
      <c r="A137" s="101"/>
      <c r="B137" s="102" t="s">
        <v>258</v>
      </c>
      <c r="C137" s="118">
        <f>SUM(C126:C136)</f>
        <v>71380</v>
      </c>
      <c r="D137" s="118">
        <f>SUM(D126:D136)</f>
        <v>38762</v>
      </c>
      <c r="E137" s="118">
        <f t="shared" si="18"/>
        <v>-32618</v>
      </c>
      <c r="F137" s="104">
        <f t="shared" si="19"/>
        <v>-0.4569627346595685</v>
      </c>
    </row>
    <row r="138" spans="1:6" ht="18" customHeight="1">
      <c r="A138" s="665" t="s">
        <v>259</v>
      </c>
      <c r="B138" s="667" t="s">
        <v>260</v>
      </c>
      <c r="C138" s="669"/>
      <c r="D138" s="670"/>
      <c r="E138" s="670"/>
      <c r="F138" s="671"/>
    </row>
    <row r="139" spans="1:6" ht="18" customHeight="1">
      <c r="A139" s="666"/>
      <c r="B139" s="668"/>
      <c r="C139" s="672"/>
      <c r="D139" s="673"/>
      <c r="E139" s="673"/>
      <c r="F139" s="674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225</v>
      </c>
      <c r="B141" s="95" t="s">
        <v>261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227</v>
      </c>
      <c r="C142" s="97">
        <v>7691428</v>
      </c>
      <c r="D142" s="97">
        <v>7598238</v>
      </c>
      <c r="E142" s="97">
        <f aca="true" t="shared" si="20" ref="E142:E153">D142-C142</f>
        <v>-93190</v>
      </c>
      <c r="F142" s="98">
        <f aca="true" t="shared" si="21" ref="F142:F153">IF(C142=0,0,E142/C142)</f>
        <v>-0.012116085595548706</v>
      </c>
    </row>
    <row r="143" spans="1:6" ht="18" customHeight="1">
      <c r="A143" s="99">
        <v>2</v>
      </c>
      <c r="B143" s="100" t="s">
        <v>228</v>
      </c>
      <c r="C143" s="97">
        <v>2237805</v>
      </c>
      <c r="D143" s="97">
        <v>2516930</v>
      </c>
      <c r="E143" s="97">
        <f t="shared" si="20"/>
        <v>279125</v>
      </c>
      <c r="F143" s="98">
        <f t="shared" si="21"/>
        <v>0.12473160083206535</v>
      </c>
    </row>
    <row r="144" spans="1:6" ht="18" customHeight="1">
      <c r="A144" s="99">
        <v>3</v>
      </c>
      <c r="B144" s="100" t="s">
        <v>229</v>
      </c>
      <c r="C144" s="97">
        <v>3147187</v>
      </c>
      <c r="D144" s="97">
        <v>2363809</v>
      </c>
      <c r="E144" s="97">
        <f t="shared" si="20"/>
        <v>-783378</v>
      </c>
      <c r="F144" s="98">
        <f t="shared" si="21"/>
        <v>-0.24891371246767352</v>
      </c>
    </row>
    <row r="145" spans="1:6" ht="18" customHeight="1">
      <c r="A145" s="99">
        <v>4</v>
      </c>
      <c r="B145" s="100" t="s">
        <v>230</v>
      </c>
      <c r="C145" s="97">
        <v>3453712</v>
      </c>
      <c r="D145" s="97">
        <v>4766526</v>
      </c>
      <c r="E145" s="97">
        <f t="shared" si="20"/>
        <v>1312814</v>
      </c>
      <c r="F145" s="98">
        <f t="shared" si="21"/>
        <v>0.38011681344593873</v>
      </c>
    </row>
    <row r="146" spans="1:6" ht="18" customHeight="1">
      <c r="A146" s="99">
        <v>5</v>
      </c>
      <c r="B146" s="100" t="s">
        <v>231</v>
      </c>
      <c r="C146" s="97">
        <v>99031</v>
      </c>
      <c r="D146" s="97">
        <v>165755</v>
      </c>
      <c r="E146" s="97">
        <f t="shared" si="20"/>
        <v>66724</v>
      </c>
      <c r="F146" s="98">
        <f t="shared" si="21"/>
        <v>0.6737688198644869</v>
      </c>
    </row>
    <row r="147" spans="1:6" ht="18" customHeight="1">
      <c r="A147" s="99">
        <v>6</v>
      </c>
      <c r="B147" s="100" t="s">
        <v>232</v>
      </c>
      <c r="C147" s="97">
        <v>0</v>
      </c>
      <c r="D147" s="97">
        <v>0</v>
      </c>
      <c r="E147" s="97">
        <f t="shared" si="20"/>
        <v>0</v>
      </c>
      <c r="F147" s="98">
        <f t="shared" si="21"/>
        <v>0</v>
      </c>
    </row>
    <row r="148" spans="1:6" ht="18" customHeight="1">
      <c r="A148" s="99">
        <v>7</v>
      </c>
      <c r="B148" s="100" t="s">
        <v>233</v>
      </c>
      <c r="C148" s="97">
        <v>21289835</v>
      </c>
      <c r="D148" s="97">
        <v>22292621</v>
      </c>
      <c r="E148" s="97">
        <f t="shared" si="20"/>
        <v>1002786</v>
      </c>
      <c r="F148" s="98">
        <f t="shared" si="21"/>
        <v>0.04710163324422195</v>
      </c>
    </row>
    <row r="149" spans="1:6" ht="18" customHeight="1">
      <c r="A149" s="99">
        <v>8</v>
      </c>
      <c r="B149" s="100" t="s">
        <v>234</v>
      </c>
      <c r="C149" s="97">
        <v>935739</v>
      </c>
      <c r="D149" s="97">
        <v>874650</v>
      </c>
      <c r="E149" s="97">
        <f t="shared" si="20"/>
        <v>-61089</v>
      </c>
      <c r="F149" s="98">
        <f t="shared" si="21"/>
        <v>-0.06528422989743934</v>
      </c>
    </row>
    <row r="150" spans="1:6" ht="18" customHeight="1">
      <c r="A150" s="99">
        <v>9</v>
      </c>
      <c r="B150" s="100" t="s">
        <v>235</v>
      </c>
      <c r="C150" s="97">
        <v>3950696</v>
      </c>
      <c r="D150" s="97">
        <v>4078564</v>
      </c>
      <c r="E150" s="97">
        <f t="shared" si="20"/>
        <v>127868</v>
      </c>
      <c r="F150" s="98">
        <f t="shared" si="21"/>
        <v>0.032365942608593525</v>
      </c>
    </row>
    <row r="151" spans="1:6" ht="18" customHeight="1">
      <c r="A151" s="99">
        <v>10</v>
      </c>
      <c r="B151" s="100" t="s">
        <v>236</v>
      </c>
      <c r="C151" s="97">
        <v>0</v>
      </c>
      <c r="D151" s="97">
        <v>1771338</v>
      </c>
      <c r="E151" s="97">
        <f t="shared" si="20"/>
        <v>1771338</v>
      </c>
      <c r="F151" s="98">
        <f t="shared" si="21"/>
        <v>0</v>
      </c>
    </row>
    <row r="152" spans="1:6" ht="18" customHeight="1">
      <c r="A152" s="99">
        <v>11</v>
      </c>
      <c r="B152" s="100" t="s">
        <v>237</v>
      </c>
      <c r="C152" s="97">
        <v>70251</v>
      </c>
      <c r="D152" s="97">
        <v>132073</v>
      </c>
      <c r="E152" s="97">
        <f t="shared" si="20"/>
        <v>61822</v>
      </c>
      <c r="F152" s="98">
        <f t="shared" si="21"/>
        <v>0.880015942833554</v>
      </c>
    </row>
    <row r="153" spans="1:6" ht="33.75" customHeight="1">
      <c r="A153" s="101"/>
      <c r="B153" s="102" t="s">
        <v>262</v>
      </c>
      <c r="C153" s="103">
        <f>SUM(C142:C152)</f>
        <v>42875684</v>
      </c>
      <c r="D153" s="103">
        <f>SUM(D142:D152)</f>
        <v>46560504</v>
      </c>
      <c r="E153" s="103">
        <f t="shared" si="20"/>
        <v>3684820</v>
      </c>
      <c r="F153" s="104">
        <f t="shared" si="21"/>
        <v>0.08594195255287355</v>
      </c>
    </row>
    <row r="154" spans="1:6" ht="18" customHeight="1">
      <c r="A154" s="94" t="s">
        <v>239</v>
      </c>
      <c r="B154" s="95" t="s">
        <v>263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227</v>
      </c>
      <c r="C155" s="97">
        <v>1641209</v>
      </c>
      <c r="D155" s="97">
        <v>1906468</v>
      </c>
      <c r="E155" s="97">
        <f aca="true" t="shared" si="22" ref="E155:E166">D155-C155</f>
        <v>265259</v>
      </c>
      <c r="F155" s="98">
        <f aca="true" t="shared" si="23" ref="F155:F166">IF(C155=0,0,E155/C155)</f>
        <v>0.16162414415226822</v>
      </c>
    </row>
    <row r="156" spans="1:6" ht="18" customHeight="1">
      <c r="A156" s="99">
        <v>2</v>
      </c>
      <c r="B156" s="100" t="s">
        <v>228</v>
      </c>
      <c r="C156" s="97">
        <v>659741</v>
      </c>
      <c r="D156" s="97">
        <v>620540</v>
      </c>
      <c r="E156" s="97">
        <f t="shared" si="22"/>
        <v>-39201</v>
      </c>
      <c r="F156" s="98">
        <f t="shared" si="23"/>
        <v>-0.059418771912007895</v>
      </c>
    </row>
    <row r="157" spans="1:6" ht="18" customHeight="1">
      <c r="A157" s="99">
        <v>3</v>
      </c>
      <c r="B157" s="100" t="s">
        <v>229</v>
      </c>
      <c r="C157" s="97">
        <v>614219</v>
      </c>
      <c r="D157" s="97">
        <v>178894</v>
      </c>
      <c r="E157" s="97">
        <f t="shared" si="22"/>
        <v>-435325</v>
      </c>
      <c r="F157" s="98">
        <f t="shared" si="23"/>
        <v>-0.708745577717394</v>
      </c>
    </row>
    <row r="158" spans="1:6" ht="18" customHeight="1">
      <c r="A158" s="99">
        <v>4</v>
      </c>
      <c r="B158" s="100" t="s">
        <v>230</v>
      </c>
      <c r="C158" s="97">
        <v>816776</v>
      </c>
      <c r="D158" s="97">
        <v>1257219</v>
      </c>
      <c r="E158" s="97">
        <f t="shared" si="22"/>
        <v>440443</v>
      </c>
      <c r="F158" s="98">
        <f t="shared" si="23"/>
        <v>0.5392457662810857</v>
      </c>
    </row>
    <row r="159" spans="1:6" ht="18" customHeight="1">
      <c r="A159" s="99">
        <v>5</v>
      </c>
      <c r="B159" s="100" t="s">
        <v>231</v>
      </c>
      <c r="C159" s="97">
        <v>43786</v>
      </c>
      <c r="D159" s="97">
        <v>73724</v>
      </c>
      <c r="E159" s="97">
        <f t="shared" si="22"/>
        <v>29938</v>
      </c>
      <c r="F159" s="98">
        <f t="shared" si="23"/>
        <v>0.6837345270177683</v>
      </c>
    </row>
    <row r="160" spans="1:6" ht="18" customHeight="1">
      <c r="A160" s="99">
        <v>6</v>
      </c>
      <c r="B160" s="100" t="s">
        <v>232</v>
      </c>
      <c r="C160" s="97">
        <v>0</v>
      </c>
      <c r="D160" s="97">
        <v>0</v>
      </c>
      <c r="E160" s="97">
        <f t="shared" si="22"/>
        <v>0</v>
      </c>
      <c r="F160" s="98">
        <f t="shared" si="23"/>
        <v>0</v>
      </c>
    </row>
    <row r="161" spans="1:6" ht="18" customHeight="1">
      <c r="A161" s="99">
        <v>7</v>
      </c>
      <c r="B161" s="100" t="s">
        <v>233</v>
      </c>
      <c r="C161" s="97">
        <v>10219863</v>
      </c>
      <c r="D161" s="97">
        <v>9842810</v>
      </c>
      <c r="E161" s="97">
        <f t="shared" si="22"/>
        <v>-377053</v>
      </c>
      <c r="F161" s="98">
        <f t="shared" si="23"/>
        <v>-0.03689413449084396</v>
      </c>
    </row>
    <row r="162" spans="1:6" ht="18" customHeight="1">
      <c r="A162" s="99">
        <v>8</v>
      </c>
      <c r="B162" s="100" t="s">
        <v>234</v>
      </c>
      <c r="C162" s="97">
        <v>676987</v>
      </c>
      <c r="D162" s="97">
        <v>384846</v>
      </c>
      <c r="E162" s="97">
        <f t="shared" si="22"/>
        <v>-292141</v>
      </c>
      <c r="F162" s="98">
        <f t="shared" si="23"/>
        <v>-0.43153118154410647</v>
      </c>
    </row>
    <row r="163" spans="1:6" ht="18" customHeight="1">
      <c r="A163" s="99">
        <v>9</v>
      </c>
      <c r="B163" s="100" t="s">
        <v>235</v>
      </c>
      <c r="C163" s="97">
        <v>3950696</v>
      </c>
      <c r="D163" s="97">
        <v>362404</v>
      </c>
      <c r="E163" s="97">
        <f t="shared" si="22"/>
        <v>-3588292</v>
      </c>
      <c r="F163" s="98">
        <f t="shared" si="23"/>
        <v>-0.9082683152538186</v>
      </c>
    </row>
    <row r="164" spans="1:6" ht="18" customHeight="1">
      <c r="A164" s="99">
        <v>10</v>
      </c>
      <c r="B164" s="100" t="s">
        <v>236</v>
      </c>
      <c r="C164" s="97">
        <v>0</v>
      </c>
      <c r="D164" s="97">
        <v>192013</v>
      </c>
      <c r="E164" s="97">
        <f t="shared" si="22"/>
        <v>192013</v>
      </c>
      <c r="F164" s="98">
        <f t="shared" si="23"/>
        <v>0</v>
      </c>
    </row>
    <row r="165" spans="1:6" ht="18" customHeight="1">
      <c r="A165" s="99">
        <v>11</v>
      </c>
      <c r="B165" s="100" t="s">
        <v>237</v>
      </c>
      <c r="C165" s="97">
        <v>58745</v>
      </c>
      <c r="D165" s="97">
        <v>28715</v>
      </c>
      <c r="E165" s="97">
        <f t="shared" si="22"/>
        <v>-30030</v>
      </c>
      <c r="F165" s="98">
        <f t="shared" si="23"/>
        <v>-0.5111924419099498</v>
      </c>
    </row>
    <row r="166" spans="1:6" ht="33.75" customHeight="1">
      <c r="A166" s="101"/>
      <c r="B166" s="102" t="s">
        <v>264</v>
      </c>
      <c r="C166" s="103">
        <f>SUM(C155:C165)</f>
        <v>18682022</v>
      </c>
      <c r="D166" s="103">
        <f>SUM(D155:D165)</f>
        <v>14847633</v>
      </c>
      <c r="E166" s="103">
        <f t="shared" si="22"/>
        <v>-3834389</v>
      </c>
      <c r="F166" s="104">
        <f t="shared" si="23"/>
        <v>-0.20524486054025629</v>
      </c>
    </row>
    <row r="167" spans="1:6" ht="18" customHeight="1">
      <c r="A167" s="94" t="s">
        <v>256</v>
      </c>
      <c r="B167" s="95" t="s">
        <v>265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227</v>
      </c>
      <c r="C168" s="117">
        <v>4291</v>
      </c>
      <c r="D168" s="117">
        <v>4258</v>
      </c>
      <c r="E168" s="117">
        <f aca="true" t="shared" si="24" ref="E168:E179">D168-C168</f>
        <v>-33</v>
      </c>
      <c r="F168" s="98">
        <f aca="true" t="shared" si="25" ref="F168:F179">IF(C168=0,0,E168/C168)</f>
        <v>-0.0076905150314611976</v>
      </c>
    </row>
    <row r="169" spans="1:6" ht="18" customHeight="1">
      <c r="A169" s="99">
        <v>2</v>
      </c>
      <c r="B169" s="100" t="s">
        <v>228</v>
      </c>
      <c r="C169" s="117">
        <v>2220</v>
      </c>
      <c r="D169" s="117">
        <v>1296</v>
      </c>
      <c r="E169" s="117">
        <f t="shared" si="24"/>
        <v>-924</v>
      </c>
      <c r="F169" s="98">
        <f t="shared" si="25"/>
        <v>-0.41621621621621624</v>
      </c>
    </row>
    <row r="170" spans="1:6" ht="18" customHeight="1">
      <c r="A170" s="99">
        <v>3</v>
      </c>
      <c r="B170" s="100" t="s">
        <v>229</v>
      </c>
      <c r="C170" s="117">
        <v>2489</v>
      </c>
      <c r="D170" s="117">
        <v>1894</v>
      </c>
      <c r="E170" s="117">
        <f t="shared" si="24"/>
        <v>-595</v>
      </c>
      <c r="F170" s="98">
        <f t="shared" si="25"/>
        <v>-0.23905182804339092</v>
      </c>
    </row>
    <row r="171" spans="1:6" ht="18" customHeight="1">
      <c r="A171" s="99">
        <v>4</v>
      </c>
      <c r="B171" s="100" t="s">
        <v>230</v>
      </c>
      <c r="C171" s="117">
        <v>3635</v>
      </c>
      <c r="D171" s="117">
        <v>4481</v>
      </c>
      <c r="E171" s="117">
        <f t="shared" si="24"/>
        <v>846</v>
      </c>
      <c r="F171" s="98">
        <f t="shared" si="25"/>
        <v>0.2327372764786795</v>
      </c>
    </row>
    <row r="172" spans="1:6" ht="18" customHeight="1">
      <c r="A172" s="99">
        <v>5</v>
      </c>
      <c r="B172" s="100" t="s">
        <v>231</v>
      </c>
      <c r="C172" s="117">
        <v>105</v>
      </c>
      <c r="D172" s="117">
        <v>142</v>
      </c>
      <c r="E172" s="117">
        <f t="shared" si="24"/>
        <v>37</v>
      </c>
      <c r="F172" s="98">
        <f t="shared" si="25"/>
        <v>0.3523809523809524</v>
      </c>
    </row>
    <row r="173" spans="1:6" ht="18" customHeight="1">
      <c r="A173" s="99">
        <v>6</v>
      </c>
      <c r="B173" s="100" t="s">
        <v>232</v>
      </c>
      <c r="C173" s="117">
        <v>0</v>
      </c>
      <c r="D173" s="117">
        <v>0</v>
      </c>
      <c r="E173" s="117">
        <f t="shared" si="24"/>
        <v>0</v>
      </c>
      <c r="F173" s="98">
        <f t="shared" si="25"/>
        <v>0</v>
      </c>
    </row>
    <row r="174" spans="1:6" ht="18" customHeight="1">
      <c r="A174" s="99">
        <v>7</v>
      </c>
      <c r="B174" s="100" t="s">
        <v>233</v>
      </c>
      <c r="C174" s="117">
        <v>18425</v>
      </c>
      <c r="D174" s="117">
        <v>19522</v>
      </c>
      <c r="E174" s="117">
        <f t="shared" si="24"/>
        <v>1097</v>
      </c>
      <c r="F174" s="98">
        <f t="shared" si="25"/>
        <v>0.05953867028493894</v>
      </c>
    </row>
    <row r="175" spans="1:6" ht="18" customHeight="1">
      <c r="A175" s="99">
        <v>8</v>
      </c>
      <c r="B175" s="100" t="s">
        <v>234</v>
      </c>
      <c r="C175" s="117">
        <v>1090</v>
      </c>
      <c r="D175" s="117">
        <v>951</v>
      </c>
      <c r="E175" s="117">
        <f t="shared" si="24"/>
        <v>-139</v>
      </c>
      <c r="F175" s="98">
        <f t="shared" si="25"/>
        <v>-0.12752293577981652</v>
      </c>
    </row>
    <row r="176" spans="1:6" ht="18" customHeight="1">
      <c r="A176" s="99">
        <v>9</v>
      </c>
      <c r="B176" s="100" t="s">
        <v>235</v>
      </c>
      <c r="C176" s="117">
        <v>3511</v>
      </c>
      <c r="D176" s="117">
        <v>3202</v>
      </c>
      <c r="E176" s="117">
        <f t="shared" si="24"/>
        <v>-309</v>
      </c>
      <c r="F176" s="98">
        <f t="shared" si="25"/>
        <v>-0.08800911421247508</v>
      </c>
    </row>
    <row r="177" spans="1:6" ht="18" customHeight="1">
      <c r="A177" s="99">
        <v>10</v>
      </c>
      <c r="B177" s="100" t="s">
        <v>236</v>
      </c>
      <c r="C177" s="117">
        <v>0</v>
      </c>
      <c r="D177" s="117">
        <v>1065</v>
      </c>
      <c r="E177" s="117">
        <f t="shared" si="24"/>
        <v>1065</v>
      </c>
      <c r="F177" s="98">
        <f t="shared" si="25"/>
        <v>0</v>
      </c>
    </row>
    <row r="178" spans="1:6" ht="18" customHeight="1">
      <c r="A178" s="99">
        <v>11</v>
      </c>
      <c r="B178" s="100" t="s">
        <v>237</v>
      </c>
      <c r="C178" s="117">
        <v>78</v>
      </c>
      <c r="D178" s="117">
        <v>102</v>
      </c>
      <c r="E178" s="117">
        <f t="shared" si="24"/>
        <v>24</v>
      </c>
      <c r="F178" s="98">
        <f t="shared" si="25"/>
        <v>0.3076923076923077</v>
      </c>
    </row>
    <row r="179" spans="1:6" ht="33.75" customHeight="1">
      <c r="A179" s="101"/>
      <c r="B179" s="102" t="s">
        <v>266</v>
      </c>
      <c r="C179" s="118">
        <f>SUM(C168:C178)</f>
        <v>35844</v>
      </c>
      <c r="D179" s="118">
        <f>SUM(D168:D178)</f>
        <v>36913</v>
      </c>
      <c r="E179" s="118">
        <f t="shared" si="24"/>
        <v>1069</v>
      </c>
      <c r="F179" s="104">
        <f t="shared" si="25"/>
        <v>0.0298236803928133</v>
      </c>
    </row>
  </sheetData>
  <sheetProtection/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fitToHeight="2" horizontalDpi="1200" verticalDpi="1200" orientation="portrait" paperSize="9" scale="65" r:id="rId1"/>
  <headerFooter alignWithMargins="0">
    <oddHeader>&amp;LOFFICE OF HEALTH CARE ACCESS&amp;CTWELVE MONTHS ACTUAL FILING&amp;RMILFORD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75" zoomScaleNormal="75" zoomScalePageLayoutView="0" workbookViewId="0" topLeftCell="A1">
      <selection activeCell="F18" sqref="F18"/>
    </sheetView>
  </sheetViews>
  <sheetFormatPr defaultColWidth="9.140625" defaultRowHeight="15" customHeight="1"/>
  <cols>
    <col min="1" max="1" width="8.8515625" style="119" bestFit="1" customWidth="1"/>
    <col min="2" max="2" width="54.8515625" style="119" customWidth="1"/>
    <col min="3" max="3" width="18.28125" style="120" customWidth="1"/>
    <col min="4" max="4" width="18.140625" style="119" customWidth="1"/>
    <col min="5" max="5" width="19.00390625" style="119" bestFit="1" customWidth="1"/>
    <col min="6" max="6" width="17.421875" style="119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115</v>
      </c>
      <c r="E2" s="123"/>
      <c r="F2" s="123"/>
      <c r="G2" s="124"/>
    </row>
    <row r="3" spans="1:7" ht="15.75" customHeight="1">
      <c r="A3" s="121"/>
      <c r="C3" s="123" t="s">
        <v>116</v>
      </c>
      <c r="E3" s="123"/>
      <c r="F3" s="123"/>
      <c r="G3" s="124"/>
    </row>
    <row r="4" spans="1:7" ht="15.75" customHeight="1">
      <c r="A4" s="121"/>
      <c r="C4" s="123" t="s">
        <v>117</v>
      </c>
      <c r="E4" s="123"/>
      <c r="F4" s="123"/>
      <c r="G4" s="124"/>
    </row>
    <row r="5" spans="1:7" ht="15.75" customHeight="1">
      <c r="A5" s="121"/>
      <c r="C5" s="123" t="s">
        <v>267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119</v>
      </c>
      <c r="D9" s="127" t="s">
        <v>120</v>
      </c>
      <c r="E9" s="129" t="s">
        <v>121</v>
      </c>
      <c r="F9" s="130" t="s">
        <v>268</v>
      </c>
      <c r="G9" s="124"/>
    </row>
    <row r="10" spans="1:7" ht="15.75" customHeight="1">
      <c r="A10" s="131" t="s">
        <v>269</v>
      </c>
      <c r="B10" s="132" t="s">
        <v>124</v>
      </c>
      <c r="C10" s="133" t="s">
        <v>125</v>
      </c>
      <c r="D10" s="133" t="s">
        <v>125</v>
      </c>
      <c r="E10" s="134" t="s">
        <v>126</v>
      </c>
      <c r="F10" s="133" t="s">
        <v>126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127</v>
      </c>
      <c r="B12" s="139" t="s">
        <v>270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225</v>
      </c>
      <c r="B14" s="145" t="s">
        <v>271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272</v>
      </c>
      <c r="C15" s="146">
        <v>15347305</v>
      </c>
      <c r="D15" s="146">
        <v>17018295</v>
      </c>
      <c r="E15" s="146">
        <f>+D15-C15</f>
        <v>1670990</v>
      </c>
      <c r="F15" s="150">
        <f>IF(C15=0,0,E15/C15)</f>
        <v>0.10887839917171126</v>
      </c>
    </row>
    <row r="16" spans="1:6" ht="15" customHeight="1">
      <c r="A16" s="141">
        <v>2</v>
      </c>
      <c r="B16" s="149" t="s">
        <v>273</v>
      </c>
      <c r="C16" s="146">
        <v>4451036</v>
      </c>
      <c r="D16" s="146">
        <v>4932122</v>
      </c>
      <c r="E16" s="146">
        <f>+D16-C16</f>
        <v>481086</v>
      </c>
      <c r="F16" s="150">
        <f>IF(C16=0,0,E16/C16)</f>
        <v>0.10808405054463725</v>
      </c>
    </row>
    <row r="17" spans="1:6" ht="15" customHeight="1">
      <c r="A17" s="141">
        <v>3</v>
      </c>
      <c r="B17" s="149" t="s">
        <v>274</v>
      </c>
      <c r="C17" s="146">
        <v>16331416</v>
      </c>
      <c r="D17" s="146">
        <v>15222495</v>
      </c>
      <c r="E17" s="146">
        <f>+D17-C17</f>
        <v>-1108921</v>
      </c>
      <c r="F17" s="150">
        <f>IF(C17=0,0,E17/C17)</f>
        <v>-0.06790109320588</v>
      </c>
    </row>
    <row r="18" spans="1:7" ht="15.75" customHeight="1">
      <c r="A18" s="141"/>
      <c r="B18" s="151" t="s">
        <v>275</v>
      </c>
      <c r="C18" s="147">
        <f>SUM(C15:C17)</f>
        <v>36129757</v>
      </c>
      <c r="D18" s="147">
        <f>SUM(D15:D17)</f>
        <v>37172912</v>
      </c>
      <c r="E18" s="147">
        <f>+D18-C18</f>
        <v>1043155</v>
      </c>
      <c r="F18" s="148">
        <f>IF(C18=0,0,E18/C18)</f>
        <v>0.02887246100215952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239</v>
      </c>
      <c r="B20" s="145" t="s">
        <v>276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277</v>
      </c>
      <c r="C21" s="146">
        <v>5503138</v>
      </c>
      <c r="D21" s="146">
        <v>6911685</v>
      </c>
      <c r="E21" s="146">
        <f>+D21-C21</f>
        <v>1408547</v>
      </c>
      <c r="F21" s="150">
        <f>IF(C21=0,0,E21/C21)</f>
        <v>0.2559534214842514</v>
      </c>
    </row>
    <row r="22" spans="1:6" ht="15" customHeight="1">
      <c r="A22" s="141">
        <v>2</v>
      </c>
      <c r="B22" s="149" t="s">
        <v>278</v>
      </c>
      <c r="C22" s="146">
        <v>821247</v>
      </c>
      <c r="D22" s="146">
        <v>968548</v>
      </c>
      <c r="E22" s="146">
        <f>+D22-C22</f>
        <v>147301</v>
      </c>
      <c r="F22" s="150">
        <f>IF(C22=0,0,E22/C22)</f>
        <v>0.17936260345547686</v>
      </c>
    </row>
    <row r="23" spans="1:6" ht="15" customHeight="1">
      <c r="A23" s="141">
        <v>3</v>
      </c>
      <c r="B23" s="149" t="s">
        <v>279</v>
      </c>
      <c r="C23" s="146">
        <v>6016868</v>
      </c>
      <c r="D23" s="146">
        <v>6129230</v>
      </c>
      <c r="E23" s="146">
        <f>+D23-C23</f>
        <v>112362</v>
      </c>
      <c r="F23" s="150">
        <f>IF(C23=0,0,E23/C23)</f>
        <v>0.01867449975635164</v>
      </c>
    </row>
    <row r="24" spans="1:7" ht="15.75" customHeight="1">
      <c r="A24" s="141"/>
      <c r="B24" s="151" t="s">
        <v>280</v>
      </c>
      <c r="C24" s="147">
        <f>SUM(C21:C23)</f>
        <v>12341253</v>
      </c>
      <c r="D24" s="147">
        <f>SUM(D21:D23)</f>
        <v>14009463</v>
      </c>
      <c r="E24" s="147">
        <f>+D24-C24</f>
        <v>1668210</v>
      </c>
      <c r="F24" s="148">
        <f>IF(C24=0,0,E24/C24)</f>
        <v>0.1351734706354371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256</v>
      </c>
      <c r="B26" s="145" t="s">
        <v>281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282</v>
      </c>
      <c r="C27" s="146">
        <v>781878</v>
      </c>
      <c r="D27" s="146">
        <v>306239</v>
      </c>
      <c r="E27" s="146">
        <f>+D27-C27</f>
        <v>-475639</v>
      </c>
      <c r="F27" s="150">
        <f>IF(C27=0,0,E27/C27)</f>
        <v>-0.6083289208802396</v>
      </c>
    </row>
    <row r="28" spans="1:6" ht="15" customHeight="1">
      <c r="A28" s="141">
        <v>2</v>
      </c>
      <c r="B28" s="149" t="s">
        <v>283</v>
      </c>
      <c r="C28" s="146">
        <v>647422</v>
      </c>
      <c r="D28" s="146">
        <v>621077</v>
      </c>
      <c r="E28" s="146">
        <f>+D28-C28</f>
        <v>-26345</v>
      </c>
      <c r="F28" s="150">
        <f>IF(C28=0,0,E28/C28)</f>
        <v>-0.0406921606000414</v>
      </c>
    </row>
    <row r="29" spans="1:6" ht="15" customHeight="1">
      <c r="A29" s="141">
        <v>3</v>
      </c>
      <c r="B29" s="149" t="s">
        <v>284</v>
      </c>
      <c r="C29" s="146">
        <v>647422</v>
      </c>
      <c r="D29" s="146">
        <v>167456</v>
      </c>
      <c r="E29" s="146">
        <f>+D29-C29</f>
        <v>-479966</v>
      </c>
      <c r="F29" s="150">
        <f>IF(C29=0,0,E29/C29)</f>
        <v>-0.7413495370870932</v>
      </c>
    </row>
    <row r="30" spans="1:7" ht="15.75" customHeight="1">
      <c r="A30" s="141"/>
      <c r="B30" s="151" t="s">
        <v>285</v>
      </c>
      <c r="C30" s="147">
        <f>SUM(C27:C29)</f>
        <v>2076722</v>
      </c>
      <c r="D30" s="147">
        <f>SUM(D27:D29)</f>
        <v>1094772</v>
      </c>
      <c r="E30" s="147">
        <f>+D30-C30</f>
        <v>-981950</v>
      </c>
      <c r="F30" s="148">
        <f>IF(C30=0,0,E30/C30)</f>
        <v>-0.4728365183206996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286</v>
      </c>
      <c r="B32" s="145" t="s">
        <v>287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288</v>
      </c>
      <c r="C33" s="146">
        <v>11060608</v>
      </c>
      <c r="D33" s="146">
        <v>10183098</v>
      </c>
      <c r="E33" s="146">
        <f>+D33-C33</f>
        <v>-877510</v>
      </c>
      <c r="F33" s="150">
        <f>IF(C33=0,0,E33/C33)</f>
        <v>-0.0793365066368865</v>
      </c>
    </row>
    <row r="34" spans="1:6" ht="15" customHeight="1">
      <c r="A34" s="141">
        <v>2</v>
      </c>
      <c r="B34" s="149" t="s">
        <v>289</v>
      </c>
      <c r="C34" s="146">
        <v>2263109</v>
      </c>
      <c r="D34" s="146">
        <v>1979118</v>
      </c>
      <c r="E34" s="146">
        <f>+D34-C34</f>
        <v>-283991</v>
      </c>
      <c r="F34" s="150">
        <f>IF(C34=0,0,E34/C34)</f>
        <v>-0.12548710645399758</v>
      </c>
    </row>
    <row r="35" spans="1:7" ht="15.75" customHeight="1">
      <c r="A35" s="141"/>
      <c r="B35" s="151" t="s">
        <v>290</v>
      </c>
      <c r="C35" s="147">
        <f>SUM(C33:C34)</f>
        <v>13323717</v>
      </c>
      <c r="D35" s="147">
        <f>SUM(D33:D34)</f>
        <v>12162216</v>
      </c>
      <c r="E35" s="147">
        <f>+D35-C35</f>
        <v>-1161501</v>
      </c>
      <c r="F35" s="148">
        <f>IF(C35=0,0,E35/C35)</f>
        <v>-0.08717544811256499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291</v>
      </c>
      <c r="B37" s="145" t="s">
        <v>292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293</v>
      </c>
      <c r="C38" s="146">
        <v>1445161</v>
      </c>
      <c r="D38" s="146">
        <v>1437426</v>
      </c>
      <c r="E38" s="146">
        <f>+D38-C38</f>
        <v>-7735</v>
      </c>
      <c r="F38" s="150">
        <f>IF(C38=0,0,E38/C38)</f>
        <v>-0.005352344825247844</v>
      </c>
    </row>
    <row r="39" spans="1:6" ht="15" customHeight="1">
      <c r="A39" s="141">
        <v>2</v>
      </c>
      <c r="B39" s="149" t="s">
        <v>294</v>
      </c>
      <c r="C39" s="146">
        <v>2523179</v>
      </c>
      <c r="D39" s="146">
        <v>2526854</v>
      </c>
      <c r="E39" s="146">
        <f>+D39-C39</f>
        <v>3675</v>
      </c>
      <c r="F39" s="150">
        <f>IF(C39=0,0,E39/C39)</f>
        <v>0.0014564959521302294</v>
      </c>
    </row>
    <row r="40" spans="1:6" ht="15" customHeight="1">
      <c r="A40" s="141">
        <v>3</v>
      </c>
      <c r="B40" s="149" t="s">
        <v>295</v>
      </c>
      <c r="C40" s="146">
        <v>9526</v>
      </c>
      <c r="D40" s="146">
        <v>9526</v>
      </c>
      <c r="E40" s="146">
        <f>+D40-C40</f>
        <v>0</v>
      </c>
      <c r="F40" s="150">
        <f>IF(C40=0,0,E40/C40)</f>
        <v>0</v>
      </c>
    </row>
    <row r="41" spans="1:7" ht="15.75" customHeight="1">
      <c r="A41" s="141"/>
      <c r="B41" s="151" t="s">
        <v>296</v>
      </c>
      <c r="C41" s="147">
        <f>SUM(C38:C40)</f>
        <v>3977866</v>
      </c>
      <c r="D41" s="147">
        <f>SUM(D38:D40)</f>
        <v>3973806</v>
      </c>
      <c r="E41" s="147">
        <f>+D41-C41</f>
        <v>-4060</v>
      </c>
      <c r="F41" s="148">
        <f>IF(C41=0,0,E41/C41)</f>
        <v>-0.0010206477543486885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297</v>
      </c>
      <c r="B43" s="145" t="s">
        <v>298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200</v>
      </c>
      <c r="C44" s="146">
        <v>4873574</v>
      </c>
      <c r="D44" s="146">
        <v>6998451</v>
      </c>
      <c r="E44" s="146">
        <f>+D44-C44</f>
        <v>2124877</v>
      </c>
      <c r="F44" s="150">
        <f>IF(C44=0,0,E44/C44)</f>
        <v>0.4359997406420832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299</v>
      </c>
      <c r="B46" s="145" t="s">
        <v>300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301</v>
      </c>
      <c r="C47" s="146">
        <v>337777</v>
      </c>
      <c r="D47" s="146">
        <v>280961</v>
      </c>
      <c r="E47" s="146">
        <f>+D47-C47</f>
        <v>-56816</v>
      </c>
      <c r="F47" s="150">
        <f>IF(C47=0,0,E47/C47)</f>
        <v>-0.16820565047353728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302</v>
      </c>
      <c r="B49" s="145" t="s">
        <v>303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304</v>
      </c>
      <c r="C50" s="146">
        <v>1188607</v>
      </c>
      <c r="D50" s="146">
        <v>1524271</v>
      </c>
      <c r="E50" s="146">
        <f>+D50-C50</f>
        <v>335664</v>
      </c>
      <c r="F50" s="150">
        <f>IF(C50=0,0,E50/C50)</f>
        <v>0.2824011637151725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305</v>
      </c>
      <c r="B52" s="145" t="s">
        <v>306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307</v>
      </c>
      <c r="C53" s="146">
        <v>61749</v>
      </c>
      <c r="D53" s="146">
        <v>60420</v>
      </c>
      <c r="E53" s="146">
        <f aca="true" t="shared" si="0" ref="E53:E59">+D53-C53</f>
        <v>-1329</v>
      </c>
      <c r="F53" s="150">
        <f aca="true" t="shared" si="1" ref="F53:F59">IF(C53=0,0,E53/C53)</f>
        <v>-0.021522615750862364</v>
      </c>
    </row>
    <row r="54" spans="1:6" ht="15" customHeight="1">
      <c r="A54" s="141">
        <v>2</v>
      </c>
      <c r="B54" s="149" t="s">
        <v>308</v>
      </c>
      <c r="C54" s="146">
        <v>984621</v>
      </c>
      <c r="D54" s="146">
        <v>454680</v>
      </c>
      <c r="E54" s="146">
        <f t="shared" si="0"/>
        <v>-529941</v>
      </c>
      <c r="F54" s="150">
        <f t="shared" si="1"/>
        <v>-0.538218258598994</v>
      </c>
    </row>
    <row r="55" spans="1:6" ht="15" customHeight="1">
      <c r="A55" s="141">
        <v>3</v>
      </c>
      <c r="B55" s="149" t="s">
        <v>309</v>
      </c>
      <c r="C55" s="146">
        <v>21530</v>
      </c>
      <c r="D55" s="146">
        <v>33206</v>
      </c>
      <c r="E55" s="146">
        <f t="shared" si="0"/>
        <v>11676</v>
      </c>
      <c r="F55" s="150">
        <f t="shared" si="1"/>
        <v>0.5423130515559684</v>
      </c>
    </row>
    <row r="56" spans="1:6" ht="15" customHeight="1">
      <c r="A56" s="141">
        <v>4</v>
      </c>
      <c r="B56" s="149" t="s">
        <v>310</v>
      </c>
      <c r="C56" s="146">
        <v>1105082</v>
      </c>
      <c r="D56" s="146">
        <v>1057250</v>
      </c>
      <c r="E56" s="146">
        <f t="shared" si="0"/>
        <v>-47832</v>
      </c>
      <c r="F56" s="150">
        <f t="shared" si="1"/>
        <v>-0.04328366582751325</v>
      </c>
    </row>
    <row r="57" spans="1:6" ht="15" customHeight="1">
      <c r="A57" s="141">
        <v>5</v>
      </c>
      <c r="B57" s="149" t="s">
        <v>311</v>
      </c>
      <c r="C57" s="146">
        <v>68362</v>
      </c>
      <c r="D57" s="146">
        <v>69045</v>
      </c>
      <c r="E57" s="146">
        <f t="shared" si="0"/>
        <v>683</v>
      </c>
      <c r="F57" s="150">
        <f t="shared" si="1"/>
        <v>0.009990930633977942</v>
      </c>
    </row>
    <row r="58" spans="1:6" ht="15" customHeight="1">
      <c r="A58" s="141">
        <v>6</v>
      </c>
      <c r="B58" s="149" t="s">
        <v>312</v>
      </c>
      <c r="C58" s="146">
        <v>34215</v>
      </c>
      <c r="D58" s="146">
        <v>38794</v>
      </c>
      <c r="E58" s="146">
        <f t="shared" si="0"/>
        <v>4579</v>
      </c>
      <c r="F58" s="150">
        <f t="shared" si="1"/>
        <v>0.13383019143650446</v>
      </c>
    </row>
    <row r="59" spans="1:7" ht="15.75" customHeight="1">
      <c r="A59" s="141"/>
      <c r="B59" s="151" t="s">
        <v>313</v>
      </c>
      <c r="C59" s="147">
        <f>SUM(C53:C58)</f>
        <v>2275559</v>
      </c>
      <c r="D59" s="147">
        <f>SUM(D53:D58)</f>
        <v>1713395</v>
      </c>
      <c r="E59" s="147">
        <f t="shared" si="0"/>
        <v>-562164</v>
      </c>
      <c r="F59" s="148">
        <f t="shared" si="1"/>
        <v>-0.24704435261841157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314</v>
      </c>
      <c r="B61" s="145" t="s">
        <v>315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316</v>
      </c>
      <c r="C62" s="146">
        <v>178385</v>
      </c>
      <c r="D62" s="146">
        <v>118524</v>
      </c>
      <c r="E62" s="146">
        <f aca="true" t="shared" si="2" ref="E62:E78">+D62-C62</f>
        <v>-59861</v>
      </c>
      <c r="F62" s="150">
        <f aca="true" t="shared" si="3" ref="F62:F78">IF(C62=0,0,E62/C62)</f>
        <v>-0.33557193710233485</v>
      </c>
    </row>
    <row r="63" spans="1:6" ht="15" customHeight="1">
      <c r="A63" s="141">
        <v>2</v>
      </c>
      <c r="B63" s="149" t="s">
        <v>317</v>
      </c>
      <c r="C63" s="146">
        <v>70664</v>
      </c>
      <c r="D63" s="146">
        <v>126276</v>
      </c>
      <c r="E63" s="146">
        <f t="shared" si="2"/>
        <v>55612</v>
      </c>
      <c r="F63" s="150">
        <f t="shared" si="3"/>
        <v>0.7869919619608287</v>
      </c>
    </row>
    <row r="64" spans="1:6" ht="15" customHeight="1">
      <c r="A64" s="141">
        <v>3</v>
      </c>
      <c r="B64" s="149" t="s">
        <v>318</v>
      </c>
      <c r="C64" s="146">
        <v>401448</v>
      </c>
      <c r="D64" s="146">
        <v>315428</v>
      </c>
      <c r="E64" s="146">
        <f t="shared" si="2"/>
        <v>-86020</v>
      </c>
      <c r="F64" s="150">
        <f t="shared" si="3"/>
        <v>-0.2142743269364899</v>
      </c>
    </row>
    <row r="65" spans="1:6" ht="15" customHeight="1">
      <c r="A65" s="141">
        <v>4</v>
      </c>
      <c r="B65" s="149" t="s">
        <v>319</v>
      </c>
      <c r="C65" s="146">
        <v>188639</v>
      </c>
      <c r="D65" s="146">
        <v>193914</v>
      </c>
      <c r="E65" s="146">
        <f t="shared" si="2"/>
        <v>5275</v>
      </c>
      <c r="F65" s="150">
        <f t="shared" si="3"/>
        <v>0.027963464607000672</v>
      </c>
    </row>
    <row r="66" spans="1:6" ht="15" customHeight="1">
      <c r="A66" s="141">
        <v>5</v>
      </c>
      <c r="B66" s="149" t="s">
        <v>320</v>
      </c>
      <c r="C66" s="146">
        <v>213026</v>
      </c>
      <c r="D66" s="146">
        <v>222618</v>
      </c>
      <c r="E66" s="146">
        <f t="shared" si="2"/>
        <v>9592</v>
      </c>
      <c r="F66" s="150">
        <f t="shared" si="3"/>
        <v>0.045027367551378705</v>
      </c>
    </row>
    <row r="67" spans="1:6" ht="15" customHeight="1">
      <c r="A67" s="141">
        <v>6</v>
      </c>
      <c r="B67" s="149" t="s">
        <v>321</v>
      </c>
      <c r="C67" s="146">
        <v>138604</v>
      </c>
      <c r="D67" s="146">
        <v>128331</v>
      </c>
      <c r="E67" s="146">
        <f t="shared" si="2"/>
        <v>-10273</v>
      </c>
      <c r="F67" s="150">
        <f t="shared" si="3"/>
        <v>-0.07411763008282589</v>
      </c>
    </row>
    <row r="68" spans="1:6" ht="15" customHeight="1">
      <c r="A68" s="141">
        <v>7</v>
      </c>
      <c r="B68" s="149" t="s">
        <v>322</v>
      </c>
      <c r="C68" s="146">
        <v>687797</v>
      </c>
      <c r="D68" s="146">
        <v>293939</v>
      </c>
      <c r="E68" s="146">
        <f t="shared" si="2"/>
        <v>-393858</v>
      </c>
      <c r="F68" s="150">
        <f t="shared" si="3"/>
        <v>-0.5726369844590773</v>
      </c>
    </row>
    <row r="69" spans="1:6" ht="15" customHeight="1">
      <c r="A69" s="141">
        <v>8</v>
      </c>
      <c r="B69" s="149" t="s">
        <v>323</v>
      </c>
      <c r="C69" s="146">
        <v>249320</v>
      </c>
      <c r="D69" s="146">
        <v>239368</v>
      </c>
      <c r="E69" s="146">
        <f t="shared" si="2"/>
        <v>-9952</v>
      </c>
      <c r="F69" s="150">
        <f t="shared" si="3"/>
        <v>-0.03991657307877427</v>
      </c>
    </row>
    <row r="70" spans="1:6" ht="15" customHeight="1">
      <c r="A70" s="141">
        <v>9</v>
      </c>
      <c r="B70" s="149" t="s">
        <v>324</v>
      </c>
      <c r="C70" s="146">
        <v>34687</v>
      </c>
      <c r="D70" s="146">
        <v>19115</v>
      </c>
      <c r="E70" s="146">
        <f t="shared" si="2"/>
        <v>-15572</v>
      </c>
      <c r="F70" s="150">
        <f t="shared" si="3"/>
        <v>-0.4489289935710785</v>
      </c>
    </row>
    <row r="71" spans="1:6" ht="15" customHeight="1">
      <c r="A71" s="141">
        <v>10</v>
      </c>
      <c r="B71" s="149" t="s">
        <v>325</v>
      </c>
      <c r="C71" s="146">
        <v>126374</v>
      </c>
      <c r="D71" s="146">
        <v>29999</v>
      </c>
      <c r="E71" s="146">
        <f t="shared" si="2"/>
        <v>-96375</v>
      </c>
      <c r="F71" s="150">
        <f t="shared" si="3"/>
        <v>-0.7626173105227341</v>
      </c>
    </row>
    <row r="72" spans="1:6" ht="15" customHeight="1">
      <c r="A72" s="141">
        <v>11</v>
      </c>
      <c r="B72" s="149" t="s">
        <v>326</v>
      </c>
      <c r="C72" s="146">
        <v>0</v>
      </c>
      <c r="D72" s="146">
        <v>0</v>
      </c>
      <c r="E72" s="146">
        <f t="shared" si="2"/>
        <v>0</v>
      </c>
      <c r="F72" s="150">
        <f t="shared" si="3"/>
        <v>0</v>
      </c>
    </row>
    <row r="73" spans="1:6" ht="15" customHeight="1">
      <c r="A73" s="141">
        <v>12</v>
      </c>
      <c r="B73" s="149" t="s">
        <v>327</v>
      </c>
      <c r="C73" s="146">
        <v>3850562</v>
      </c>
      <c r="D73" s="146">
        <v>1847777</v>
      </c>
      <c r="E73" s="146">
        <f t="shared" si="2"/>
        <v>-2002785</v>
      </c>
      <c r="F73" s="150">
        <f t="shared" si="3"/>
        <v>-0.5201279709299578</v>
      </c>
    </row>
    <row r="74" spans="1:6" ht="15" customHeight="1">
      <c r="A74" s="141">
        <v>13</v>
      </c>
      <c r="B74" s="149" t="s">
        <v>328</v>
      </c>
      <c r="C74" s="146">
        <v>150139</v>
      </c>
      <c r="D74" s="146">
        <v>112144</v>
      </c>
      <c r="E74" s="146">
        <f t="shared" si="2"/>
        <v>-37995</v>
      </c>
      <c r="F74" s="150">
        <f t="shared" si="3"/>
        <v>-0.2530654926434837</v>
      </c>
    </row>
    <row r="75" spans="1:6" ht="15" customHeight="1">
      <c r="A75" s="141">
        <v>14</v>
      </c>
      <c r="B75" s="149" t="s">
        <v>329</v>
      </c>
      <c r="C75" s="146">
        <v>99583</v>
      </c>
      <c r="D75" s="146">
        <v>48956</v>
      </c>
      <c r="E75" s="146">
        <f t="shared" si="2"/>
        <v>-50627</v>
      </c>
      <c r="F75" s="150">
        <f t="shared" si="3"/>
        <v>-0.5083899862426318</v>
      </c>
    </row>
    <row r="76" spans="1:6" ht="15" customHeight="1">
      <c r="A76" s="141">
        <v>15</v>
      </c>
      <c r="B76" s="149" t="s">
        <v>330</v>
      </c>
      <c r="C76" s="146">
        <v>330012</v>
      </c>
      <c r="D76" s="146">
        <v>155479</v>
      </c>
      <c r="E76" s="146">
        <f t="shared" si="2"/>
        <v>-174533</v>
      </c>
      <c r="F76" s="150">
        <f t="shared" si="3"/>
        <v>-0.5288686472007078</v>
      </c>
    </row>
    <row r="77" spans="1:6" ht="15" customHeight="1">
      <c r="A77" s="141">
        <v>16</v>
      </c>
      <c r="B77" s="149" t="s">
        <v>331</v>
      </c>
      <c r="C77" s="146">
        <v>645438</v>
      </c>
      <c r="D77" s="146">
        <v>3988027</v>
      </c>
      <c r="E77" s="146">
        <f t="shared" si="2"/>
        <v>3342589</v>
      </c>
      <c r="F77" s="150">
        <f t="shared" si="3"/>
        <v>5.1787917662114715</v>
      </c>
    </row>
    <row r="78" spans="1:7" ht="15.75" customHeight="1">
      <c r="A78" s="141"/>
      <c r="B78" s="151" t="s">
        <v>332</v>
      </c>
      <c r="C78" s="147">
        <f>SUM(C62:C77)</f>
        <v>7364678</v>
      </c>
      <c r="D78" s="147">
        <f>SUM(D62:D77)</f>
        <v>7839895</v>
      </c>
      <c r="E78" s="147">
        <f t="shared" si="2"/>
        <v>475217</v>
      </c>
      <c r="F78" s="148">
        <f t="shared" si="3"/>
        <v>0.06452651426172332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333</v>
      </c>
      <c r="B80" s="145" t="s">
        <v>334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335</v>
      </c>
      <c r="C81" s="146">
        <v>1472681</v>
      </c>
      <c r="D81" s="146">
        <v>1717331</v>
      </c>
      <c r="E81" s="146">
        <f>+D81-C81</f>
        <v>244650</v>
      </c>
      <c r="F81" s="150">
        <f>IF(C81=0,0,E81/C81)</f>
        <v>0.16612558999538937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336</v>
      </c>
      <c r="C83" s="147">
        <f>+C81+C78+C59+C50+C47+C44+C41+C35+C30+C24+C18</f>
        <v>85362191</v>
      </c>
      <c r="D83" s="147">
        <f>+D81+D78+D59+D50+D47+D44+D41+D35+D30+D24+D18</f>
        <v>88487473</v>
      </c>
      <c r="E83" s="147">
        <f>+D83-C83</f>
        <v>3125282</v>
      </c>
      <c r="F83" s="148">
        <f>IF(C83=0,0,E83/C83)</f>
        <v>0.03661201714000054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337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159</v>
      </c>
      <c r="B88" s="142" t="s">
        <v>338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225</v>
      </c>
      <c r="B90" s="145" t="s">
        <v>339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340</v>
      </c>
      <c r="C91" s="146">
        <v>3275272</v>
      </c>
      <c r="D91" s="146">
        <v>2312432</v>
      </c>
      <c r="E91" s="146">
        <f aca="true" t="shared" si="4" ref="E91:E109">D91-C91</f>
        <v>-962840</v>
      </c>
      <c r="F91" s="150">
        <f aca="true" t="shared" si="5" ref="F91:F109">IF(C91=0,0,E91/C91)</f>
        <v>-0.2939725311363453</v>
      </c>
      <c r="G91" s="155"/>
    </row>
    <row r="92" spans="1:7" ht="15" customHeight="1">
      <c r="A92" s="141">
        <v>2</v>
      </c>
      <c r="B92" s="161" t="s">
        <v>341</v>
      </c>
      <c r="C92" s="146">
        <v>641476</v>
      </c>
      <c r="D92" s="146">
        <v>791366</v>
      </c>
      <c r="E92" s="146">
        <f t="shared" si="4"/>
        <v>149890</v>
      </c>
      <c r="F92" s="150">
        <f t="shared" si="5"/>
        <v>0.23366423685375604</v>
      </c>
      <c r="G92" s="155"/>
    </row>
    <row r="93" spans="1:7" ht="15" customHeight="1">
      <c r="A93" s="141">
        <v>3</v>
      </c>
      <c r="B93" s="161" t="s">
        <v>342</v>
      </c>
      <c r="C93" s="146">
        <v>1399156</v>
      </c>
      <c r="D93" s="146">
        <v>1730839</v>
      </c>
      <c r="E93" s="146">
        <f t="shared" si="4"/>
        <v>331683</v>
      </c>
      <c r="F93" s="150">
        <f t="shared" si="5"/>
        <v>0.23705934148872607</v>
      </c>
      <c r="G93" s="155"/>
    </row>
    <row r="94" spans="1:7" ht="15" customHeight="1">
      <c r="A94" s="141">
        <v>4</v>
      </c>
      <c r="B94" s="161" t="s">
        <v>343</v>
      </c>
      <c r="C94" s="146">
        <v>540002</v>
      </c>
      <c r="D94" s="146">
        <v>708612</v>
      </c>
      <c r="E94" s="146">
        <f t="shared" si="4"/>
        <v>168610</v>
      </c>
      <c r="F94" s="150">
        <f t="shared" si="5"/>
        <v>0.31223958429783594</v>
      </c>
      <c r="G94" s="155"/>
    </row>
    <row r="95" spans="1:7" ht="15" customHeight="1">
      <c r="A95" s="141">
        <v>5</v>
      </c>
      <c r="B95" s="161" t="s">
        <v>344</v>
      </c>
      <c r="C95" s="146">
        <v>1161545</v>
      </c>
      <c r="D95" s="146">
        <v>1532804</v>
      </c>
      <c r="E95" s="146">
        <f t="shared" si="4"/>
        <v>371259</v>
      </c>
      <c r="F95" s="150">
        <f t="shared" si="5"/>
        <v>0.31962515442793865</v>
      </c>
      <c r="G95" s="155"/>
    </row>
    <row r="96" spans="1:7" ht="15" customHeight="1">
      <c r="A96" s="141">
        <v>6</v>
      </c>
      <c r="B96" s="161" t="s">
        <v>345</v>
      </c>
      <c r="C96" s="146">
        <v>437418</v>
      </c>
      <c r="D96" s="146">
        <v>535459</v>
      </c>
      <c r="E96" s="146">
        <f t="shared" si="4"/>
        <v>98041</v>
      </c>
      <c r="F96" s="150">
        <f t="shared" si="5"/>
        <v>0.22413572372421803</v>
      </c>
      <c r="G96" s="155"/>
    </row>
    <row r="97" spans="1:7" ht="15" customHeight="1">
      <c r="A97" s="141">
        <v>7</v>
      </c>
      <c r="B97" s="161" t="s">
        <v>346</v>
      </c>
      <c r="C97" s="146">
        <v>594016</v>
      </c>
      <c r="D97" s="146">
        <v>419684</v>
      </c>
      <c r="E97" s="146">
        <f t="shared" si="4"/>
        <v>-174332</v>
      </c>
      <c r="F97" s="150">
        <f t="shared" si="5"/>
        <v>-0.2934803102946722</v>
      </c>
      <c r="G97" s="155"/>
    </row>
    <row r="98" spans="1:7" ht="15" customHeight="1">
      <c r="A98" s="141">
        <v>8</v>
      </c>
      <c r="B98" s="161" t="s">
        <v>347</v>
      </c>
      <c r="C98" s="146">
        <v>251943</v>
      </c>
      <c r="D98" s="146">
        <v>253775</v>
      </c>
      <c r="E98" s="146">
        <f t="shared" si="4"/>
        <v>1832</v>
      </c>
      <c r="F98" s="150">
        <f t="shared" si="5"/>
        <v>0.007271486010724648</v>
      </c>
      <c r="G98" s="155"/>
    </row>
    <row r="99" spans="1:7" ht="15" customHeight="1">
      <c r="A99" s="141">
        <v>9</v>
      </c>
      <c r="B99" s="161" t="s">
        <v>348</v>
      </c>
      <c r="C99" s="146">
        <v>250062</v>
      </c>
      <c r="D99" s="146">
        <v>344641</v>
      </c>
      <c r="E99" s="146">
        <f t="shared" si="4"/>
        <v>94579</v>
      </c>
      <c r="F99" s="150">
        <f t="shared" si="5"/>
        <v>0.37822220089417824</v>
      </c>
      <c r="G99" s="155"/>
    </row>
    <row r="100" spans="1:7" ht="15" customHeight="1">
      <c r="A100" s="141">
        <v>10</v>
      </c>
      <c r="B100" s="161" t="s">
        <v>349</v>
      </c>
      <c r="C100" s="146">
        <v>1885434</v>
      </c>
      <c r="D100" s="146">
        <v>2477607</v>
      </c>
      <c r="E100" s="146">
        <f t="shared" si="4"/>
        <v>592173</v>
      </c>
      <c r="F100" s="150">
        <f t="shared" si="5"/>
        <v>0.31407781974866267</v>
      </c>
      <c r="G100" s="155"/>
    </row>
    <row r="101" spans="1:7" ht="15" customHeight="1">
      <c r="A101" s="141">
        <v>11</v>
      </c>
      <c r="B101" s="161" t="s">
        <v>350</v>
      </c>
      <c r="C101" s="146">
        <v>1209648</v>
      </c>
      <c r="D101" s="146">
        <v>1574723</v>
      </c>
      <c r="E101" s="146">
        <f t="shared" si="4"/>
        <v>365075</v>
      </c>
      <c r="F101" s="150">
        <f t="shared" si="5"/>
        <v>0.30180267317434495</v>
      </c>
      <c r="G101" s="155"/>
    </row>
    <row r="102" spans="1:7" ht="15" customHeight="1">
      <c r="A102" s="141">
        <v>12</v>
      </c>
      <c r="B102" s="161" t="s">
        <v>351</v>
      </c>
      <c r="C102" s="146">
        <v>122926</v>
      </c>
      <c r="D102" s="146">
        <v>150895</v>
      </c>
      <c r="E102" s="146">
        <f t="shared" si="4"/>
        <v>27969</v>
      </c>
      <c r="F102" s="150">
        <f t="shared" si="5"/>
        <v>0.22752713014333828</v>
      </c>
      <c r="G102" s="155"/>
    </row>
    <row r="103" spans="1:7" ht="15" customHeight="1">
      <c r="A103" s="141">
        <v>13</v>
      </c>
      <c r="B103" s="161" t="s">
        <v>352</v>
      </c>
      <c r="C103" s="146">
        <v>2601841</v>
      </c>
      <c r="D103" s="146">
        <v>3005955</v>
      </c>
      <c r="E103" s="146">
        <f t="shared" si="4"/>
        <v>404114</v>
      </c>
      <c r="F103" s="150">
        <f t="shared" si="5"/>
        <v>0.15531848410414012</v>
      </c>
      <c r="G103" s="155"/>
    </row>
    <row r="104" spans="1:7" ht="15" customHeight="1">
      <c r="A104" s="141">
        <v>14</v>
      </c>
      <c r="B104" s="161" t="s">
        <v>353</v>
      </c>
      <c r="C104" s="146">
        <v>255675</v>
      </c>
      <c r="D104" s="146">
        <v>265425</v>
      </c>
      <c r="E104" s="146">
        <f t="shared" si="4"/>
        <v>9750</v>
      </c>
      <c r="F104" s="150">
        <f t="shared" si="5"/>
        <v>0.038134350249339984</v>
      </c>
      <c r="G104" s="155"/>
    </row>
    <row r="105" spans="1:7" ht="15" customHeight="1">
      <c r="A105" s="141">
        <v>15</v>
      </c>
      <c r="B105" s="161" t="s">
        <v>322</v>
      </c>
      <c r="C105" s="146">
        <v>824109</v>
      </c>
      <c r="D105" s="146">
        <v>1170546</v>
      </c>
      <c r="E105" s="146">
        <f t="shared" si="4"/>
        <v>346437</v>
      </c>
      <c r="F105" s="150">
        <f t="shared" si="5"/>
        <v>0.42037764421939333</v>
      </c>
      <c r="G105" s="155"/>
    </row>
    <row r="106" spans="1:7" ht="15" customHeight="1">
      <c r="A106" s="141">
        <v>16</v>
      </c>
      <c r="B106" s="161" t="s">
        <v>354</v>
      </c>
      <c r="C106" s="146">
        <v>332736</v>
      </c>
      <c r="D106" s="146">
        <v>446730</v>
      </c>
      <c r="E106" s="146">
        <f t="shared" si="4"/>
        <v>113994</v>
      </c>
      <c r="F106" s="150">
        <f t="shared" si="5"/>
        <v>0.34259593190998266</v>
      </c>
      <c r="G106" s="155"/>
    </row>
    <row r="107" spans="1:7" ht="15" customHeight="1">
      <c r="A107" s="141">
        <v>17</v>
      </c>
      <c r="B107" s="161" t="s">
        <v>355</v>
      </c>
      <c r="C107" s="146">
        <v>2927960</v>
      </c>
      <c r="D107" s="146">
        <v>3162595</v>
      </c>
      <c r="E107" s="146">
        <f t="shared" si="4"/>
        <v>234635</v>
      </c>
      <c r="F107" s="150">
        <f t="shared" si="5"/>
        <v>0.08013599912567111</v>
      </c>
      <c r="G107" s="155"/>
    </row>
    <row r="108" spans="1:7" ht="15" customHeight="1">
      <c r="A108" s="141">
        <v>18</v>
      </c>
      <c r="B108" s="161" t="s">
        <v>356</v>
      </c>
      <c r="C108" s="146">
        <v>21802891</v>
      </c>
      <c r="D108" s="146">
        <v>10727590</v>
      </c>
      <c r="E108" s="146">
        <f t="shared" si="4"/>
        <v>-11075301</v>
      </c>
      <c r="F108" s="150">
        <f t="shared" si="5"/>
        <v>-0.5079739654709093</v>
      </c>
      <c r="G108" s="155"/>
    </row>
    <row r="109" spans="1:7" ht="15.75" customHeight="1">
      <c r="A109" s="141"/>
      <c r="B109" s="154" t="s">
        <v>357</v>
      </c>
      <c r="C109" s="147">
        <f>SUM(C91:C108)</f>
        <v>40514110</v>
      </c>
      <c r="D109" s="147">
        <f>SUM(D91:D108)</f>
        <v>31611678</v>
      </c>
      <c r="E109" s="147">
        <f t="shared" si="4"/>
        <v>-8902432</v>
      </c>
      <c r="F109" s="148">
        <f t="shared" si="5"/>
        <v>-0.2197365806628851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239</v>
      </c>
      <c r="B111" s="145" t="s">
        <v>358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359</v>
      </c>
      <c r="C112" s="146">
        <v>676594</v>
      </c>
      <c r="D112" s="146">
        <v>844711</v>
      </c>
      <c r="E112" s="146">
        <f aca="true" t="shared" si="6" ref="E112:E118">D112-C112</f>
        <v>168117</v>
      </c>
      <c r="F112" s="150">
        <f aca="true" t="shared" si="7" ref="F112:F118">IF(C112=0,0,E112/C112)</f>
        <v>0.24847545204361848</v>
      </c>
      <c r="G112" s="155"/>
    </row>
    <row r="113" spans="1:7" ht="15" customHeight="1">
      <c r="A113" s="141">
        <v>2</v>
      </c>
      <c r="B113" s="161" t="s">
        <v>360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>
      <c r="A114" s="141">
        <v>3</v>
      </c>
      <c r="B114" s="161" t="s">
        <v>361</v>
      </c>
      <c r="C114" s="146">
        <v>1334548</v>
      </c>
      <c r="D114" s="146">
        <v>1728828</v>
      </c>
      <c r="E114" s="146">
        <f t="shared" si="6"/>
        <v>394280</v>
      </c>
      <c r="F114" s="150">
        <f t="shared" si="7"/>
        <v>0.2954408533825685</v>
      </c>
      <c r="G114" s="155"/>
    </row>
    <row r="115" spans="1:7" ht="15" customHeight="1">
      <c r="A115" s="141">
        <v>4</v>
      </c>
      <c r="B115" s="161" t="s">
        <v>362</v>
      </c>
      <c r="C115" s="146">
        <v>1014654</v>
      </c>
      <c r="D115" s="146">
        <v>1340597</v>
      </c>
      <c r="E115" s="146">
        <f t="shared" si="6"/>
        <v>325943</v>
      </c>
      <c r="F115" s="150">
        <f t="shared" si="7"/>
        <v>0.32123561332237394</v>
      </c>
      <c r="G115" s="155"/>
    </row>
    <row r="116" spans="1:7" ht="15" customHeight="1">
      <c r="A116" s="141">
        <v>5</v>
      </c>
      <c r="B116" s="161" t="s">
        <v>363</v>
      </c>
      <c r="C116" s="146">
        <v>336071</v>
      </c>
      <c r="D116" s="146">
        <v>445418</v>
      </c>
      <c r="E116" s="146">
        <f t="shared" si="6"/>
        <v>109347</v>
      </c>
      <c r="F116" s="150">
        <f t="shared" si="7"/>
        <v>0.3253687464851177</v>
      </c>
      <c r="G116" s="155"/>
    </row>
    <row r="117" spans="1:7" ht="15" customHeight="1">
      <c r="A117" s="141">
        <v>6</v>
      </c>
      <c r="B117" s="161" t="s">
        <v>364</v>
      </c>
      <c r="C117" s="146">
        <v>0</v>
      </c>
      <c r="D117" s="146">
        <v>0</v>
      </c>
      <c r="E117" s="146">
        <f t="shared" si="6"/>
        <v>0</v>
      </c>
      <c r="F117" s="150">
        <f t="shared" si="7"/>
        <v>0</v>
      </c>
      <c r="G117" s="155"/>
    </row>
    <row r="118" spans="1:7" ht="15.75" customHeight="1">
      <c r="A118" s="141"/>
      <c r="B118" s="154" t="s">
        <v>365</v>
      </c>
      <c r="C118" s="147">
        <f>SUM(C112:C117)</f>
        <v>3361867</v>
      </c>
      <c r="D118" s="147">
        <f>SUM(D112:D117)</f>
        <v>4359554</v>
      </c>
      <c r="E118" s="147">
        <f t="shared" si="6"/>
        <v>997687</v>
      </c>
      <c r="F118" s="148">
        <f t="shared" si="7"/>
        <v>0.29676575545671496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256</v>
      </c>
      <c r="B120" s="145" t="s">
        <v>366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367</v>
      </c>
      <c r="C121" s="146">
        <v>1964144</v>
      </c>
      <c r="D121" s="146">
        <v>2517466</v>
      </c>
      <c r="E121" s="146">
        <f aca="true" t="shared" si="8" ref="E121:E155">D121-C121</f>
        <v>553322</v>
      </c>
      <c r="F121" s="150">
        <f aca="true" t="shared" si="9" ref="F121:F155">IF(C121=0,0,E121/C121)</f>
        <v>0.2817115242059645</v>
      </c>
      <c r="G121" s="155"/>
    </row>
    <row r="122" spans="1:7" ht="15" customHeight="1">
      <c r="A122" s="141">
        <v>2</v>
      </c>
      <c r="B122" s="161" t="s">
        <v>368</v>
      </c>
      <c r="C122" s="146">
        <v>468330</v>
      </c>
      <c r="D122" s="146">
        <v>637396</v>
      </c>
      <c r="E122" s="146">
        <f t="shared" si="8"/>
        <v>169066</v>
      </c>
      <c r="F122" s="150">
        <f t="shared" si="9"/>
        <v>0.3609975871714389</v>
      </c>
      <c r="G122" s="155"/>
    </row>
    <row r="123" spans="1:7" ht="15" customHeight="1">
      <c r="A123" s="141">
        <v>3</v>
      </c>
      <c r="B123" s="161" t="s">
        <v>369</v>
      </c>
      <c r="C123" s="146">
        <v>178620</v>
      </c>
      <c r="D123" s="146">
        <v>184054</v>
      </c>
      <c r="E123" s="146">
        <f t="shared" si="8"/>
        <v>5434</v>
      </c>
      <c r="F123" s="150">
        <f t="shared" si="9"/>
        <v>0.030422125181950508</v>
      </c>
      <c r="G123" s="155"/>
    </row>
    <row r="124" spans="1:7" ht="15" customHeight="1">
      <c r="A124" s="141">
        <v>4</v>
      </c>
      <c r="B124" s="161" t="s">
        <v>370</v>
      </c>
      <c r="C124" s="146">
        <v>201243</v>
      </c>
      <c r="D124" s="146">
        <v>280487</v>
      </c>
      <c r="E124" s="146">
        <f t="shared" si="8"/>
        <v>79244</v>
      </c>
      <c r="F124" s="150">
        <f t="shared" si="9"/>
        <v>0.3937727026530115</v>
      </c>
      <c r="G124" s="155"/>
    </row>
    <row r="125" spans="1:7" ht="15" customHeight="1">
      <c r="A125" s="141">
        <v>5</v>
      </c>
      <c r="B125" s="161" t="s">
        <v>371</v>
      </c>
      <c r="C125" s="146">
        <v>3116703</v>
      </c>
      <c r="D125" s="146">
        <v>3816866</v>
      </c>
      <c r="E125" s="146">
        <f t="shared" si="8"/>
        <v>700163</v>
      </c>
      <c r="F125" s="150">
        <f t="shared" si="9"/>
        <v>0.22464861104827763</v>
      </c>
      <c r="G125" s="155"/>
    </row>
    <row r="126" spans="1:7" ht="15" customHeight="1">
      <c r="A126" s="141">
        <v>6</v>
      </c>
      <c r="B126" s="161" t="s">
        <v>372</v>
      </c>
      <c r="C126" s="146">
        <v>473080</v>
      </c>
      <c r="D126" s="146">
        <v>646174</v>
      </c>
      <c r="E126" s="146">
        <f t="shared" si="8"/>
        <v>173094</v>
      </c>
      <c r="F126" s="150">
        <f t="shared" si="9"/>
        <v>0.3658873763422677</v>
      </c>
      <c r="G126" s="155"/>
    </row>
    <row r="127" spans="1:7" ht="15" customHeight="1">
      <c r="A127" s="141">
        <v>7</v>
      </c>
      <c r="B127" s="161" t="s">
        <v>373</v>
      </c>
      <c r="C127" s="146">
        <v>0</v>
      </c>
      <c r="D127" s="146">
        <v>0</v>
      </c>
      <c r="E127" s="146">
        <f t="shared" si="8"/>
        <v>0</v>
      </c>
      <c r="F127" s="150">
        <f t="shared" si="9"/>
        <v>0</v>
      </c>
      <c r="G127" s="155"/>
    </row>
    <row r="128" spans="1:7" ht="15" customHeight="1">
      <c r="A128" s="141">
        <v>8</v>
      </c>
      <c r="B128" s="161" t="s">
        <v>374</v>
      </c>
      <c r="C128" s="146">
        <v>0</v>
      </c>
      <c r="D128" s="146">
        <v>0</v>
      </c>
      <c r="E128" s="146">
        <f t="shared" si="8"/>
        <v>0</v>
      </c>
      <c r="F128" s="150">
        <f t="shared" si="9"/>
        <v>0</v>
      </c>
      <c r="G128" s="155"/>
    </row>
    <row r="129" spans="1:7" ht="15" customHeight="1">
      <c r="A129" s="141">
        <v>9</v>
      </c>
      <c r="B129" s="161" t="s">
        <v>375</v>
      </c>
      <c r="C129" s="146">
        <v>626705</v>
      </c>
      <c r="D129" s="146">
        <v>806080</v>
      </c>
      <c r="E129" s="146">
        <f t="shared" si="8"/>
        <v>179375</v>
      </c>
      <c r="F129" s="150">
        <f t="shared" si="9"/>
        <v>0.2862191940386625</v>
      </c>
      <c r="G129" s="155"/>
    </row>
    <row r="130" spans="1:7" ht="15" customHeight="1">
      <c r="A130" s="141">
        <v>10</v>
      </c>
      <c r="B130" s="161" t="s">
        <v>376</v>
      </c>
      <c r="C130" s="146">
        <v>4237803</v>
      </c>
      <c r="D130" s="146">
        <v>5073334</v>
      </c>
      <c r="E130" s="146">
        <f t="shared" si="8"/>
        <v>835531</v>
      </c>
      <c r="F130" s="150">
        <f t="shared" si="9"/>
        <v>0.19716135931755205</v>
      </c>
      <c r="G130" s="155"/>
    </row>
    <row r="131" spans="1:7" ht="15" customHeight="1">
      <c r="A131" s="141">
        <v>11</v>
      </c>
      <c r="B131" s="161" t="s">
        <v>377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>
      <c r="A132" s="141">
        <v>12</v>
      </c>
      <c r="B132" s="161" t="s">
        <v>378</v>
      </c>
      <c r="C132" s="146">
        <v>0</v>
      </c>
      <c r="D132" s="146">
        <v>0</v>
      </c>
      <c r="E132" s="146">
        <f t="shared" si="8"/>
        <v>0</v>
      </c>
      <c r="F132" s="150">
        <f t="shared" si="9"/>
        <v>0</v>
      </c>
      <c r="G132" s="155"/>
    </row>
    <row r="133" spans="1:7" ht="15" customHeight="1">
      <c r="A133" s="141">
        <v>13</v>
      </c>
      <c r="B133" s="161" t="s">
        <v>379</v>
      </c>
      <c r="C133" s="146">
        <v>260541</v>
      </c>
      <c r="D133" s="146">
        <v>319257</v>
      </c>
      <c r="E133" s="146">
        <f t="shared" si="8"/>
        <v>58716</v>
      </c>
      <c r="F133" s="150">
        <f t="shared" si="9"/>
        <v>0.22536184324156275</v>
      </c>
      <c r="G133" s="155"/>
    </row>
    <row r="134" spans="1:7" ht="15" customHeight="1">
      <c r="A134" s="141">
        <v>14</v>
      </c>
      <c r="B134" s="161" t="s">
        <v>380</v>
      </c>
      <c r="C134" s="146">
        <v>23341</v>
      </c>
      <c r="D134" s="146">
        <v>24994</v>
      </c>
      <c r="E134" s="146">
        <f t="shared" si="8"/>
        <v>1653</v>
      </c>
      <c r="F134" s="150">
        <f t="shared" si="9"/>
        <v>0.07081958784970653</v>
      </c>
      <c r="G134" s="155"/>
    </row>
    <row r="135" spans="1:7" ht="15" customHeight="1">
      <c r="A135" s="141">
        <v>15</v>
      </c>
      <c r="B135" s="161" t="s">
        <v>381</v>
      </c>
      <c r="C135" s="146">
        <v>122452</v>
      </c>
      <c r="D135" s="146">
        <v>125396</v>
      </c>
      <c r="E135" s="146">
        <f t="shared" si="8"/>
        <v>2944</v>
      </c>
      <c r="F135" s="150">
        <f t="shared" si="9"/>
        <v>0.02404207362885049</v>
      </c>
      <c r="G135" s="155"/>
    </row>
    <row r="136" spans="1:7" ht="15" customHeight="1">
      <c r="A136" s="141">
        <v>16</v>
      </c>
      <c r="B136" s="161" t="s">
        <v>382</v>
      </c>
      <c r="C136" s="146">
        <v>35082</v>
      </c>
      <c r="D136" s="146">
        <v>35535</v>
      </c>
      <c r="E136" s="146">
        <f t="shared" si="8"/>
        <v>453</v>
      </c>
      <c r="F136" s="150">
        <f t="shared" si="9"/>
        <v>0.012912604754574996</v>
      </c>
      <c r="G136" s="155"/>
    </row>
    <row r="137" spans="1:7" ht="15" customHeight="1">
      <c r="A137" s="141">
        <v>17</v>
      </c>
      <c r="B137" s="161" t="s">
        <v>383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>
      <c r="A138" s="141">
        <v>18</v>
      </c>
      <c r="B138" s="161" t="s">
        <v>384</v>
      </c>
      <c r="C138" s="146">
        <v>1084058</v>
      </c>
      <c r="D138" s="146">
        <v>1368099</v>
      </c>
      <c r="E138" s="146">
        <f t="shared" si="8"/>
        <v>284041</v>
      </c>
      <c r="F138" s="150">
        <f t="shared" si="9"/>
        <v>0.2620164234754967</v>
      </c>
      <c r="G138" s="155"/>
    </row>
    <row r="139" spans="1:7" ht="15" customHeight="1">
      <c r="A139" s="141">
        <v>19</v>
      </c>
      <c r="B139" s="161" t="s">
        <v>385</v>
      </c>
      <c r="C139" s="146">
        <v>146310</v>
      </c>
      <c r="D139" s="146">
        <v>184382</v>
      </c>
      <c r="E139" s="146">
        <f t="shared" si="8"/>
        <v>38072</v>
      </c>
      <c r="F139" s="150">
        <f t="shared" si="9"/>
        <v>0.26021461280842045</v>
      </c>
      <c r="G139" s="155"/>
    </row>
    <row r="140" spans="1:7" ht="15" customHeight="1">
      <c r="A140" s="141">
        <v>20</v>
      </c>
      <c r="B140" s="161" t="s">
        <v>386</v>
      </c>
      <c r="C140" s="146">
        <v>1004480</v>
      </c>
      <c r="D140" s="146">
        <v>1197619</v>
      </c>
      <c r="E140" s="146">
        <f t="shared" si="8"/>
        <v>193139</v>
      </c>
      <c r="F140" s="150">
        <f t="shared" si="9"/>
        <v>0.19227759636827016</v>
      </c>
      <c r="G140" s="155"/>
    </row>
    <row r="141" spans="1:7" ht="15" customHeight="1">
      <c r="A141" s="141">
        <v>21</v>
      </c>
      <c r="B141" s="161" t="s">
        <v>387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>
      <c r="A142" s="141">
        <v>22</v>
      </c>
      <c r="B142" s="161" t="s">
        <v>388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>
      <c r="A143" s="141">
        <v>23</v>
      </c>
      <c r="B143" s="161" t="s">
        <v>389</v>
      </c>
      <c r="C143" s="146">
        <v>0</v>
      </c>
      <c r="D143" s="146">
        <v>0</v>
      </c>
      <c r="E143" s="146">
        <f t="shared" si="8"/>
        <v>0</v>
      </c>
      <c r="F143" s="150">
        <f t="shared" si="9"/>
        <v>0</v>
      </c>
      <c r="G143" s="155"/>
    </row>
    <row r="144" spans="1:7" ht="15" customHeight="1">
      <c r="A144" s="141">
        <v>24</v>
      </c>
      <c r="B144" s="161" t="s">
        <v>390</v>
      </c>
      <c r="C144" s="146">
        <v>6738121</v>
      </c>
      <c r="D144" s="146">
        <v>8954858</v>
      </c>
      <c r="E144" s="146">
        <f t="shared" si="8"/>
        <v>2216737</v>
      </c>
      <c r="F144" s="150">
        <f t="shared" si="9"/>
        <v>0.32898444536689087</v>
      </c>
      <c r="G144" s="155"/>
    </row>
    <row r="145" spans="1:7" ht="15" customHeight="1">
      <c r="A145" s="141">
        <v>25</v>
      </c>
      <c r="B145" s="161" t="s">
        <v>391</v>
      </c>
      <c r="C145" s="146">
        <v>398033</v>
      </c>
      <c r="D145" s="146">
        <v>504784</v>
      </c>
      <c r="E145" s="146">
        <f t="shared" si="8"/>
        <v>106751</v>
      </c>
      <c r="F145" s="150">
        <f t="shared" si="9"/>
        <v>0.26819635557855753</v>
      </c>
      <c r="G145" s="155"/>
    </row>
    <row r="146" spans="1:7" ht="15" customHeight="1">
      <c r="A146" s="141">
        <v>26</v>
      </c>
      <c r="B146" s="161" t="s">
        <v>392</v>
      </c>
      <c r="C146" s="146">
        <v>87651</v>
      </c>
      <c r="D146" s="146">
        <v>107436</v>
      </c>
      <c r="E146" s="146">
        <f t="shared" si="8"/>
        <v>19785</v>
      </c>
      <c r="F146" s="150">
        <f t="shared" si="9"/>
        <v>0.22572474928979705</v>
      </c>
      <c r="G146" s="155"/>
    </row>
    <row r="147" spans="1:7" ht="15" customHeight="1">
      <c r="A147" s="141">
        <v>27</v>
      </c>
      <c r="B147" s="161" t="s">
        <v>393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>
      <c r="A148" s="141">
        <v>28</v>
      </c>
      <c r="B148" s="161" t="s">
        <v>394</v>
      </c>
      <c r="C148" s="146">
        <v>583704</v>
      </c>
      <c r="D148" s="146">
        <v>703242</v>
      </c>
      <c r="E148" s="146">
        <f t="shared" si="8"/>
        <v>119538</v>
      </c>
      <c r="F148" s="150">
        <f t="shared" si="9"/>
        <v>0.20479215492784014</v>
      </c>
      <c r="G148" s="155"/>
    </row>
    <row r="149" spans="1:7" ht="15" customHeight="1">
      <c r="A149" s="141">
        <v>29</v>
      </c>
      <c r="B149" s="161" t="s">
        <v>395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>
      <c r="A150" s="141">
        <v>30</v>
      </c>
      <c r="B150" s="161" t="s">
        <v>396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>
      <c r="A151" s="141">
        <v>31</v>
      </c>
      <c r="B151" s="161" t="s">
        <v>397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>
      <c r="A152" s="141">
        <v>32</v>
      </c>
      <c r="B152" s="161" t="s">
        <v>398</v>
      </c>
      <c r="C152" s="146">
        <v>352610</v>
      </c>
      <c r="D152" s="146">
        <v>361389</v>
      </c>
      <c r="E152" s="146">
        <f t="shared" si="8"/>
        <v>8779</v>
      </c>
      <c r="F152" s="150">
        <f t="shared" si="9"/>
        <v>0.024897195201497406</v>
      </c>
      <c r="G152" s="155"/>
    </row>
    <row r="153" spans="1:7" ht="15" customHeight="1">
      <c r="A153" s="141">
        <v>33</v>
      </c>
      <c r="B153" s="161" t="s">
        <v>399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>
      <c r="A154" s="141">
        <v>34</v>
      </c>
      <c r="B154" s="161" t="s">
        <v>400</v>
      </c>
      <c r="C154" s="146">
        <v>6536368</v>
      </c>
      <c r="D154" s="146">
        <v>7385980</v>
      </c>
      <c r="E154" s="146">
        <f t="shared" si="8"/>
        <v>849612</v>
      </c>
      <c r="F154" s="150">
        <f t="shared" si="9"/>
        <v>0.12998227761961995</v>
      </c>
      <c r="G154" s="155"/>
    </row>
    <row r="155" spans="1:7" ht="15.75" customHeight="1">
      <c r="A155" s="141"/>
      <c r="B155" s="154" t="s">
        <v>401</v>
      </c>
      <c r="C155" s="147">
        <f>SUM(C121:C154)</f>
        <v>28639379</v>
      </c>
      <c r="D155" s="147">
        <f>SUM(D121:D154)</f>
        <v>35234828</v>
      </c>
      <c r="E155" s="147">
        <f t="shared" si="8"/>
        <v>6595449</v>
      </c>
      <c r="F155" s="148">
        <f t="shared" si="9"/>
        <v>0.23029301717750233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286</v>
      </c>
      <c r="B157" s="145" t="s">
        <v>402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403</v>
      </c>
      <c r="C158" s="146">
        <v>7405062</v>
      </c>
      <c r="D158" s="146">
        <v>9867510</v>
      </c>
      <c r="E158" s="146">
        <f aca="true" t="shared" si="10" ref="E158:E171">D158-C158</f>
        <v>2462448</v>
      </c>
      <c r="F158" s="150">
        <f aca="true" t="shared" si="11" ref="F158:F171">IF(C158=0,0,E158/C158)</f>
        <v>0.33253577080110874</v>
      </c>
      <c r="G158" s="155"/>
    </row>
    <row r="159" spans="1:7" ht="15" customHeight="1">
      <c r="A159" s="141">
        <v>2</v>
      </c>
      <c r="B159" s="161" t="s">
        <v>404</v>
      </c>
      <c r="C159" s="146">
        <v>2452335</v>
      </c>
      <c r="D159" s="146">
        <v>3262030</v>
      </c>
      <c r="E159" s="146">
        <f t="shared" si="10"/>
        <v>809695</v>
      </c>
      <c r="F159" s="150">
        <f t="shared" si="11"/>
        <v>0.33017307994217754</v>
      </c>
      <c r="G159" s="155"/>
    </row>
    <row r="160" spans="1:7" ht="15" customHeight="1">
      <c r="A160" s="141">
        <v>3</v>
      </c>
      <c r="B160" s="161" t="s">
        <v>405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>
      <c r="A161" s="141">
        <v>4</v>
      </c>
      <c r="B161" s="161" t="s">
        <v>406</v>
      </c>
      <c r="C161" s="146">
        <v>0</v>
      </c>
      <c r="D161" s="146">
        <v>0</v>
      </c>
      <c r="E161" s="146">
        <f t="shared" si="10"/>
        <v>0</v>
      </c>
      <c r="F161" s="150">
        <f t="shared" si="11"/>
        <v>0</v>
      </c>
      <c r="G161" s="155"/>
    </row>
    <row r="162" spans="1:7" ht="15" customHeight="1">
      <c r="A162" s="141">
        <v>5</v>
      </c>
      <c r="B162" s="161" t="s">
        <v>407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>
      <c r="A163" s="141">
        <v>6</v>
      </c>
      <c r="B163" s="161" t="s">
        <v>408</v>
      </c>
      <c r="C163" s="146">
        <v>933770</v>
      </c>
      <c r="D163" s="146">
        <v>1308027</v>
      </c>
      <c r="E163" s="146">
        <f t="shared" si="10"/>
        <v>374257</v>
      </c>
      <c r="F163" s="150">
        <f t="shared" si="11"/>
        <v>0.4008021247202202</v>
      </c>
      <c r="G163" s="155"/>
    </row>
    <row r="164" spans="1:7" ht="15" customHeight="1">
      <c r="A164" s="141">
        <v>7</v>
      </c>
      <c r="B164" s="161" t="s">
        <v>409</v>
      </c>
      <c r="C164" s="146">
        <v>933770</v>
      </c>
      <c r="D164" s="146">
        <v>1308027</v>
      </c>
      <c r="E164" s="146">
        <f t="shared" si="10"/>
        <v>374257</v>
      </c>
      <c r="F164" s="150">
        <f t="shared" si="11"/>
        <v>0.4008021247202202</v>
      </c>
      <c r="G164" s="155"/>
    </row>
    <row r="165" spans="1:7" ht="15" customHeight="1">
      <c r="A165" s="141">
        <v>8</v>
      </c>
      <c r="B165" s="161" t="s">
        <v>410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>
      <c r="A166" s="141">
        <v>9</v>
      </c>
      <c r="B166" s="161" t="s">
        <v>411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>
      <c r="A167" s="141">
        <v>10</v>
      </c>
      <c r="B167" s="161" t="s">
        <v>412</v>
      </c>
      <c r="C167" s="146">
        <v>1121898</v>
      </c>
      <c r="D167" s="146">
        <v>1535819</v>
      </c>
      <c r="E167" s="146">
        <f t="shared" si="10"/>
        <v>413921</v>
      </c>
      <c r="F167" s="150">
        <f t="shared" si="11"/>
        <v>0.3689470878814295</v>
      </c>
      <c r="G167" s="155"/>
    </row>
    <row r="168" spans="1:7" ht="15" customHeight="1">
      <c r="A168" s="141">
        <v>11</v>
      </c>
      <c r="B168" s="161" t="s">
        <v>413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>
      <c r="A169" s="141">
        <v>12</v>
      </c>
      <c r="B169" s="161" t="s">
        <v>414</v>
      </c>
      <c r="C169" s="146">
        <v>0</v>
      </c>
      <c r="D169" s="146">
        <v>0</v>
      </c>
      <c r="E169" s="146">
        <f t="shared" si="10"/>
        <v>0</v>
      </c>
      <c r="F169" s="150">
        <f t="shared" si="11"/>
        <v>0</v>
      </c>
      <c r="G169" s="155"/>
    </row>
    <row r="170" spans="1:7" ht="15" customHeight="1">
      <c r="A170" s="141">
        <v>13</v>
      </c>
      <c r="B170" s="161" t="s">
        <v>415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>
      <c r="A171" s="141"/>
      <c r="B171" s="154" t="s">
        <v>416</v>
      </c>
      <c r="C171" s="147">
        <f>SUM(C158:C170)</f>
        <v>12846835</v>
      </c>
      <c r="D171" s="147">
        <f>SUM(D158:D170)</f>
        <v>17281413</v>
      </c>
      <c r="E171" s="147">
        <f t="shared" si="10"/>
        <v>4434578</v>
      </c>
      <c r="F171" s="148">
        <f t="shared" si="11"/>
        <v>0.3451883674072252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291</v>
      </c>
      <c r="B173" s="145" t="s">
        <v>417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418</v>
      </c>
      <c r="C174" s="146">
        <v>0</v>
      </c>
      <c r="D174" s="146">
        <v>0</v>
      </c>
      <c r="E174" s="146">
        <f>D174-C174</f>
        <v>0</v>
      </c>
      <c r="F174" s="150">
        <f>IF(C174=0,0,E174/C174)</f>
        <v>0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419</v>
      </c>
      <c r="C176" s="147">
        <f>+C174+C171+C155+C118+C109</f>
        <v>85362191</v>
      </c>
      <c r="D176" s="147">
        <f>+D174+D171+D155+D118+D109</f>
        <v>88487473</v>
      </c>
      <c r="E176" s="147">
        <f>D176-C176</f>
        <v>3125282</v>
      </c>
      <c r="F176" s="148">
        <f>IF(C176=0,0,E176/C176)</f>
        <v>0.03661201714000054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420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FILING&amp;RMILFORD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">
      <selection activeCell="A1" sqref="A1"/>
    </sheetView>
  </sheetViews>
  <sheetFormatPr defaultColWidth="9.140625" defaultRowHeight="24" customHeight="1"/>
  <cols>
    <col min="1" max="1" width="7.7109375" style="1" customWidth="1"/>
    <col min="2" max="2" width="63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115</v>
      </c>
      <c r="C1" s="3"/>
      <c r="D1" s="3"/>
      <c r="E1" s="4"/>
      <c r="F1" s="5"/>
    </row>
    <row r="2" spans="1:6" ht="24" customHeight="1">
      <c r="A2" s="35"/>
      <c r="B2" s="3" t="s">
        <v>116</v>
      </c>
      <c r="C2" s="3"/>
      <c r="D2" s="3"/>
      <c r="E2" s="4"/>
      <c r="F2" s="5"/>
    </row>
    <row r="3" spans="1:6" ht="24" customHeight="1">
      <c r="A3" s="35"/>
      <c r="B3" s="3" t="s">
        <v>117</v>
      </c>
      <c r="C3" s="3"/>
      <c r="D3" s="3"/>
      <c r="E3" s="4"/>
      <c r="F3" s="5"/>
    </row>
    <row r="4" spans="1:6" ht="24" customHeight="1">
      <c r="A4" s="35"/>
      <c r="B4" s="3" t="s">
        <v>421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125</v>
      </c>
      <c r="D7" s="11" t="s">
        <v>125</v>
      </c>
      <c r="E7" s="11" t="s">
        <v>125</v>
      </c>
      <c r="F7" s="11"/>
    </row>
    <row r="8" spans="1:6" ht="24" customHeight="1">
      <c r="A8" s="13" t="s">
        <v>123</v>
      </c>
      <c r="B8" s="16" t="s">
        <v>124</v>
      </c>
      <c r="C8" s="13" t="s">
        <v>422</v>
      </c>
      <c r="D8" s="13" t="s">
        <v>119</v>
      </c>
      <c r="E8" s="13" t="s">
        <v>120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129</v>
      </c>
      <c r="B10" s="30" t="s">
        <v>423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190</v>
      </c>
      <c r="C11" s="51">
        <v>76632879</v>
      </c>
      <c r="D11" s="164">
        <v>83253020</v>
      </c>
      <c r="E11" s="51">
        <v>82468718</v>
      </c>
      <c r="F11" s="13"/>
    </row>
    <row r="12" spans="1:6" ht="24" customHeight="1">
      <c r="A12" s="44">
        <v>2</v>
      </c>
      <c r="B12" s="165" t="s">
        <v>424</v>
      </c>
      <c r="C12" s="49">
        <v>1092359</v>
      </c>
      <c r="D12" s="49">
        <v>974502</v>
      </c>
      <c r="E12" s="49">
        <v>1109354</v>
      </c>
      <c r="F12" s="13"/>
    </row>
    <row r="13" spans="1:6" ht="24" customHeight="1">
      <c r="A13" s="44">
        <v>3</v>
      </c>
      <c r="B13" s="48" t="s">
        <v>193</v>
      </c>
      <c r="C13" s="51">
        <f>+C11+C12</f>
        <v>77725238</v>
      </c>
      <c r="D13" s="51">
        <f>+D11+D12</f>
        <v>84227522</v>
      </c>
      <c r="E13" s="51">
        <f>+E11+E12</f>
        <v>83578072</v>
      </c>
      <c r="F13" s="13"/>
    </row>
    <row r="14" spans="1:6" ht="24" customHeight="1">
      <c r="A14" s="44">
        <v>4</v>
      </c>
      <c r="B14" s="166" t="s">
        <v>204</v>
      </c>
      <c r="C14" s="49">
        <v>82425087</v>
      </c>
      <c r="D14" s="49">
        <v>85362191</v>
      </c>
      <c r="E14" s="49">
        <v>88487473</v>
      </c>
      <c r="F14" s="13"/>
    </row>
    <row r="15" spans="1:6" ht="24" customHeight="1">
      <c r="A15" s="44">
        <v>5</v>
      </c>
      <c r="B15" s="48" t="s">
        <v>205</v>
      </c>
      <c r="C15" s="51">
        <f>+C13-C14</f>
        <v>-4699849</v>
      </c>
      <c r="D15" s="51">
        <f>+D13-D14</f>
        <v>-1134669</v>
      </c>
      <c r="E15" s="51">
        <f>+E13-E14</f>
        <v>-4909401</v>
      </c>
      <c r="F15" s="13"/>
    </row>
    <row r="16" spans="1:6" ht="24" customHeight="1">
      <c r="A16" s="44">
        <v>6</v>
      </c>
      <c r="B16" s="166" t="s">
        <v>210</v>
      </c>
      <c r="C16" s="49">
        <v>4943031</v>
      </c>
      <c r="D16" s="49">
        <v>-3919816</v>
      </c>
      <c r="E16" s="49">
        <v>1282609</v>
      </c>
      <c r="F16" s="13"/>
    </row>
    <row r="17" spans="1:6" ht="24" customHeight="1">
      <c r="A17" s="44">
        <v>7</v>
      </c>
      <c r="B17" s="45" t="s">
        <v>425</v>
      </c>
      <c r="C17" s="51">
        <f>C15+C16</f>
        <v>243182</v>
      </c>
      <c r="D17" s="51">
        <f>D15+D16</f>
        <v>-5054485</v>
      </c>
      <c r="E17" s="51">
        <f>E15+E16</f>
        <v>-3626792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141</v>
      </c>
      <c r="B19" s="30" t="s">
        <v>426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427</v>
      </c>
      <c r="C20" s="169">
        <f>IF(+C27=0,0,+C24/+C27)</f>
        <v>-0.05685191013253223</v>
      </c>
      <c r="D20" s="169">
        <f>IF(+D27=0,0,+D24/+D27)</f>
        <v>-0.014129017705972077</v>
      </c>
      <c r="E20" s="169">
        <f>IF(+E27=0,0,+E24/+E27)</f>
        <v>-0.0578524817636097</v>
      </c>
      <c r="F20" s="13"/>
    </row>
    <row r="21" spans="1:6" ht="24" customHeight="1">
      <c r="A21" s="25">
        <v>2</v>
      </c>
      <c r="B21" s="48" t="s">
        <v>428</v>
      </c>
      <c r="C21" s="169">
        <f>IF(C27=0,0,+C26/C27)</f>
        <v>0.05979357085606812</v>
      </c>
      <c r="D21" s="169">
        <f>IF(D27=0,0,+D26/D27)</f>
        <v>-0.04880996102665416</v>
      </c>
      <c r="E21" s="169">
        <f>IF(E27=0,0,+E26/E27)</f>
        <v>0.015114290680745303</v>
      </c>
      <c r="F21" s="13"/>
    </row>
    <row r="22" spans="1:6" ht="24" customHeight="1">
      <c r="A22" s="25">
        <v>3</v>
      </c>
      <c r="B22" s="48" t="s">
        <v>429</v>
      </c>
      <c r="C22" s="169">
        <f>IF(C27=0,0,+C28/C27)</f>
        <v>0.002941660723535895</v>
      </c>
      <c r="D22" s="169">
        <f>IF(D27=0,0,+D28/D27)</f>
        <v>-0.06293897873262623</v>
      </c>
      <c r="E22" s="169">
        <f>IF(E27=0,0,+E28/E27)</f>
        <v>-0.0427381910828644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205</v>
      </c>
      <c r="C24" s="51">
        <f>+C15</f>
        <v>-4699849</v>
      </c>
      <c r="D24" s="51">
        <f>+D15</f>
        <v>-1134669</v>
      </c>
      <c r="E24" s="51">
        <f>+E15</f>
        <v>-4909401</v>
      </c>
      <c r="F24" s="13"/>
    </row>
    <row r="25" spans="1:6" ht="24" customHeight="1">
      <c r="A25" s="21">
        <v>5</v>
      </c>
      <c r="B25" s="48" t="s">
        <v>193</v>
      </c>
      <c r="C25" s="51">
        <f>+C13</f>
        <v>77725238</v>
      </c>
      <c r="D25" s="51">
        <f>+D13</f>
        <v>84227522</v>
      </c>
      <c r="E25" s="51">
        <f>+E13</f>
        <v>83578072</v>
      </c>
      <c r="F25" s="13"/>
    </row>
    <row r="26" spans="1:6" ht="24" customHeight="1">
      <c r="A26" s="21">
        <v>6</v>
      </c>
      <c r="B26" s="48" t="s">
        <v>210</v>
      </c>
      <c r="C26" s="51">
        <f>+C16</f>
        <v>4943031</v>
      </c>
      <c r="D26" s="51">
        <f>+D16</f>
        <v>-3919816</v>
      </c>
      <c r="E26" s="51">
        <f>+E16</f>
        <v>1282609</v>
      </c>
      <c r="F26" s="13"/>
    </row>
    <row r="27" spans="1:6" ht="24" customHeight="1">
      <c r="A27" s="21">
        <v>7</v>
      </c>
      <c r="B27" s="48" t="s">
        <v>430</v>
      </c>
      <c r="C27" s="51">
        <f>+C25+C26</f>
        <v>82668269</v>
      </c>
      <c r="D27" s="51">
        <f>+D25+D26</f>
        <v>80307706</v>
      </c>
      <c r="E27" s="51">
        <f>+E25+E26</f>
        <v>84860681</v>
      </c>
      <c r="F27" s="13"/>
    </row>
    <row r="28" spans="1:6" ht="24" customHeight="1">
      <c r="A28" s="21">
        <v>8</v>
      </c>
      <c r="B28" s="45" t="s">
        <v>425</v>
      </c>
      <c r="C28" s="51">
        <f>+C17</f>
        <v>243182</v>
      </c>
      <c r="D28" s="51">
        <f>+D17</f>
        <v>-5054485</v>
      </c>
      <c r="E28" s="51">
        <f>+E17</f>
        <v>-3626792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151</v>
      </c>
      <c r="B30" s="41" t="s">
        <v>431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432</v>
      </c>
      <c r="C31" s="51">
        <v>57291329</v>
      </c>
      <c r="D31" s="51">
        <v>47584605</v>
      </c>
      <c r="E31" s="51">
        <v>36805806</v>
      </c>
      <c r="F31" s="13"/>
    </row>
    <row r="32" spans="1:6" ht="24" customHeight="1">
      <c r="A32" s="25">
        <v>2</v>
      </c>
      <c r="B32" s="48" t="s">
        <v>433</v>
      </c>
      <c r="C32" s="51">
        <v>58447019</v>
      </c>
      <c r="D32" s="51">
        <v>48780238</v>
      </c>
      <c r="E32" s="51">
        <v>38098899</v>
      </c>
      <c r="F32" s="13"/>
    </row>
    <row r="33" spans="1:6" ht="24" customHeight="1">
      <c r="A33" s="25">
        <v>3</v>
      </c>
      <c r="B33" s="48" t="s">
        <v>434</v>
      </c>
      <c r="C33" s="51">
        <v>58447019</v>
      </c>
      <c r="D33" s="51">
        <f>+D32-C32</f>
        <v>-9666781</v>
      </c>
      <c r="E33" s="51">
        <f>+E32-D32</f>
        <v>-10681339</v>
      </c>
      <c r="F33" s="5"/>
    </row>
    <row r="34" spans="1:6" ht="24" customHeight="1">
      <c r="A34" s="25">
        <v>4</v>
      </c>
      <c r="B34" s="48" t="s">
        <v>435</v>
      </c>
      <c r="C34" s="171">
        <v>0</v>
      </c>
      <c r="D34" s="171">
        <f>IF(C32=0,0,+D33/C32)</f>
        <v>-0.16539390999564924</v>
      </c>
      <c r="E34" s="171">
        <f>IF(D32=0,0,+E33/D32)</f>
        <v>-0.21896857083805127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436</v>
      </c>
      <c r="B36" s="41" t="s">
        <v>437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438</v>
      </c>
      <c r="C38" s="172">
        <f>IF((C40+C41)=0,0,+C39/(C40+C41))</f>
        <v>0.39140733846695547</v>
      </c>
      <c r="D38" s="172">
        <f>IF((D40+D41)=0,0,+D39/(D40+D41))</f>
        <v>0.3826522192564249</v>
      </c>
      <c r="E38" s="172">
        <f>IF((E40+E41)=0,0,+E39/(E40+E41))</f>
        <v>0.4024195752949255</v>
      </c>
      <c r="F38" s="5"/>
    </row>
    <row r="39" spans="1:6" ht="24" customHeight="1">
      <c r="A39" s="21">
        <v>2</v>
      </c>
      <c r="B39" s="48" t="s">
        <v>439</v>
      </c>
      <c r="C39" s="51">
        <v>82425087</v>
      </c>
      <c r="D39" s="51">
        <v>85362191</v>
      </c>
      <c r="E39" s="23">
        <v>88487473</v>
      </c>
      <c r="F39" s="5"/>
    </row>
    <row r="40" spans="1:6" ht="24" customHeight="1">
      <c r="A40" s="21">
        <v>3</v>
      </c>
      <c r="B40" s="48" t="s">
        <v>440</v>
      </c>
      <c r="C40" s="51">
        <v>209786823</v>
      </c>
      <c r="D40" s="51">
        <v>222377754</v>
      </c>
      <c r="E40" s="23">
        <v>219139563</v>
      </c>
      <c r="F40" s="5"/>
    </row>
    <row r="41" spans="1:6" ht="24" customHeight="1">
      <c r="A41" s="21">
        <v>4</v>
      </c>
      <c r="B41" s="48" t="s">
        <v>441</v>
      </c>
      <c r="C41" s="51">
        <v>799640</v>
      </c>
      <c r="D41" s="51">
        <v>702596</v>
      </c>
      <c r="E41" s="23">
        <v>749027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442</v>
      </c>
      <c r="C43" s="173">
        <f>IF(C38=0,0,IF((C46-C47)=0,0,((+C44-C45)/(C46-C47)/C38)))</f>
        <v>1.1084091580843054</v>
      </c>
      <c r="D43" s="173">
        <f>IF(D38=0,0,IF((D46-D47)=0,0,((+D44-D45)/(D46-D47)/D38)))</f>
        <v>1.1363492560095112</v>
      </c>
      <c r="E43" s="173">
        <f>IF(E38=0,0,IF((E46-E47)=0,0,((+E44-E45)/(E46-E47)/E38)))</f>
        <v>1.06652475961176</v>
      </c>
      <c r="F43" s="5"/>
    </row>
    <row r="44" spans="1:6" ht="24" customHeight="1">
      <c r="A44" s="21">
        <v>6</v>
      </c>
      <c r="B44" s="48" t="s">
        <v>443</v>
      </c>
      <c r="C44" s="51">
        <v>37341497</v>
      </c>
      <c r="D44" s="51">
        <v>39245547</v>
      </c>
      <c r="E44" s="23">
        <v>38100291</v>
      </c>
      <c r="F44" s="5"/>
    </row>
    <row r="45" spans="1:6" ht="24" customHeight="1">
      <c r="A45" s="21">
        <v>7</v>
      </c>
      <c r="B45" s="48" t="s">
        <v>444</v>
      </c>
      <c r="C45" s="51">
        <v>516632</v>
      </c>
      <c r="D45" s="51">
        <v>1754938</v>
      </c>
      <c r="E45" s="23">
        <v>650525</v>
      </c>
      <c r="F45" s="5"/>
    </row>
    <row r="46" spans="1:6" ht="24" customHeight="1">
      <c r="A46" s="21">
        <v>8</v>
      </c>
      <c r="B46" s="48" t="s">
        <v>445</v>
      </c>
      <c r="C46" s="51">
        <v>90189202</v>
      </c>
      <c r="D46" s="51">
        <v>93001708</v>
      </c>
      <c r="E46" s="23">
        <v>95067210</v>
      </c>
      <c r="F46" s="5"/>
    </row>
    <row r="47" spans="1:6" ht="24" customHeight="1">
      <c r="A47" s="21">
        <v>9</v>
      </c>
      <c r="B47" s="48" t="s">
        <v>446</v>
      </c>
      <c r="C47" s="51">
        <v>5307888</v>
      </c>
      <c r="D47" s="51">
        <v>6782024</v>
      </c>
      <c r="E47" s="174">
        <v>7810453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447</v>
      </c>
      <c r="C49" s="175">
        <f>IF(C38=0,0,IF(C51=0,0,(C50/C51)/C38))</f>
        <v>0.7308098045480598</v>
      </c>
      <c r="D49" s="175">
        <f>IF(D38=0,0,IF(D51=0,0,(D50/D51)/D38))</f>
        <v>0.7947490871705123</v>
      </c>
      <c r="E49" s="175">
        <f>IF(E38=0,0,IF(E51=0,0,(E50/E51)/E38))</f>
        <v>0.7505244626144979</v>
      </c>
      <c r="F49" s="7"/>
    </row>
    <row r="50" spans="1:6" ht="24" customHeight="1">
      <c r="A50" s="21">
        <v>11</v>
      </c>
      <c r="B50" s="48" t="s">
        <v>448</v>
      </c>
      <c r="C50" s="176">
        <v>29703622</v>
      </c>
      <c r="D50" s="176">
        <v>34013967</v>
      </c>
      <c r="E50" s="176">
        <v>31844438</v>
      </c>
      <c r="F50" s="11"/>
    </row>
    <row r="51" spans="1:6" ht="24" customHeight="1">
      <c r="A51" s="21">
        <v>12</v>
      </c>
      <c r="B51" s="48" t="s">
        <v>449</v>
      </c>
      <c r="C51" s="176">
        <v>103842726</v>
      </c>
      <c r="D51" s="176">
        <v>111846658</v>
      </c>
      <c r="E51" s="176">
        <v>105436174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450</v>
      </c>
      <c r="C53" s="175">
        <f>IF(C38=0,0,IF(C55=0,0,(C54/C55)/C38))</f>
        <v>0.5123719066221983</v>
      </c>
      <c r="D53" s="175">
        <f>IF(D38=0,0,IF(D55=0,0,(D54/D55)/D38))</f>
        <v>0.5153276502199777</v>
      </c>
      <c r="E53" s="175">
        <f>IF(E38=0,0,IF(E55=0,0,(E54/E55)/E38))</f>
        <v>0.527938999075433</v>
      </c>
      <c r="F53" s="13"/>
    </row>
    <row r="54" spans="1:6" ht="24" customHeight="1">
      <c r="A54" s="21">
        <v>14</v>
      </c>
      <c r="B54" s="48" t="s">
        <v>451</v>
      </c>
      <c r="C54" s="176">
        <v>3029981</v>
      </c>
      <c r="D54" s="176">
        <v>3375474</v>
      </c>
      <c r="E54" s="176">
        <v>3289737</v>
      </c>
      <c r="F54" s="13"/>
    </row>
    <row r="55" spans="1:6" ht="24" customHeight="1">
      <c r="A55" s="21">
        <v>15</v>
      </c>
      <c r="B55" s="48" t="s">
        <v>452</v>
      </c>
      <c r="C55" s="176">
        <v>15108649</v>
      </c>
      <c r="D55" s="176">
        <v>17117766</v>
      </c>
      <c r="E55" s="176">
        <v>15484541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453</v>
      </c>
      <c r="C57" s="53">
        <f>+C60*C38</f>
        <v>1928820.528712033</v>
      </c>
      <c r="D57" s="53">
        <f>+D60*D38</f>
        <v>1928106.0891281774</v>
      </c>
      <c r="E57" s="53">
        <f>+E60*E38</f>
        <v>2865431.8052441194</v>
      </c>
      <c r="F57" s="13"/>
    </row>
    <row r="58" spans="1:6" ht="24" customHeight="1">
      <c r="A58" s="21">
        <v>17</v>
      </c>
      <c r="B58" s="48" t="s">
        <v>454</v>
      </c>
      <c r="C58" s="51">
        <v>241390</v>
      </c>
      <c r="D58" s="51">
        <v>165221</v>
      </c>
      <c r="E58" s="52">
        <v>122057</v>
      </c>
      <c r="F58" s="28"/>
    </row>
    <row r="59" spans="1:6" ht="24" customHeight="1">
      <c r="A59" s="21">
        <v>18</v>
      </c>
      <c r="B59" s="48" t="s">
        <v>200</v>
      </c>
      <c r="C59" s="51">
        <v>4686521</v>
      </c>
      <c r="D59" s="51">
        <v>4873574</v>
      </c>
      <c r="E59" s="52">
        <v>6998451</v>
      </c>
      <c r="F59" s="28"/>
    </row>
    <row r="60" spans="1:6" ht="24" customHeight="1">
      <c r="A60" s="21">
        <v>19</v>
      </c>
      <c r="B60" s="48" t="s">
        <v>455</v>
      </c>
      <c r="C60" s="51">
        <v>4927911</v>
      </c>
      <c r="D60" s="51">
        <v>5038795</v>
      </c>
      <c r="E60" s="52">
        <v>7120508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456</v>
      </c>
      <c r="C62" s="178">
        <f>IF(C63=0,0,+C57/C63)</f>
        <v>0.023400891632811175</v>
      </c>
      <c r="D62" s="178">
        <f>IF(D63=0,0,+D57/D63)</f>
        <v>0.022587354735636733</v>
      </c>
      <c r="E62" s="178">
        <f>IF(E63=0,0,+E57/E63)</f>
        <v>0.03238234416801709</v>
      </c>
      <c r="F62" s="13"/>
    </row>
    <row r="63" spans="1:6" ht="24" customHeight="1">
      <c r="A63" s="21">
        <v>21</v>
      </c>
      <c r="B63" s="45" t="s">
        <v>439</v>
      </c>
      <c r="C63" s="176">
        <v>82425087</v>
      </c>
      <c r="D63" s="176">
        <v>85362191</v>
      </c>
      <c r="E63" s="176">
        <v>88487473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457</v>
      </c>
      <c r="B65" s="41" t="s">
        <v>458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459</v>
      </c>
      <c r="C67" s="179">
        <f>IF(C69=0,0,C68/C69)</f>
        <v>1.0626694702777189</v>
      </c>
      <c r="D67" s="179">
        <f>IF(D69=0,0,D68/D69)</f>
        <v>1.067209656945161</v>
      </c>
      <c r="E67" s="179">
        <f>IF(E69=0,0,E68/E69)</f>
        <v>1.0098034868364825</v>
      </c>
      <c r="F67" s="28"/>
    </row>
    <row r="68" spans="1:6" ht="24" customHeight="1">
      <c r="A68" s="21">
        <v>2</v>
      </c>
      <c r="B68" s="48" t="s">
        <v>140</v>
      </c>
      <c r="C68" s="180">
        <v>15667326</v>
      </c>
      <c r="D68" s="180">
        <v>17111169</v>
      </c>
      <c r="E68" s="180">
        <v>16942905</v>
      </c>
      <c r="F68" s="28"/>
    </row>
    <row r="69" spans="1:6" ht="24" customHeight="1">
      <c r="A69" s="21">
        <v>3</v>
      </c>
      <c r="B69" s="48" t="s">
        <v>169</v>
      </c>
      <c r="C69" s="180">
        <v>14743367</v>
      </c>
      <c r="D69" s="180">
        <v>16033559</v>
      </c>
      <c r="E69" s="180">
        <v>16778418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460</v>
      </c>
      <c r="C71" s="181">
        <f>IF((C77/365)=0,0,+C74/(C77/365))</f>
        <v>18.960845768432062</v>
      </c>
      <c r="D71" s="181">
        <f>IF((D77/365)=0,0,+D74/(D77/365))</f>
        <v>6.556402476766871</v>
      </c>
      <c r="E71" s="181">
        <f>IF((E77/365)=0,0,+E74/(E77/365))</f>
        <v>5.617253538412905</v>
      </c>
      <c r="F71" s="28"/>
    </row>
    <row r="72" spans="1:6" ht="24" customHeight="1">
      <c r="A72" s="21">
        <v>5</v>
      </c>
      <c r="B72" s="22" t="s">
        <v>131</v>
      </c>
      <c r="C72" s="182">
        <v>3853309</v>
      </c>
      <c r="D72" s="182">
        <v>1243133</v>
      </c>
      <c r="E72" s="182">
        <v>1078653</v>
      </c>
      <c r="F72" s="28"/>
    </row>
    <row r="73" spans="1:6" ht="24" customHeight="1">
      <c r="A73" s="21">
        <v>6</v>
      </c>
      <c r="B73" s="183" t="s">
        <v>132</v>
      </c>
      <c r="C73" s="184">
        <v>212689</v>
      </c>
      <c r="D73" s="184">
        <v>218753</v>
      </c>
      <c r="E73" s="184">
        <v>221990</v>
      </c>
      <c r="F73" s="28"/>
    </row>
    <row r="74" spans="1:6" ht="24" customHeight="1">
      <c r="A74" s="21">
        <v>7</v>
      </c>
      <c r="B74" s="48" t="s">
        <v>461</v>
      </c>
      <c r="C74" s="180">
        <f>+C72+C73</f>
        <v>4065998</v>
      </c>
      <c r="D74" s="180">
        <f>+D72+D73</f>
        <v>1461886</v>
      </c>
      <c r="E74" s="180">
        <f>+E72+E73</f>
        <v>1300643</v>
      </c>
      <c r="F74" s="28"/>
    </row>
    <row r="75" spans="1:6" ht="24" customHeight="1">
      <c r="A75" s="21">
        <v>8</v>
      </c>
      <c r="B75" s="48" t="s">
        <v>439</v>
      </c>
      <c r="C75" s="180">
        <f>+C14</f>
        <v>82425087</v>
      </c>
      <c r="D75" s="180">
        <f>+D14</f>
        <v>85362191</v>
      </c>
      <c r="E75" s="180">
        <f>+E14</f>
        <v>88487473</v>
      </c>
      <c r="F75" s="28"/>
    </row>
    <row r="76" spans="1:6" ht="24" customHeight="1">
      <c r="A76" s="21">
        <v>9</v>
      </c>
      <c r="B76" s="45" t="s">
        <v>462</v>
      </c>
      <c r="C76" s="180">
        <v>4153828</v>
      </c>
      <c r="D76" s="180">
        <v>3977866</v>
      </c>
      <c r="E76" s="180">
        <v>3973806</v>
      </c>
      <c r="F76" s="28"/>
    </row>
    <row r="77" spans="1:6" ht="24" customHeight="1">
      <c r="A77" s="21">
        <v>10</v>
      </c>
      <c r="B77" s="45" t="s">
        <v>463</v>
      </c>
      <c r="C77" s="180">
        <f>+C75-C76</f>
        <v>78271259</v>
      </c>
      <c r="D77" s="180">
        <f>+D75-D76</f>
        <v>81384325</v>
      </c>
      <c r="E77" s="180">
        <f>+E75-E76</f>
        <v>84513667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464</v>
      </c>
      <c r="C79" s="179">
        <f>IF((C84/365)=0,0,+C83/(C84/365))</f>
        <v>33.643181407813216</v>
      </c>
      <c r="D79" s="179">
        <f>IF((D84/365)=0,0,+D83/(D84/365))</f>
        <v>48.898304289742285</v>
      </c>
      <c r="E79" s="179">
        <f>IF((E84/365)=0,0,+E83/(E84/365))</f>
        <v>49.4073176328508</v>
      </c>
      <c r="F79" s="28"/>
    </row>
    <row r="80" spans="1:6" ht="24" customHeight="1">
      <c r="A80" s="21">
        <v>12</v>
      </c>
      <c r="B80" s="188" t="s">
        <v>465</v>
      </c>
      <c r="C80" s="189">
        <v>9575426</v>
      </c>
      <c r="D80" s="189">
        <v>13366597</v>
      </c>
      <c r="E80" s="189">
        <v>13535241</v>
      </c>
      <c r="F80" s="28"/>
    </row>
    <row r="81" spans="1:6" ht="24" customHeight="1">
      <c r="A81" s="21">
        <v>13</v>
      </c>
      <c r="B81" s="188" t="s">
        <v>136</v>
      </c>
      <c r="C81" s="190">
        <v>0</v>
      </c>
      <c r="D81" s="190">
        <v>0</v>
      </c>
      <c r="E81" s="190">
        <v>0</v>
      </c>
      <c r="F81" s="28"/>
    </row>
    <row r="82" spans="1:6" ht="24" customHeight="1">
      <c r="A82" s="21">
        <v>14</v>
      </c>
      <c r="B82" s="188" t="s">
        <v>164</v>
      </c>
      <c r="C82" s="190">
        <v>2511936</v>
      </c>
      <c r="D82" s="190">
        <v>2213360</v>
      </c>
      <c r="E82" s="190">
        <v>2372068</v>
      </c>
      <c r="F82" s="28"/>
    </row>
    <row r="83" spans="1:6" ht="33.75" customHeight="1">
      <c r="A83" s="21">
        <v>15</v>
      </c>
      <c r="B83" s="45" t="s">
        <v>466</v>
      </c>
      <c r="C83" s="191">
        <f>+C80+C81-C82</f>
        <v>7063490</v>
      </c>
      <c r="D83" s="191">
        <f>+D80+D81-D82</f>
        <v>11153237</v>
      </c>
      <c r="E83" s="191">
        <f>+E80+E81-E82</f>
        <v>11163173</v>
      </c>
      <c r="F83" s="28"/>
    </row>
    <row r="84" spans="1:6" ht="24" customHeight="1">
      <c r="A84" s="21">
        <v>16</v>
      </c>
      <c r="B84" s="48" t="s">
        <v>190</v>
      </c>
      <c r="C84" s="180">
        <f>+C11</f>
        <v>76632879</v>
      </c>
      <c r="D84" s="191">
        <f>+D11</f>
        <v>83253020</v>
      </c>
      <c r="E84" s="191">
        <f>+E11</f>
        <v>82468718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467</v>
      </c>
      <c r="C86" s="179">
        <f>IF((C90/365)=0,0,+C87/(C90/365))</f>
        <v>68.75229840112831</v>
      </c>
      <c r="D86" s="179">
        <f>IF((D90/365)=0,0,+D87/(D90/365))</f>
        <v>71.90879859235793</v>
      </c>
      <c r="E86" s="179">
        <f>IF((E90/365)=0,0,+E87/(E90/365))</f>
        <v>72.4631031570314</v>
      </c>
      <c r="F86" s="13"/>
    </row>
    <row r="87" spans="1:6" ht="24" customHeight="1">
      <c r="A87" s="21">
        <v>18</v>
      </c>
      <c r="B87" s="48" t="s">
        <v>169</v>
      </c>
      <c r="C87" s="51">
        <f>+C69</f>
        <v>14743367</v>
      </c>
      <c r="D87" s="51">
        <f>+D69</f>
        <v>16033559</v>
      </c>
      <c r="E87" s="51">
        <f>+E69</f>
        <v>16778418</v>
      </c>
      <c r="F87" s="28"/>
    </row>
    <row r="88" spans="1:6" ht="24" customHeight="1">
      <c r="A88" s="21">
        <v>19</v>
      </c>
      <c r="B88" s="48" t="s">
        <v>439</v>
      </c>
      <c r="C88" s="51">
        <f aca="true" t="shared" si="0" ref="C88:E89">+C75</f>
        <v>82425087</v>
      </c>
      <c r="D88" s="51">
        <f t="shared" si="0"/>
        <v>85362191</v>
      </c>
      <c r="E88" s="51">
        <f t="shared" si="0"/>
        <v>88487473</v>
      </c>
      <c r="F88" s="28"/>
    </row>
    <row r="89" spans="1:6" ht="24" customHeight="1">
      <c r="A89" s="21">
        <v>20</v>
      </c>
      <c r="B89" s="48" t="s">
        <v>462</v>
      </c>
      <c r="C89" s="52">
        <f t="shared" si="0"/>
        <v>4153828</v>
      </c>
      <c r="D89" s="52">
        <f t="shared" si="0"/>
        <v>3977866</v>
      </c>
      <c r="E89" s="52">
        <f t="shared" si="0"/>
        <v>3973806</v>
      </c>
      <c r="F89" s="28"/>
    </row>
    <row r="90" spans="1:6" ht="24" customHeight="1">
      <c r="A90" s="21">
        <v>21</v>
      </c>
      <c r="B90" s="48" t="s">
        <v>468</v>
      </c>
      <c r="C90" s="51">
        <f>+C88-C89</f>
        <v>78271259</v>
      </c>
      <c r="D90" s="51">
        <f>+D88-D89</f>
        <v>81384325</v>
      </c>
      <c r="E90" s="51">
        <f>+E88-E89</f>
        <v>84513667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469</v>
      </c>
      <c r="B92" s="41" t="s">
        <v>470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471</v>
      </c>
      <c r="C94" s="192">
        <f>IF(C96=0,0,(C95/C96)*100)</f>
        <v>65.29473440540056</v>
      </c>
      <c r="D94" s="192">
        <f>IF(D96=0,0,(D95/D96)*100)</f>
        <v>58.09713908596853</v>
      </c>
      <c r="E94" s="192">
        <f>IF(E96=0,0,(E95/E96)*100)</f>
        <v>47.910990276353296</v>
      </c>
      <c r="F94" s="28"/>
    </row>
    <row r="95" spans="1:6" ht="24" customHeight="1">
      <c r="A95" s="21">
        <v>2</v>
      </c>
      <c r="B95" s="48" t="s">
        <v>182</v>
      </c>
      <c r="C95" s="51">
        <f>+C32</f>
        <v>58447019</v>
      </c>
      <c r="D95" s="51">
        <f>+D32</f>
        <v>48780238</v>
      </c>
      <c r="E95" s="51">
        <f>+E32</f>
        <v>38098899</v>
      </c>
      <c r="F95" s="28"/>
    </row>
    <row r="96" spans="1:6" ht="24" customHeight="1">
      <c r="A96" s="21">
        <v>3</v>
      </c>
      <c r="B96" s="48" t="s">
        <v>158</v>
      </c>
      <c r="C96" s="51">
        <v>89512607</v>
      </c>
      <c r="D96" s="51">
        <v>83963236</v>
      </c>
      <c r="E96" s="51">
        <v>79520166</v>
      </c>
      <c r="F96" s="28"/>
    </row>
    <row r="97" spans="1:6" ht="24" customHeight="1">
      <c r="A97" s="170"/>
      <c r="B97" s="30"/>
      <c r="C97" s="193"/>
      <c r="D97" s="193"/>
      <c r="E97" s="53"/>
      <c r="F97" s="28"/>
    </row>
    <row r="98" spans="1:6" ht="24" customHeight="1">
      <c r="A98" s="29">
        <v>4</v>
      </c>
      <c r="B98" s="30" t="s">
        <v>472</v>
      </c>
      <c r="C98" s="192">
        <f>IF(C104=0,0,(C101/C104)*100)</f>
        <v>22.9743472167846</v>
      </c>
      <c r="D98" s="192">
        <f>IF(D104=0,0,(D101/D104)*100)</f>
        <v>-5.478811480202584</v>
      </c>
      <c r="E98" s="192">
        <f>IF(E104=0,0,(E101/E104)*100)</f>
        <v>1.7739219053953985</v>
      </c>
      <c r="F98" s="28"/>
    </row>
    <row r="99" spans="1:6" ht="24" customHeight="1">
      <c r="A99" s="21">
        <v>5</v>
      </c>
      <c r="B99" s="48" t="s">
        <v>473</v>
      </c>
      <c r="C99" s="51">
        <f>+C28</f>
        <v>243182</v>
      </c>
      <c r="D99" s="51">
        <f>+D28</f>
        <v>-5054485</v>
      </c>
      <c r="E99" s="51">
        <f>+E28</f>
        <v>-3626792</v>
      </c>
      <c r="F99" s="28"/>
    </row>
    <row r="100" spans="1:6" ht="24" customHeight="1">
      <c r="A100" s="21">
        <v>6</v>
      </c>
      <c r="B100" s="48" t="s">
        <v>462</v>
      </c>
      <c r="C100" s="52">
        <f>+C76</f>
        <v>4153828</v>
      </c>
      <c r="D100" s="52">
        <f>+D76</f>
        <v>3977866</v>
      </c>
      <c r="E100" s="52">
        <f>+E76</f>
        <v>3973806</v>
      </c>
      <c r="F100" s="28"/>
    </row>
    <row r="101" spans="1:6" ht="24" customHeight="1">
      <c r="A101" s="21">
        <v>7</v>
      </c>
      <c r="B101" s="48" t="s">
        <v>474</v>
      </c>
      <c r="C101" s="51">
        <f>+C99+C100</f>
        <v>4397010</v>
      </c>
      <c r="D101" s="51">
        <f>+D99+D100</f>
        <v>-1076619</v>
      </c>
      <c r="E101" s="51">
        <f>+E99+E100</f>
        <v>347014</v>
      </c>
      <c r="F101" s="28"/>
    </row>
    <row r="102" spans="1:6" ht="24" customHeight="1">
      <c r="A102" s="21">
        <v>8</v>
      </c>
      <c r="B102" s="48" t="s">
        <v>169</v>
      </c>
      <c r="C102" s="180">
        <f>+C69</f>
        <v>14743367</v>
      </c>
      <c r="D102" s="180">
        <f>+D69</f>
        <v>16033559</v>
      </c>
      <c r="E102" s="180">
        <f>+E69</f>
        <v>16778418</v>
      </c>
      <c r="F102" s="28"/>
    </row>
    <row r="103" spans="1:6" ht="24" customHeight="1">
      <c r="A103" s="21">
        <v>9</v>
      </c>
      <c r="B103" s="48" t="s">
        <v>173</v>
      </c>
      <c r="C103" s="194">
        <v>4395414</v>
      </c>
      <c r="D103" s="194">
        <v>3617035</v>
      </c>
      <c r="E103" s="194">
        <v>2783548</v>
      </c>
      <c r="F103" s="28"/>
    </row>
    <row r="104" spans="1:6" ht="24" customHeight="1">
      <c r="A104" s="21">
        <v>10</v>
      </c>
      <c r="B104" s="195" t="s">
        <v>475</v>
      </c>
      <c r="C104" s="180">
        <f>+C102+C103</f>
        <v>19138781</v>
      </c>
      <c r="D104" s="180">
        <f>+D102+D103</f>
        <v>19650594</v>
      </c>
      <c r="E104" s="180">
        <f>+E102+E103</f>
        <v>19561966</v>
      </c>
      <c r="F104" s="28"/>
    </row>
    <row r="105" spans="1:6" ht="24" customHeight="1">
      <c r="A105" s="170"/>
      <c r="B105" s="30"/>
      <c r="C105" s="196"/>
      <c r="D105" s="196"/>
      <c r="E105" s="186"/>
      <c r="F105" s="28"/>
    </row>
    <row r="106" spans="1:6" ht="24" customHeight="1">
      <c r="A106" s="20">
        <v>11</v>
      </c>
      <c r="B106" s="30" t="s">
        <v>476</v>
      </c>
      <c r="C106" s="197">
        <f>IF(C109=0,0,(C107/C109)*100)</f>
        <v>6.994340909748035</v>
      </c>
      <c r="D106" s="197">
        <f>IF(D109=0,0,(D107/D109)*100)</f>
        <v>6.903097800528665</v>
      </c>
      <c r="E106" s="197">
        <f>IF(E109=0,0,(E107/E109)*100)</f>
        <v>6.8086628963281</v>
      </c>
      <c r="F106" s="28"/>
    </row>
    <row r="107" spans="1:6" ht="24" customHeight="1">
      <c r="A107" s="17">
        <v>12</v>
      </c>
      <c r="B107" s="48" t="s">
        <v>173</v>
      </c>
      <c r="C107" s="180">
        <f>+C103</f>
        <v>4395414</v>
      </c>
      <c r="D107" s="180">
        <f>+D103</f>
        <v>3617035</v>
      </c>
      <c r="E107" s="180">
        <f>+E103</f>
        <v>2783548</v>
      </c>
      <c r="F107" s="28"/>
    </row>
    <row r="108" spans="1:6" ht="24" customHeight="1">
      <c r="A108" s="17">
        <v>13</v>
      </c>
      <c r="B108" s="48" t="s">
        <v>182</v>
      </c>
      <c r="C108" s="180">
        <f>+C32</f>
        <v>58447019</v>
      </c>
      <c r="D108" s="180">
        <f>+D32</f>
        <v>48780238</v>
      </c>
      <c r="E108" s="180">
        <f>+E32</f>
        <v>38098899</v>
      </c>
      <c r="F108" s="28"/>
    </row>
    <row r="109" spans="1:6" ht="24" customHeight="1">
      <c r="A109" s="17">
        <v>14</v>
      </c>
      <c r="B109" s="48" t="s">
        <v>477</v>
      </c>
      <c r="C109" s="180">
        <f>+C107+C108</f>
        <v>62842433</v>
      </c>
      <c r="D109" s="180">
        <f>+D107+D108</f>
        <v>52397273</v>
      </c>
      <c r="E109" s="180">
        <f>+E107+E108</f>
        <v>40882447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478</v>
      </c>
      <c r="C111" s="197">
        <f>IF((+C113+C115)=0,0,((+C112+C113+C114)/(+C113+C115)))</f>
        <v>12.30057877747394</v>
      </c>
      <c r="D111" s="197">
        <f>IF((+D113+D115)=0,0,((+D112+D113+D114)/(+D113+D115)))</f>
        <v>-2.187366220909061</v>
      </c>
      <c r="E111" s="197">
        <f>IF((+E113+E115)=0,0,((+E112+E113+E114)/(+E113+E115)))</f>
        <v>0.5927983461400494</v>
      </c>
    </row>
    <row r="112" spans="1:6" ht="24" customHeight="1">
      <c r="A112" s="17">
        <v>16</v>
      </c>
      <c r="B112" s="48" t="s">
        <v>479</v>
      </c>
      <c r="C112" s="180">
        <f>+C17</f>
        <v>243182</v>
      </c>
      <c r="D112" s="180">
        <f>+D17</f>
        <v>-5054485</v>
      </c>
      <c r="E112" s="180">
        <f>+E17</f>
        <v>-3626792</v>
      </c>
      <c r="F112" s="28"/>
    </row>
    <row r="113" spans="1:6" ht="24" customHeight="1">
      <c r="A113" s="17">
        <v>17</v>
      </c>
      <c r="B113" s="48" t="s">
        <v>301</v>
      </c>
      <c r="C113" s="180">
        <v>389096</v>
      </c>
      <c r="D113" s="180">
        <v>337777</v>
      </c>
      <c r="E113" s="180">
        <v>280961</v>
      </c>
      <c r="F113" s="28"/>
    </row>
    <row r="114" spans="1:6" ht="24" customHeight="1">
      <c r="A114" s="17">
        <v>18</v>
      </c>
      <c r="B114" s="48" t="s">
        <v>480</v>
      </c>
      <c r="C114" s="180">
        <v>4153828</v>
      </c>
      <c r="D114" s="180">
        <v>3977866</v>
      </c>
      <c r="E114" s="180">
        <v>3973806</v>
      </c>
      <c r="F114" s="28"/>
    </row>
    <row r="115" spans="1:6" ht="24" customHeight="1">
      <c r="A115" s="17">
        <v>19</v>
      </c>
      <c r="B115" s="48" t="s">
        <v>217</v>
      </c>
      <c r="C115" s="180">
        <v>0</v>
      </c>
      <c r="D115" s="180">
        <v>0</v>
      </c>
      <c r="E115" s="180">
        <v>778379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481</v>
      </c>
      <c r="B117" s="30" t="s">
        <v>482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483</v>
      </c>
      <c r="C119" s="197">
        <f>IF(+C121=0,0,(+C120)/(+C121))</f>
        <v>8.857670322411039</v>
      </c>
      <c r="D119" s="197">
        <f>IF(+D121=0,0,(+D120)/(+D121))</f>
        <v>10.13920026466452</v>
      </c>
      <c r="E119" s="197">
        <f>IF(+E121=0,0,(+E120)/(+E121))</f>
        <v>10.712739373789258</v>
      </c>
    </row>
    <row r="120" spans="1:6" ht="24" customHeight="1">
      <c r="A120" s="17">
        <v>21</v>
      </c>
      <c r="B120" s="48" t="s">
        <v>484</v>
      </c>
      <c r="C120" s="180">
        <v>36793239</v>
      </c>
      <c r="D120" s="180">
        <v>40332380</v>
      </c>
      <c r="E120" s="180">
        <v>42570348</v>
      </c>
      <c r="F120" s="28"/>
    </row>
    <row r="121" spans="1:6" ht="24" customHeight="1">
      <c r="A121" s="17">
        <v>22</v>
      </c>
      <c r="B121" s="48" t="s">
        <v>480</v>
      </c>
      <c r="C121" s="180">
        <v>4153828</v>
      </c>
      <c r="D121" s="180">
        <v>3977866</v>
      </c>
      <c r="E121" s="180">
        <v>3973806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485</v>
      </c>
      <c r="B123" s="30" t="s">
        <v>486</v>
      </c>
      <c r="C123" s="27"/>
      <c r="D123" s="27"/>
      <c r="E123" s="53"/>
    </row>
    <row r="124" spans="1:5" ht="24" customHeight="1">
      <c r="A124" s="44">
        <v>1</v>
      </c>
      <c r="B124" s="48" t="s">
        <v>487</v>
      </c>
      <c r="C124" s="198">
        <v>22304</v>
      </c>
      <c r="D124" s="198">
        <v>21629</v>
      </c>
      <c r="E124" s="198">
        <v>20370</v>
      </c>
    </row>
    <row r="125" spans="1:5" ht="24" customHeight="1">
      <c r="A125" s="44">
        <v>2</v>
      </c>
      <c r="B125" s="48" t="s">
        <v>488</v>
      </c>
      <c r="C125" s="198">
        <v>5026</v>
      </c>
      <c r="D125" s="198">
        <v>4935</v>
      </c>
      <c r="E125" s="198">
        <v>4800</v>
      </c>
    </row>
    <row r="126" spans="1:5" ht="24" customHeight="1">
      <c r="A126" s="44">
        <v>3</v>
      </c>
      <c r="B126" s="48" t="s">
        <v>489</v>
      </c>
      <c r="C126" s="199">
        <f>IF(C125=0,0,C124/C125)</f>
        <v>4.437723836052527</v>
      </c>
      <c r="D126" s="199">
        <f>IF(D125=0,0,D124/D125)</f>
        <v>4.3827760891590675</v>
      </c>
      <c r="E126" s="199">
        <f>IF(E125=0,0,E124/E125)</f>
        <v>4.24375</v>
      </c>
    </row>
    <row r="127" spans="1:5" ht="24" customHeight="1">
      <c r="A127" s="44">
        <v>4</v>
      </c>
      <c r="B127" s="48" t="s">
        <v>490</v>
      </c>
      <c r="C127" s="198">
        <v>65</v>
      </c>
      <c r="D127" s="198">
        <v>61</v>
      </c>
      <c r="E127" s="198">
        <v>59</v>
      </c>
    </row>
    <row r="128" spans="1:8" ht="24" customHeight="1">
      <c r="A128" s="44">
        <v>5</v>
      </c>
      <c r="B128" s="48" t="s">
        <v>491</v>
      </c>
      <c r="C128" s="198">
        <v>0</v>
      </c>
      <c r="D128" s="198">
        <v>0</v>
      </c>
      <c r="E128" s="198">
        <v>118</v>
      </c>
      <c r="G128" s="6"/>
      <c r="H128" s="12"/>
    </row>
    <row r="129" spans="1:8" ht="24" customHeight="1">
      <c r="A129" s="44">
        <v>6</v>
      </c>
      <c r="B129" s="48" t="s">
        <v>492</v>
      </c>
      <c r="C129" s="198">
        <v>118</v>
      </c>
      <c r="D129" s="198">
        <v>118</v>
      </c>
      <c r="E129" s="198">
        <v>118</v>
      </c>
      <c r="G129" s="6"/>
      <c r="H129" s="12"/>
    </row>
    <row r="130" spans="1:5" ht="24" customHeight="1">
      <c r="A130" s="44">
        <v>6</v>
      </c>
      <c r="B130" s="48" t="s">
        <v>493</v>
      </c>
      <c r="C130" s="171">
        <v>0.9401</v>
      </c>
      <c r="D130" s="171">
        <v>0.9714</v>
      </c>
      <c r="E130" s="171">
        <v>0.9459</v>
      </c>
    </row>
    <row r="131" spans="1:5" ht="24" customHeight="1">
      <c r="A131" s="44">
        <v>7</v>
      </c>
      <c r="B131" s="48" t="s">
        <v>494</v>
      </c>
      <c r="C131" s="171">
        <v>0.5178</v>
      </c>
      <c r="D131" s="171">
        <v>0.5021</v>
      </c>
      <c r="E131" s="171">
        <v>0.4729</v>
      </c>
    </row>
    <row r="132" spans="1:5" ht="24" customHeight="1">
      <c r="A132" s="44">
        <v>8</v>
      </c>
      <c r="B132" s="48" t="s">
        <v>495</v>
      </c>
      <c r="C132" s="199">
        <v>561</v>
      </c>
      <c r="D132" s="199">
        <v>560</v>
      </c>
      <c r="E132" s="199">
        <v>547.9</v>
      </c>
    </row>
    <row r="133" ht="24" customHeight="1">
      <c r="B133" s="55"/>
    </row>
    <row r="134" spans="1:6" ht="19.5" customHeight="1">
      <c r="A134" s="200" t="s">
        <v>127</v>
      </c>
      <c r="B134" s="30" t="s">
        <v>496</v>
      </c>
      <c r="C134" s="201"/>
      <c r="D134" s="201"/>
      <c r="E134" s="201"/>
      <c r="F134" s="56"/>
    </row>
    <row r="135" spans="1:7" ht="19.5" customHeight="1">
      <c r="A135" s="202">
        <v>1</v>
      </c>
      <c r="B135" s="195" t="s">
        <v>497</v>
      </c>
      <c r="C135" s="203">
        <f>IF(C149=0,0,C143/C149)</f>
        <v>0.4046074619281498</v>
      </c>
      <c r="D135" s="203">
        <f>IF(D149=0,0,D143/D149)</f>
        <v>0.38771721743353876</v>
      </c>
      <c r="E135" s="203">
        <f>IF(E149=0,0,E143/E149)</f>
        <v>0.3981789312959431</v>
      </c>
      <c r="G135" s="6"/>
    </row>
    <row r="136" spans="1:5" ht="19.5" customHeight="1">
      <c r="A136" s="202">
        <v>2</v>
      </c>
      <c r="B136" s="195" t="s">
        <v>498</v>
      </c>
      <c r="C136" s="203">
        <f>IF(C149=0,0,C144/C149)</f>
        <v>0.49499165159672587</v>
      </c>
      <c r="D136" s="203">
        <f>IF(D149=0,0,D144/D149)</f>
        <v>0.5029579442555212</v>
      </c>
      <c r="E136" s="203">
        <f>IF(E149=0,0,E144/E149)</f>
        <v>0.48113710074341987</v>
      </c>
    </row>
    <row r="137" spans="1:7" ht="19.5" customHeight="1">
      <c r="A137" s="202">
        <v>3</v>
      </c>
      <c r="B137" s="195" t="s">
        <v>499</v>
      </c>
      <c r="C137" s="203">
        <f>IF(C149=0,0,C145/C149)</f>
        <v>0.07201905622070458</v>
      </c>
      <c r="D137" s="203">
        <f>IF(D149=0,0,D145/D149)</f>
        <v>0.07697607198604947</v>
      </c>
      <c r="E137" s="203">
        <f>IF(E149=0,0,E145/E149)</f>
        <v>0.07066063648214906</v>
      </c>
      <c r="G137" s="6"/>
    </row>
    <row r="138" spans="1:7" ht="19.5" customHeight="1">
      <c r="A138" s="202">
        <v>4</v>
      </c>
      <c r="B138" s="195" t="s">
        <v>500</v>
      </c>
      <c r="C138" s="203">
        <f>IF(C149=0,0,C146/C149)</f>
        <v>0.0010698002705346273</v>
      </c>
      <c r="D138" s="203">
        <f>IF(D149=0,0,D146/D149)</f>
        <v>0.0006278280875163439</v>
      </c>
      <c r="E138" s="203">
        <f>IF(E149=0,0,E146/E149)</f>
        <v>0.01310284624415355</v>
      </c>
      <c r="G138" s="6"/>
    </row>
    <row r="139" spans="1:5" ht="19.5" customHeight="1">
      <c r="A139" s="202">
        <v>5</v>
      </c>
      <c r="B139" s="195" t="s">
        <v>501</v>
      </c>
      <c r="C139" s="203">
        <f>IF(C149=0,0,C147/C149)</f>
        <v>0.025301341257262855</v>
      </c>
      <c r="D139" s="203">
        <f>IF(D149=0,0,D147/D149)</f>
        <v>0.030497762829280125</v>
      </c>
      <c r="E139" s="203">
        <f>IF(E149=0,0,E147/E149)</f>
        <v>0.03564145557778629</v>
      </c>
    </row>
    <row r="140" spans="1:5" ht="19.5" customHeight="1">
      <c r="A140" s="202">
        <v>6</v>
      </c>
      <c r="B140" s="195" t="s">
        <v>502</v>
      </c>
      <c r="C140" s="203">
        <f>IF(C149=0,0,C148/C149)</f>
        <v>0.002010688726622263</v>
      </c>
      <c r="D140" s="203">
        <f>IF(D149=0,0,D148/D149)</f>
        <v>0.0012231754080941027</v>
      </c>
      <c r="E140" s="203">
        <f>IF(E149=0,0,E148/E149)</f>
        <v>0.0012790296565481423</v>
      </c>
    </row>
    <row r="141" spans="1:5" ht="19.5" customHeight="1">
      <c r="A141" s="202">
        <v>7</v>
      </c>
      <c r="B141" s="195" t="s">
        <v>503</v>
      </c>
      <c r="C141" s="203">
        <f>SUM(C135:C140)</f>
        <v>1</v>
      </c>
      <c r="D141" s="203">
        <f>SUM(D135:D140)</f>
        <v>1</v>
      </c>
      <c r="E141" s="203">
        <f>SUM(E135:E140)</f>
        <v>1</v>
      </c>
    </row>
    <row r="142" spans="1:5" ht="19.5" customHeight="1">
      <c r="A142" s="55"/>
      <c r="B142" s="55"/>
      <c r="C142" s="201"/>
      <c r="D142" s="201"/>
      <c r="E142" s="201"/>
    </row>
    <row r="143" spans="1:5" ht="19.5" customHeight="1">
      <c r="A143" s="202">
        <v>8</v>
      </c>
      <c r="B143" s="201" t="s">
        <v>504</v>
      </c>
      <c r="C143" s="204">
        <f>+C46-C147</f>
        <v>84881314</v>
      </c>
      <c r="D143" s="205">
        <f>+D46-D147</f>
        <v>86219684</v>
      </c>
      <c r="E143" s="205">
        <f>+E46-E147</f>
        <v>87256757</v>
      </c>
    </row>
    <row r="144" spans="1:5" ht="19.5" customHeight="1">
      <c r="A144" s="202">
        <v>9</v>
      </c>
      <c r="B144" s="201" t="s">
        <v>505</v>
      </c>
      <c r="C144" s="206">
        <f>+C51</f>
        <v>103842726</v>
      </c>
      <c r="D144" s="205">
        <f>+D51</f>
        <v>111846658</v>
      </c>
      <c r="E144" s="205">
        <f>+E51</f>
        <v>105436174</v>
      </c>
    </row>
    <row r="145" spans="1:5" ht="19.5" customHeight="1">
      <c r="A145" s="202">
        <v>10</v>
      </c>
      <c r="B145" s="201" t="s">
        <v>506</v>
      </c>
      <c r="C145" s="206">
        <f>+C55</f>
        <v>15108649</v>
      </c>
      <c r="D145" s="205">
        <f>+D55</f>
        <v>17117766</v>
      </c>
      <c r="E145" s="205">
        <f>+E55</f>
        <v>15484541</v>
      </c>
    </row>
    <row r="146" spans="1:5" ht="19.5" customHeight="1">
      <c r="A146" s="202">
        <v>11</v>
      </c>
      <c r="B146" s="201" t="s">
        <v>507</v>
      </c>
      <c r="C146" s="204">
        <v>224430</v>
      </c>
      <c r="D146" s="205">
        <v>139615</v>
      </c>
      <c r="E146" s="205">
        <v>2871352</v>
      </c>
    </row>
    <row r="147" spans="1:5" ht="19.5" customHeight="1">
      <c r="A147" s="202">
        <v>12</v>
      </c>
      <c r="B147" s="201" t="s">
        <v>508</v>
      </c>
      <c r="C147" s="206">
        <f>+C47</f>
        <v>5307888</v>
      </c>
      <c r="D147" s="205">
        <f>+D47</f>
        <v>6782024</v>
      </c>
      <c r="E147" s="205">
        <f>+E47</f>
        <v>7810453</v>
      </c>
    </row>
    <row r="148" spans="1:5" ht="19.5" customHeight="1">
      <c r="A148" s="202">
        <v>13</v>
      </c>
      <c r="B148" s="201" t="s">
        <v>509</v>
      </c>
      <c r="C148" s="206">
        <v>421816</v>
      </c>
      <c r="D148" s="205">
        <v>272007</v>
      </c>
      <c r="E148" s="205">
        <v>280286</v>
      </c>
    </row>
    <row r="149" spans="1:5" ht="19.5" customHeight="1">
      <c r="A149" s="202">
        <v>14</v>
      </c>
      <c r="B149" s="201" t="s">
        <v>510</v>
      </c>
      <c r="C149" s="204">
        <f>SUM(C143:C148)</f>
        <v>209786823</v>
      </c>
      <c r="D149" s="205">
        <f>SUM(D143:D148)</f>
        <v>222377754</v>
      </c>
      <c r="E149" s="205">
        <f>SUM(E143:E148)</f>
        <v>219139563</v>
      </c>
    </row>
    <row r="150" spans="1:5" ht="19.5" customHeight="1">
      <c r="A150" s="55"/>
      <c r="B150" s="55"/>
      <c r="C150" s="201"/>
      <c r="D150" s="201"/>
      <c r="E150" s="201"/>
    </row>
    <row r="151" spans="1:5" ht="19.5" customHeight="1">
      <c r="A151" s="200" t="s">
        <v>511</v>
      </c>
      <c r="B151" s="30" t="s">
        <v>512</v>
      </c>
      <c r="C151" s="201"/>
      <c r="D151" s="201"/>
      <c r="E151" s="201"/>
    </row>
    <row r="152" spans="1:5" ht="19.5" customHeight="1">
      <c r="A152" s="202">
        <v>1</v>
      </c>
      <c r="B152" s="195" t="s">
        <v>513</v>
      </c>
      <c r="C152" s="203">
        <f>IF(C166=0,0,C160/C166)</f>
        <v>0.523773136403015</v>
      </c>
      <c r="D152" s="203">
        <f>IF(D166=0,0,D160/D166)</f>
        <v>0.48810976633058684</v>
      </c>
      <c r="E152" s="203">
        <f>IF(E166=0,0,E160/E166)</f>
        <v>0.5084740548032823</v>
      </c>
    </row>
    <row r="153" spans="1:5" ht="19.5" customHeight="1">
      <c r="A153" s="202">
        <v>2</v>
      </c>
      <c r="B153" s="195" t="s">
        <v>514</v>
      </c>
      <c r="C153" s="203">
        <f>IF(C166=0,0,C161/C166)</f>
        <v>0.42248516749401793</v>
      </c>
      <c r="D153" s="203">
        <f>IF(D166=0,0,D161/D166)</f>
        <v>0.4428455532516501</v>
      </c>
      <c r="E153" s="203">
        <f>IF(E166=0,0,E161/E166)</f>
        <v>0.43236773529617584</v>
      </c>
    </row>
    <row r="154" spans="1:5" ht="19.5" customHeight="1">
      <c r="A154" s="202">
        <v>3</v>
      </c>
      <c r="B154" s="195" t="s">
        <v>515</v>
      </c>
      <c r="C154" s="203">
        <f>IF(C166=0,0,C162/C166)</f>
        <v>0.04309649612053008</v>
      </c>
      <c r="D154" s="203">
        <f>IF(D166=0,0,D162/D166)</f>
        <v>0.043947054191490226</v>
      </c>
      <c r="E154" s="203">
        <f>IF(E166=0,0,E162/E166)</f>
        <v>0.0446663915503874</v>
      </c>
    </row>
    <row r="155" spans="1:7" ht="19.5" customHeight="1">
      <c r="A155" s="202">
        <v>4</v>
      </c>
      <c r="B155" s="195" t="s">
        <v>516</v>
      </c>
      <c r="C155" s="203">
        <f>IF(C166=0,0,C163/C166)</f>
        <v>0.0009384854251643214</v>
      </c>
      <c r="D155" s="203">
        <f>IF(D166=0,0,D163/D166)</f>
        <v>0.0007963520135769647</v>
      </c>
      <c r="E155" s="203">
        <f>IF(E166=0,0,E163/E166)</f>
        <v>0.004117687998967893</v>
      </c>
      <c r="G155" s="6"/>
    </row>
    <row r="156" spans="1:5" ht="19.5" customHeight="1">
      <c r="A156" s="202">
        <v>5</v>
      </c>
      <c r="B156" s="195" t="s">
        <v>517</v>
      </c>
      <c r="C156" s="203">
        <f>IF(C166=0,0,C164/C166)</f>
        <v>0.007348240462148672</v>
      </c>
      <c r="D156" s="203">
        <f>IF(D166=0,0,D164/D166)</f>
        <v>0.022848451917776725</v>
      </c>
      <c r="E156" s="203">
        <f>IF(E166=0,0,E164/E166)</f>
        <v>0.008832500702431766</v>
      </c>
    </row>
    <row r="157" spans="1:5" ht="19.5" customHeight="1">
      <c r="A157" s="202">
        <v>6</v>
      </c>
      <c r="B157" s="195" t="s">
        <v>518</v>
      </c>
      <c r="C157" s="203">
        <f>IF(C166=0,0,C165/C166)</f>
        <v>0.002358474095124008</v>
      </c>
      <c r="D157" s="203">
        <f>IF(D166=0,0,D165/D166)</f>
        <v>0.0014528222949191762</v>
      </c>
      <c r="E157" s="203">
        <f>IF(E166=0,0,E165/E166)</f>
        <v>0.0015416296487547902</v>
      </c>
    </row>
    <row r="158" spans="1:5" ht="19.5" customHeight="1">
      <c r="A158" s="202">
        <v>7</v>
      </c>
      <c r="B158" s="195" t="s">
        <v>519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2">
        <v>8</v>
      </c>
      <c r="B160" s="201" t="s">
        <v>520</v>
      </c>
      <c r="C160" s="207">
        <f>+C44-C164</f>
        <v>36824865</v>
      </c>
      <c r="D160" s="208">
        <f>+D44-D164</f>
        <v>37490609</v>
      </c>
      <c r="E160" s="208">
        <f>+E44-E164</f>
        <v>37449766</v>
      </c>
    </row>
    <row r="161" spans="1:5" ht="19.5" customHeight="1">
      <c r="A161" s="202">
        <v>9</v>
      </c>
      <c r="B161" s="201" t="s">
        <v>521</v>
      </c>
      <c r="C161" s="209">
        <f>+C50</f>
        <v>29703622</v>
      </c>
      <c r="D161" s="208">
        <f>+D50</f>
        <v>34013967</v>
      </c>
      <c r="E161" s="208">
        <f>+E50</f>
        <v>31844438</v>
      </c>
    </row>
    <row r="162" spans="1:5" ht="19.5" customHeight="1">
      <c r="A162" s="202">
        <v>10</v>
      </c>
      <c r="B162" s="201" t="s">
        <v>522</v>
      </c>
      <c r="C162" s="209">
        <f>+C54</f>
        <v>3029981</v>
      </c>
      <c r="D162" s="208">
        <f>+D54</f>
        <v>3375474</v>
      </c>
      <c r="E162" s="208">
        <f>+E54</f>
        <v>3289737</v>
      </c>
    </row>
    <row r="163" spans="1:5" ht="19.5" customHeight="1">
      <c r="A163" s="202">
        <v>11</v>
      </c>
      <c r="B163" s="201" t="s">
        <v>523</v>
      </c>
      <c r="C163" s="207">
        <v>65982</v>
      </c>
      <c r="D163" s="208">
        <v>61166</v>
      </c>
      <c r="E163" s="208">
        <v>303273</v>
      </c>
    </row>
    <row r="164" spans="1:5" ht="19.5" customHeight="1">
      <c r="A164" s="202">
        <v>12</v>
      </c>
      <c r="B164" s="201" t="s">
        <v>524</v>
      </c>
      <c r="C164" s="209">
        <f>+C45</f>
        <v>516632</v>
      </c>
      <c r="D164" s="208">
        <f>+D45</f>
        <v>1754938</v>
      </c>
      <c r="E164" s="208">
        <f>+E45</f>
        <v>650525</v>
      </c>
    </row>
    <row r="165" spans="1:5" ht="19.5" customHeight="1">
      <c r="A165" s="202">
        <v>13</v>
      </c>
      <c r="B165" s="201" t="s">
        <v>525</v>
      </c>
      <c r="C165" s="209">
        <v>165817</v>
      </c>
      <c r="D165" s="208">
        <v>111588</v>
      </c>
      <c r="E165" s="208">
        <v>113543</v>
      </c>
    </row>
    <row r="166" spans="1:5" ht="19.5" customHeight="1">
      <c r="A166" s="202">
        <v>14</v>
      </c>
      <c r="B166" s="201" t="s">
        <v>526</v>
      </c>
      <c r="C166" s="207">
        <f>SUM(C160:C165)</f>
        <v>70306899</v>
      </c>
      <c r="D166" s="208">
        <f>SUM(D160:D165)</f>
        <v>76807742</v>
      </c>
      <c r="E166" s="208">
        <f>SUM(E160:E165)</f>
        <v>73651282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200" t="s">
        <v>527</v>
      </c>
      <c r="B168" s="30" t="s">
        <v>488</v>
      </c>
      <c r="C168" s="201"/>
      <c r="D168" s="201"/>
      <c r="E168" s="201"/>
    </row>
    <row r="169" spans="1:5" ht="19.5" customHeight="1">
      <c r="A169" s="202">
        <v>1</v>
      </c>
      <c r="B169" s="201" t="s">
        <v>528</v>
      </c>
      <c r="C169" s="198">
        <v>2062</v>
      </c>
      <c r="D169" s="198">
        <v>1879</v>
      </c>
      <c r="E169" s="198">
        <v>1930</v>
      </c>
    </row>
    <row r="170" spans="1:5" ht="19.5" customHeight="1">
      <c r="A170" s="202">
        <v>2</v>
      </c>
      <c r="B170" s="201" t="s">
        <v>529</v>
      </c>
      <c r="C170" s="198">
        <v>2498</v>
      </c>
      <c r="D170" s="198">
        <v>2632</v>
      </c>
      <c r="E170" s="198">
        <v>2423</v>
      </c>
    </row>
    <row r="171" spans="1:5" ht="19.5" customHeight="1">
      <c r="A171" s="202">
        <v>3</v>
      </c>
      <c r="B171" s="201" t="s">
        <v>530</v>
      </c>
      <c r="C171" s="198">
        <v>455</v>
      </c>
      <c r="D171" s="198">
        <v>416</v>
      </c>
      <c r="E171" s="198">
        <v>444</v>
      </c>
    </row>
    <row r="172" spans="1:5" ht="19.5" customHeight="1">
      <c r="A172" s="202">
        <v>4</v>
      </c>
      <c r="B172" s="201" t="s">
        <v>531</v>
      </c>
      <c r="C172" s="198">
        <v>446</v>
      </c>
      <c r="D172" s="198">
        <v>414</v>
      </c>
      <c r="E172" s="198">
        <v>417</v>
      </c>
    </row>
    <row r="173" spans="1:5" ht="19.5" customHeight="1">
      <c r="A173" s="202">
        <v>5</v>
      </c>
      <c r="B173" s="201" t="s">
        <v>532</v>
      </c>
      <c r="C173" s="198">
        <v>9</v>
      </c>
      <c r="D173" s="198">
        <v>2</v>
      </c>
      <c r="E173" s="198">
        <v>27</v>
      </c>
    </row>
    <row r="174" spans="1:5" ht="19.5" customHeight="1">
      <c r="A174" s="202">
        <v>6</v>
      </c>
      <c r="B174" s="201" t="s">
        <v>533</v>
      </c>
      <c r="C174" s="198">
        <v>11</v>
      </c>
      <c r="D174" s="198">
        <v>8</v>
      </c>
      <c r="E174" s="198">
        <v>3</v>
      </c>
    </row>
    <row r="175" spans="1:5" ht="19.5" customHeight="1">
      <c r="A175" s="202">
        <v>7</v>
      </c>
      <c r="B175" s="201" t="s">
        <v>534</v>
      </c>
      <c r="C175" s="198">
        <v>89</v>
      </c>
      <c r="D175" s="198">
        <v>116</v>
      </c>
      <c r="E175" s="198">
        <v>99</v>
      </c>
    </row>
    <row r="176" spans="1:5" ht="19.5" customHeight="1">
      <c r="A176" s="202">
        <v>8</v>
      </c>
      <c r="B176" s="201" t="s">
        <v>535</v>
      </c>
      <c r="C176" s="198">
        <f>+C169+C170+C171+C174</f>
        <v>5026</v>
      </c>
      <c r="D176" s="198">
        <f>+D169+D170+D171+D174</f>
        <v>4935</v>
      </c>
      <c r="E176" s="198">
        <f>+E169+E170+E171+E174</f>
        <v>4800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200" t="s">
        <v>536</v>
      </c>
      <c r="B178" s="30" t="s">
        <v>537</v>
      </c>
      <c r="C178" s="201"/>
      <c r="D178" s="201"/>
      <c r="E178" s="201"/>
    </row>
    <row r="179" spans="1:5" ht="19.5" customHeight="1">
      <c r="A179" s="202">
        <v>1</v>
      </c>
      <c r="B179" s="201" t="s">
        <v>528</v>
      </c>
      <c r="C179" s="210">
        <v>1.00725</v>
      </c>
      <c r="D179" s="210">
        <v>1.0575</v>
      </c>
      <c r="E179" s="210">
        <v>1.06468</v>
      </c>
    </row>
    <row r="180" spans="1:5" ht="19.5" customHeight="1">
      <c r="A180" s="202">
        <v>2</v>
      </c>
      <c r="B180" s="201" t="s">
        <v>529</v>
      </c>
      <c r="C180" s="210">
        <v>1.38508</v>
      </c>
      <c r="D180" s="210">
        <v>1.453</v>
      </c>
      <c r="E180" s="210">
        <v>1.5705</v>
      </c>
    </row>
    <row r="181" spans="1:5" ht="19.5" customHeight="1">
      <c r="A181" s="202">
        <v>3</v>
      </c>
      <c r="B181" s="201" t="s">
        <v>530</v>
      </c>
      <c r="C181" s="210">
        <v>0.832633</v>
      </c>
      <c r="D181" s="210">
        <v>0.917463</v>
      </c>
      <c r="E181" s="210">
        <v>0.845794</v>
      </c>
    </row>
    <row r="182" spans="1:5" ht="19.5" customHeight="1">
      <c r="A182" s="202">
        <v>4</v>
      </c>
      <c r="B182" s="201" t="s">
        <v>531</v>
      </c>
      <c r="C182" s="210">
        <v>0.83507</v>
      </c>
      <c r="D182" s="210">
        <v>0.9179</v>
      </c>
      <c r="E182" s="210">
        <v>0.82345</v>
      </c>
    </row>
    <row r="183" spans="1:5" ht="19.5" customHeight="1">
      <c r="A183" s="202">
        <v>5</v>
      </c>
      <c r="B183" s="201" t="s">
        <v>532</v>
      </c>
      <c r="C183" s="210">
        <v>0.7119</v>
      </c>
      <c r="D183" s="210">
        <v>0.8272</v>
      </c>
      <c r="E183" s="210">
        <v>1.19089</v>
      </c>
    </row>
    <row r="184" spans="1:5" ht="19.5" customHeight="1">
      <c r="A184" s="202">
        <v>6</v>
      </c>
      <c r="B184" s="201" t="s">
        <v>533</v>
      </c>
      <c r="C184" s="210">
        <v>0.88215</v>
      </c>
      <c r="D184" s="210">
        <v>0.95987</v>
      </c>
      <c r="E184" s="210">
        <v>0.51895</v>
      </c>
    </row>
    <row r="185" spans="1:5" ht="19.5" customHeight="1">
      <c r="A185" s="202">
        <v>7</v>
      </c>
      <c r="B185" s="201" t="s">
        <v>534</v>
      </c>
      <c r="C185" s="210">
        <v>1.0627</v>
      </c>
      <c r="D185" s="210">
        <v>1.0417</v>
      </c>
      <c r="E185" s="210">
        <v>1.11723</v>
      </c>
    </row>
    <row r="186" spans="1:5" ht="19.5" customHeight="1">
      <c r="A186" s="202">
        <v>8</v>
      </c>
      <c r="B186" s="201" t="s">
        <v>538</v>
      </c>
      <c r="C186" s="210">
        <v>1.178955</v>
      </c>
      <c r="D186" s="210">
        <v>1.25647</v>
      </c>
      <c r="E186" s="210">
        <v>1.299425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200" t="s">
        <v>539</v>
      </c>
      <c r="B188" s="30" t="s">
        <v>540</v>
      </c>
      <c r="C188" s="201"/>
      <c r="D188" s="201"/>
      <c r="E188" s="201"/>
    </row>
    <row r="189" spans="1:5" ht="19.5" customHeight="1">
      <c r="A189" s="202">
        <v>1</v>
      </c>
      <c r="B189" s="201" t="s">
        <v>541</v>
      </c>
      <c r="C189" s="198">
        <v>3160</v>
      </c>
      <c r="D189" s="198">
        <v>3138</v>
      </c>
      <c r="E189" s="198">
        <v>3033</v>
      </c>
    </row>
    <row r="190" spans="1:5" ht="19.5" customHeight="1">
      <c r="A190" s="202">
        <v>2</v>
      </c>
      <c r="B190" s="201" t="s">
        <v>542</v>
      </c>
      <c r="C190" s="198">
        <v>34373</v>
      </c>
      <c r="D190" s="198">
        <v>35844</v>
      </c>
      <c r="E190" s="198">
        <v>36913</v>
      </c>
    </row>
    <row r="191" spans="1:5" ht="19.5" customHeight="1">
      <c r="A191" s="202">
        <v>3</v>
      </c>
      <c r="B191" s="201" t="s">
        <v>543</v>
      </c>
      <c r="C191" s="198">
        <f>+C190+C189</f>
        <v>37533</v>
      </c>
      <c r="D191" s="198">
        <f>+D190+D189</f>
        <v>38982</v>
      </c>
      <c r="E191" s="198">
        <f>+E190+E189</f>
        <v>39946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FILING&amp;RMILFORD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">
      <selection activeCell="A6" sqref="A6"/>
    </sheetView>
  </sheetViews>
  <sheetFormatPr defaultColWidth="9.140625" defaultRowHeight="20.25" customHeight="1"/>
  <cols>
    <col min="1" max="1" width="7.8515625" style="211" customWidth="1"/>
    <col min="2" max="2" width="72.57421875" style="211" customWidth="1"/>
    <col min="3" max="3" width="21.00390625" style="212" customWidth="1"/>
    <col min="4" max="5" width="21.140625" style="211" customWidth="1"/>
    <col min="6" max="6" width="22.28125" style="211" bestFit="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115</v>
      </c>
      <c r="B2" s="687"/>
      <c r="C2" s="687"/>
      <c r="D2" s="687"/>
      <c r="E2" s="687"/>
      <c r="F2" s="687"/>
    </row>
    <row r="3" spans="1:6" ht="20.25" customHeight="1">
      <c r="A3" s="687" t="s">
        <v>116</v>
      </c>
      <c r="B3" s="687"/>
      <c r="C3" s="687"/>
      <c r="D3" s="687"/>
      <c r="E3" s="687"/>
      <c r="F3" s="687"/>
    </row>
    <row r="4" spans="1:6" ht="20.25" customHeight="1">
      <c r="A4" s="687" t="s">
        <v>117</v>
      </c>
      <c r="B4" s="687"/>
      <c r="C4" s="687"/>
      <c r="D4" s="687"/>
      <c r="E4" s="687"/>
      <c r="F4" s="687"/>
    </row>
    <row r="5" spans="1:6" ht="20.25" customHeight="1">
      <c r="A5" s="687" t="s">
        <v>544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20" t="s">
        <v>269</v>
      </c>
      <c r="B8" s="221" t="s">
        <v>124</v>
      </c>
      <c r="C8" s="222" t="s">
        <v>545</v>
      </c>
      <c r="D8" s="223" t="s">
        <v>546</v>
      </c>
      <c r="E8" s="223" t="s">
        <v>547</v>
      </c>
      <c r="F8" s="224" t="s">
        <v>223</v>
      </c>
      <c r="G8" s="212"/>
    </row>
    <row r="9" spans="1:7" ht="20.25" customHeight="1">
      <c r="A9" s="225"/>
      <c r="B9" s="226"/>
      <c r="C9" s="676"/>
      <c r="D9" s="677"/>
      <c r="E9" s="677"/>
      <c r="F9" s="678"/>
      <c r="G9" s="212"/>
    </row>
    <row r="10" spans="1:6" ht="20.25" customHeight="1">
      <c r="A10" s="679" t="s">
        <v>127</v>
      </c>
      <c r="B10" s="681" t="s">
        <v>228</v>
      </c>
      <c r="C10" s="683"/>
      <c r="D10" s="684"/>
      <c r="E10" s="684"/>
      <c r="F10" s="685"/>
    </row>
    <row r="11" spans="1:6" ht="20.25" customHeight="1">
      <c r="A11" s="680"/>
      <c r="B11" s="682"/>
      <c r="C11" s="686"/>
      <c r="D11" s="660"/>
      <c r="E11" s="660"/>
      <c r="F11" s="661"/>
    </row>
    <row r="12" spans="1:6" ht="20.25" customHeight="1">
      <c r="A12" s="228"/>
      <c r="B12" s="229"/>
      <c r="C12" s="230"/>
      <c r="D12" s="230"/>
      <c r="E12" s="230"/>
      <c r="F12" s="230"/>
    </row>
    <row r="13" spans="1:6" ht="18.75" customHeight="1">
      <c r="A13" s="227" t="s">
        <v>225</v>
      </c>
      <c r="B13" s="231" t="s">
        <v>548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549</v>
      </c>
      <c r="C14" s="237">
        <v>0</v>
      </c>
      <c r="D14" s="237">
        <v>0</v>
      </c>
      <c r="E14" s="237">
        <f aca="true" t="shared" si="0" ref="E14:E24">D14-C14</f>
        <v>0</v>
      </c>
      <c r="F14" s="238">
        <f aca="true" t="shared" si="1" ref="F14:F24">IF(C14=0,0,E14/C14)</f>
        <v>0</v>
      </c>
    </row>
    <row r="15" spans="1:6" ht="20.25" customHeight="1">
      <c r="A15" s="235">
        <v>2</v>
      </c>
      <c r="B15" s="236" t="s">
        <v>550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6" ht="20.25" customHeight="1">
      <c r="A16" s="235">
        <v>3</v>
      </c>
      <c r="B16" s="236" t="s">
        <v>551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>
      <c r="A17" s="235">
        <v>4</v>
      </c>
      <c r="B17" s="236" t="s">
        <v>552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>
      <c r="A18" s="235">
        <v>5</v>
      </c>
      <c r="B18" s="236" t="s">
        <v>488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>
      <c r="A19" s="235">
        <v>6</v>
      </c>
      <c r="B19" s="236" t="s">
        <v>487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>
      <c r="A20" s="235">
        <v>7</v>
      </c>
      <c r="B20" s="236" t="s">
        <v>553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>
      <c r="A21" s="235">
        <v>8</v>
      </c>
      <c r="B21" s="236" t="s">
        <v>554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>
      <c r="A22" s="235">
        <v>9</v>
      </c>
      <c r="B22" s="236" t="s">
        <v>555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20.25" customHeight="1">
      <c r="A23" s="241"/>
      <c r="B23" s="242" t="s">
        <v>556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20.25" customHeight="1">
      <c r="A24" s="241"/>
      <c r="B24" s="242" t="s">
        <v>557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s="240" customFormat="1" ht="20.25" customHeight="1">
      <c r="A25" s="245"/>
      <c r="B25" s="242"/>
      <c r="C25" s="243"/>
      <c r="D25" s="243"/>
      <c r="E25" s="243"/>
      <c r="F25" s="244"/>
    </row>
    <row r="26" spans="1:6" ht="18.75" customHeight="1">
      <c r="A26" s="227" t="s">
        <v>239</v>
      </c>
      <c r="B26" s="231" t="s">
        <v>558</v>
      </c>
      <c r="C26" s="232"/>
      <c r="D26" s="233"/>
      <c r="E26" s="227"/>
      <c r="F26" s="234"/>
    </row>
    <row r="27" spans="1:6" ht="20.25" customHeight="1">
      <c r="A27" s="235">
        <v>1</v>
      </c>
      <c r="B27" s="236" t="s">
        <v>549</v>
      </c>
      <c r="C27" s="237">
        <v>0</v>
      </c>
      <c r="D27" s="237">
        <v>0</v>
      </c>
      <c r="E27" s="237">
        <f aca="true" t="shared" si="2" ref="E27:E37">D27-C27</f>
        <v>0</v>
      </c>
      <c r="F27" s="238">
        <f aca="true" t="shared" si="3" ref="F27:F37">IF(C27=0,0,E27/C27)</f>
        <v>0</v>
      </c>
    </row>
    <row r="28" spans="1:6" ht="20.25" customHeight="1">
      <c r="A28" s="235">
        <v>2</v>
      </c>
      <c r="B28" s="236" t="s">
        <v>550</v>
      </c>
      <c r="C28" s="237">
        <v>0</v>
      </c>
      <c r="D28" s="237">
        <v>0</v>
      </c>
      <c r="E28" s="237">
        <f t="shared" si="2"/>
        <v>0</v>
      </c>
      <c r="F28" s="238">
        <f t="shared" si="3"/>
        <v>0</v>
      </c>
    </row>
    <row r="29" spans="1:6" ht="20.25" customHeight="1">
      <c r="A29" s="235">
        <v>3</v>
      </c>
      <c r="B29" s="236" t="s">
        <v>551</v>
      </c>
      <c r="C29" s="237">
        <v>0</v>
      </c>
      <c r="D29" s="237">
        <v>0</v>
      </c>
      <c r="E29" s="237">
        <f t="shared" si="2"/>
        <v>0</v>
      </c>
      <c r="F29" s="238">
        <f t="shared" si="3"/>
        <v>0</v>
      </c>
    </row>
    <row r="30" spans="1:6" ht="20.25" customHeight="1">
      <c r="A30" s="235">
        <v>4</v>
      </c>
      <c r="B30" s="236" t="s">
        <v>552</v>
      </c>
      <c r="C30" s="237">
        <v>0</v>
      </c>
      <c r="D30" s="237">
        <v>0</v>
      </c>
      <c r="E30" s="237">
        <f t="shared" si="2"/>
        <v>0</v>
      </c>
      <c r="F30" s="238">
        <f t="shared" si="3"/>
        <v>0</v>
      </c>
    </row>
    <row r="31" spans="1:6" ht="20.25" customHeight="1">
      <c r="A31" s="235">
        <v>5</v>
      </c>
      <c r="B31" s="236" t="s">
        <v>488</v>
      </c>
      <c r="C31" s="239">
        <v>0</v>
      </c>
      <c r="D31" s="239">
        <v>0</v>
      </c>
      <c r="E31" s="239">
        <f t="shared" si="2"/>
        <v>0</v>
      </c>
      <c r="F31" s="238">
        <f t="shared" si="3"/>
        <v>0</v>
      </c>
    </row>
    <row r="32" spans="1:6" ht="20.25" customHeight="1">
      <c r="A32" s="235">
        <v>6</v>
      </c>
      <c r="B32" s="236" t="s">
        <v>487</v>
      </c>
      <c r="C32" s="239">
        <v>0</v>
      </c>
      <c r="D32" s="239">
        <v>0</v>
      </c>
      <c r="E32" s="239">
        <f t="shared" si="2"/>
        <v>0</v>
      </c>
      <c r="F32" s="238">
        <f t="shared" si="3"/>
        <v>0</v>
      </c>
    </row>
    <row r="33" spans="1:6" ht="20.25" customHeight="1">
      <c r="A33" s="235">
        <v>7</v>
      </c>
      <c r="B33" s="236" t="s">
        <v>553</v>
      </c>
      <c r="C33" s="239">
        <v>0</v>
      </c>
      <c r="D33" s="239">
        <v>0</v>
      </c>
      <c r="E33" s="239">
        <f t="shared" si="2"/>
        <v>0</v>
      </c>
      <c r="F33" s="238">
        <f t="shared" si="3"/>
        <v>0</v>
      </c>
    </row>
    <row r="34" spans="1:6" ht="20.25" customHeight="1">
      <c r="A34" s="235">
        <v>8</v>
      </c>
      <c r="B34" s="236" t="s">
        <v>554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ht="20.25" customHeight="1">
      <c r="A35" s="235">
        <v>9</v>
      </c>
      <c r="B35" s="236" t="s">
        <v>555</v>
      </c>
      <c r="C35" s="239">
        <v>0</v>
      </c>
      <c r="D35" s="239">
        <v>0</v>
      </c>
      <c r="E35" s="239">
        <f t="shared" si="2"/>
        <v>0</v>
      </c>
      <c r="F35" s="238">
        <f t="shared" si="3"/>
        <v>0</v>
      </c>
    </row>
    <row r="36" spans="1:6" s="240" customFormat="1" ht="20.25" customHeight="1">
      <c r="A36" s="241"/>
      <c r="B36" s="242" t="s">
        <v>556</v>
      </c>
      <c r="C36" s="243">
        <f>+C27+C29</f>
        <v>0</v>
      </c>
      <c r="D36" s="243">
        <f>+D27+D29</f>
        <v>0</v>
      </c>
      <c r="E36" s="243">
        <f t="shared" si="2"/>
        <v>0</v>
      </c>
      <c r="F36" s="244">
        <f t="shared" si="3"/>
        <v>0</v>
      </c>
    </row>
    <row r="37" spans="1:6" s="240" customFormat="1" ht="20.25" customHeight="1">
      <c r="A37" s="241"/>
      <c r="B37" s="242" t="s">
        <v>557</v>
      </c>
      <c r="C37" s="243">
        <f>+C28+C30</f>
        <v>0</v>
      </c>
      <c r="D37" s="243">
        <f>+D28+D30</f>
        <v>0</v>
      </c>
      <c r="E37" s="243">
        <f t="shared" si="2"/>
        <v>0</v>
      </c>
      <c r="F37" s="244">
        <f t="shared" si="3"/>
        <v>0</v>
      </c>
    </row>
    <row r="38" spans="1:6" s="240" customFormat="1" ht="20.25" customHeight="1">
      <c r="A38" s="245"/>
      <c r="B38" s="242"/>
      <c r="C38" s="243"/>
      <c r="D38" s="243"/>
      <c r="E38" s="243"/>
      <c r="F38" s="244"/>
    </row>
    <row r="39" spans="1:6" ht="18.75" customHeight="1">
      <c r="A39" s="227" t="s">
        <v>256</v>
      </c>
      <c r="B39" s="231" t="s">
        <v>559</v>
      </c>
      <c r="C39" s="232"/>
      <c r="D39" s="233"/>
      <c r="E39" s="227"/>
      <c r="F39" s="234"/>
    </row>
    <row r="40" spans="1:6" ht="20.25" customHeight="1">
      <c r="A40" s="235">
        <v>1</v>
      </c>
      <c r="B40" s="236" t="s">
        <v>549</v>
      </c>
      <c r="C40" s="237">
        <v>0</v>
      </c>
      <c r="D40" s="237">
        <v>679765</v>
      </c>
      <c r="E40" s="237">
        <f aca="true" t="shared" si="4" ref="E40:E50">D40-C40</f>
        <v>679765</v>
      </c>
      <c r="F40" s="238">
        <f aca="true" t="shared" si="5" ref="F40:F50">IF(C40=0,0,E40/C40)</f>
        <v>0</v>
      </c>
    </row>
    <row r="41" spans="1:6" ht="20.25" customHeight="1">
      <c r="A41" s="235">
        <v>2</v>
      </c>
      <c r="B41" s="236" t="s">
        <v>550</v>
      </c>
      <c r="C41" s="237">
        <v>0</v>
      </c>
      <c r="D41" s="237">
        <v>312049</v>
      </c>
      <c r="E41" s="237">
        <f t="shared" si="4"/>
        <v>312049</v>
      </c>
      <c r="F41" s="238">
        <f t="shared" si="5"/>
        <v>0</v>
      </c>
    </row>
    <row r="42" spans="1:6" ht="20.25" customHeight="1">
      <c r="A42" s="235">
        <v>3</v>
      </c>
      <c r="B42" s="236" t="s">
        <v>551</v>
      </c>
      <c r="C42" s="237">
        <v>0</v>
      </c>
      <c r="D42" s="237">
        <v>408747</v>
      </c>
      <c r="E42" s="237">
        <f t="shared" si="4"/>
        <v>408747</v>
      </c>
      <c r="F42" s="238">
        <f t="shared" si="5"/>
        <v>0</v>
      </c>
    </row>
    <row r="43" spans="1:6" ht="20.25" customHeight="1">
      <c r="A43" s="235">
        <v>4</v>
      </c>
      <c r="B43" s="236" t="s">
        <v>552</v>
      </c>
      <c r="C43" s="237">
        <v>0</v>
      </c>
      <c r="D43" s="237">
        <v>112390</v>
      </c>
      <c r="E43" s="237">
        <f t="shared" si="4"/>
        <v>112390</v>
      </c>
      <c r="F43" s="238">
        <f t="shared" si="5"/>
        <v>0</v>
      </c>
    </row>
    <row r="44" spans="1:6" ht="20.25" customHeight="1">
      <c r="A44" s="235">
        <v>5</v>
      </c>
      <c r="B44" s="236" t="s">
        <v>488</v>
      </c>
      <c r="C44" s="239">
        <v>0</v>
      </c>
      <c r="D44" s="239">
        <v>27</v>
      </c>
      <c r="E44" s="239">
        <f t="shared" si="4"/>
        <v>27</v>
      </c>
      <c r="F44" s="238">
        <f t="shared" si="5"/>
        <v>0</v>
      </c>
    </row>
    <row r="45" spans="1:6" ht="20.25" customHeight="1">
      <c r="A45" s="235">
        <v>6</v>
      </c>
      <c r="B45" s="236" t="s">
        <v>487</v>
      </c>
      <c r="C45" s="239">
        <v>0</v>
      </c>
      <c r="D45" s="239">
        <v>104</v>
      </c>
      <c r="E45" s="239">
        <f t="shared" si="4"/>
        <v>104</v>
      </c>
      <c r="F45" s="238">
        <f t="shared" si="5"/>
        <v>0</v>
      </c>
    </row>
    <row r="46" spans="1:6" ht="20.25" customHeight="1">
      <c r="A46" s="235">
        <v>7</v>
      </c>
      <c r="B46" s="236" t="s">
        <v>553</v>
      </c>
      <c r="C46" s="239">
        <v>0</v>
      </c>
      <c r="D46" s="239">
        <v>129</v>
      </c>
      <c r="E46" s="239">
        <f t="shared" si="4"/>
        <v>129</v>
      </c>
      <c r="F46" s="238">
        <f t="shared" si="5"/>
        <v>0</v>
      </c>
    </row>
    <row r="47" spans="1:6" ht="20.25" customHeight="1">
      <c r="A47" s="235">
        <v>8</v>
      </c>
      <c r="B47" s="236" t="s">
        <v>554</v>
      </c>
      <c r="C47" s="239">
        <v>0</v>
      </c>
      <c r="D47" s="239">
        <v>68</v>
      </c>
      <c r="E47" s="239">
        <f t="shared" si="4"/>
        <v>68</v>
      </c>
      <c r="F47" s="238">
        <f t="shared" si="5"/>
        <v>0</v>
      </c>
    </row>
    <row r="48" spans="1:6" ht="20.25" customHeight="1">
      <c r="A48" s="235">
        <v>9</v>
      </c>
      <c r="B48" s="236" t="s">
        <v>555</v>
      </c>
      <c r="C48" s="239">
        <v>0</v>
      </c>
      <c r="D48" s="239">
        <v>0</v>
      </c>
      <c r="E48" s="239">
        <f t="shared" si="4"/>
        <v>0</v>
      </c>
      <c r="F48" s="238">
        <f t="shared" si="5"/>
        <v>0</v>
      </c>
    </row>
    <row r="49" spans="1:6" s="240" customFormat="1" ht="20.25" customHeight="1">
      <c r="A49" s="241"/>
      <c r="B49" s="242" t="s">
        <v>556</v>
      </c>
      <c r="C49" s="243">
        <f>+C40+C42</f>
        <v>0</v>
      </c>
      <c r="D49" s="243">
        <f>+D40+D42</f>
        <v>1088512</v>
      </c>
      <c r="E49" s="243">
        <f t="shared" si="4"/>
        <v>1088512</v>
      </c>
      <c r="F49" s="244">
        <f t="shared" si="5"/>
        <v>0</v>
      </c>
    </row>
    <row r="50" spans="1:6" s="240" customFormat="1" ht="20.25" customHeight="1">
      <c r="A50" s="241"/>
      <c r="B50" s="242" t="s">
        <v>557</v>
      </c>
      <c r="C50" s="243">
        <f>+C41+C43</f>
        <v>0</v>
      </c>
      <c r="D50" s="243">
        <f>+D41+D43</f>
        <v>424439</v>
      </c>
      <c r="E50" s="243">
        <f t="shared" si="4"/>
        <v>424439</v>
      </c>
      <c r="F50" s="244">
        <f t="shared" si="5"/>
        <v>0</v>
      </c>
    </row>
    <row r="51" spans="1:6" s="240" customFormat="1" ht="20.25" customHeight="1">
      <c r="A51" s="245"/>
      <c r="B51" s="242"/>
      <c r="C51" s="243"/>
      <c r="D51" s="243"/>
      <c r="E51" s="243"/>
      <c r="F51" s="244"/>
    </row>
    <row r="52" spans="1:6" ht="18.75" customHeight="1">
      <c r="A52" s="227" t="s">
        <v>286</v>
      </c>
      <c r="B52" s="231" t="s">
        <v>560</v>
      </c>
      <c r="C52" s="232"/>
      <c r="D52" s="233"/>
      <c r="E52" s="227"/>
      <c r="F52" s="234"/>
    </row>
    <row r="53" spans="1:6" ht="20.25" customHeight="1">
      <c r="A53" s="235">
        <v>1</v>
      </c>
      <c r="B53" s="236" t="s">
        <v>549</v>
      </c>
      <c r="C53" s="237">
        <v>16998551</v>
      </c>
      <c r="D53" s="237">
        <v>14332609</v>
      </c>
      <c r="E53" s="237">
        <f aca="true" t="shared" si="6" ref="E53:E63">D53-C53</f>
        <v>-2665942</v>
      </c>
      <c r="F53" s="238">
        <f aca="true" t="shared" si="7" ref="F53:F63">IF(C53=0,0,E53/C53)</f>
        <v>-0.156833485395314</v>
      </c>
    </row>
    <row r="54" spans="1:6" ht="20.25" customHeight="1">
      <c r="A54" s="235">
        <v>2</v>
      </c>
      <c r="B54" s="236" t="s">
        <v>550</v>
      </c>
      <c r="C54" s="237">
        <v>5096207</v>
      </c>
      <c r="D54" s="237">
        <v>4639506</v>
      </c>
      <c r="E54" s="237">
        <f t="shared" si="6"/>
        <v>-456701</v>
      </c>
      <c r="F54" s="238">
        <f t="shared" si="7"/>
        <v>-0.08961586528961638</v>
      </c>
    </row>
    <row r="55" spans="1:6" ht="20.25" customHeight="1">
      <c r="A55" s="235">
        <v>3</v>
      </c>
      <c r="B55" s="236" t="s">
        <v>551</v>
      </c>
      <c r="C55" s="237">
        <v>6508483</v>
      </c>
      <c r="D55" s="237">
        <v>5981771</v>
      </c>
      <c r="E55" s="237">
        <f t="shared" si="6"/>
        <v>-526712</v>
      </c>
      <c r="F55" s="238">
        <f t="shared" si="7"/>
        <v>-0.08092699942521168</v>
      </c>
    </row>
    <row r="56" spans="1:6" ht="20.25" customHeight="1">
      <c r="A56" s="235">
        <v>4</v>
      </c>
      <c r="B56" s="236" t="s">
        <v>552</v>
      </c>
      <c r="C56" s="237">
        <v>1554785</v>
      </c>
      <c r="D56" s="237">
        <v>1327508</v>
      </c>
      <c r="E56" s="237">
        <f t="shared" si="6"/>
        <v>-227277</v>
      </c>
      <c r="F56" s="238">
        <f t="shared" si="7"/>
        <v>-0.14617905369552703</v>
      </c>
    </row>
    <row r="57" spans="1:6" ht="20.25" customHeight="1">
      <c r="A57" s="235">
        <v>5</v>
      </c>
      <c r="B57" s="236" t="s">
        <v>488</v>
      </c>
      <c r="C57" s="239">
        <v>503</v>
      </c>
      <c r="D57" s="239">
        <v>452</v>
      </c>
      <c r="E57" s="239">
        <f t="shared" si="6"/>
        <v>-51</v>
      </c>
      <c r="F57" s="238">
        <f t="shared" si="7"/>
        <v>-0.10139165009940358</v>
      </c>
    </row>
    <row r="58" spans="1:6" ht="20.25" customHeight="1">
      <c r="A58" s="235">
        <v>6</v>
      </c>
      <c r="B58" s="236" t="s">
        <v>487</v>
      </c>
      <c r="C58" s="239">
        <v>2662</v>
      </c>
      <c r="D58" s="239">
        <v>2102</v>
      </c>
      <c r="E58" s="239">
        <f t="shared" si="6"/>
        <v>-560</v>
      </c>
      <c r="F58" s="238">
        <f t="shared" si="7"/>
        <v>-0.21036814425244177</v>
      </c>
    </row>
    <row r="59" spans="1:6" ht="20.25" customHeight="1">
      <c r="A59" s="235">
        <v>7</v>
      </c>
      <c r="B59" s="236" t="s">
        <v>553</v>
      </c>
      <c r="C59" s="239">
        <v>3696</v>
      </c>
      <c r="D59" s="239">
        <v>4370</v>
      </c>
      <c r="E59" s="239">
        <f t="shared" si="6"/>
        <v>674</v>
      </c>
      <c r="F59" s="238">
        <f t="shared" si="7"/>
        <v>0.18235930735930736</v>
      </c>
    </row>
    <row r="60" spans="1:6" ht="20.25" customHeight="1">
      <c r="A60" s="235">
        <v>8</v>
      </c>
      <c r="B60" s="236" t="s">
        <v>554</v>
      </c>
      <c r="C60" s="239">
        <v>2062</v>
      </c>
      <c r="D60" s="239">
        <v>989</v>
      </c>
      <c r="E60" s="239">
        <f t="shared" si="6"/>
        <v>-1073</v>
      </c>
      <c r="F60" s="238">
        <f t="shared" si="7"/>
        <v>-0.520368574199806</v>
      </c>
    </row>
    <row r="61" spans="1:6" ht="20.25" customHeight="1">
      <c r="A61" s="235">
        <v>9</v>
      </c>
      <c r="B61" s="236" t="s">
        <v>555</v>
      </c>
      <c r="C61" s="239">
        <v>0</v>
      </c>
      <c r="D61" s="239">
        <v>0</v>
      </c>
      <c r="E61" s="239">
        <f t="shared" si="6"/>
        <v>0</v>
      </c>
      <c r="F61" s="238">
        <f t="shared" si="7"/>
        <v>0</v>
      </c>
    </row>
    <row r="62" spans="1:6" s="240" customFormat="1" ht="20.25" customHeight="1">
      <c r="A62" s="241"/>
      <c r="B62" s="242" t="s">
        <v>556</v>
      </c>
      <c r="C62" s="243">
        <f>+C53+C55</f>
        <v>23507034</v>
      </c>
      <c r="D62" s="243">
        <f>+D53+D55</f>
        <v>20314380</v>
      </c>
      <c r="E62" s="243">
        <f t="shared" si="6"/>
        <v>-3192654</v>
      </c>
      <c r="F62" s="244">
        <f t="shared" si="7"/>
        <v>-0.13581696440308036</v>
      </c>
    </row>
    <row r="63" spans="1:6" s="240" customFormat="1" ht="20.25" customHeight="1">
      <c r="A63" s="241"/>
      <c r="B63" s="242" t="s">
        <v>557</v>
      </c>
      <c r="C63" s="243">
        <f>+C54+C56</f>
        <v>6650992</v>
      </c>
      <c r="D63" s="243">
        <f>+D54+D56</f>
        <v>5967014</v>
      </c>
      <c r="E63" s="243">
        <f t="shared" si="6"/>
        <v>-683978</v>
      </c>
      <c r="F63" s="244">
        <f t="shared" si="7"/>
        <v>-0.10283849386677957</v>
      </c>
    </row>
    <row r="64" spans="1:6" s="240" customFormat="1" ht="20.25" customHeight="1">
      <c r="A64" s="245"/>
      <c r="B64" s="242"/>
      <c r="C64" s="243"/>
      <c r="D64" s="243"/>
      <c r="E64" s="243"/>
      <c r="F64" s="244"/>
    </row>
    <row r="65" spans="1:6" ht="18.75" customHeight="1">
      <c r="A65" s="227" t="s">
        <v>291</v>
      </c>
      <c r="B65" s="231" t="s">
        <v>561</v>
      </c>
      <c r="C65" s="232"/>
      <c r="D65" s="233"/>
      <c r="E65" s="227"/>
      <c r="F65" s="234"/>
    </row>
    <row r="66" spans="1:6" ht="20.25" customHeight="1">
      <c r="A66" s="235">
        <v>1</v>
      </c>
      <c r="B66" s="236" t="s">
        <v>549</v>
      </c>
      <c r="C66" s="237">
        <v>890073</v>
      </c>
      <c r="D66" s="237">
        <v>1979921</v>
      </c>
      <c r="E66" s="237">
        <f aca="true" t="shared" si="8" ref="E66:E76">D66-C66</f>
        <v>1089848</v>
      </c>
      <c r="F66" s="238">
        <f aca="true" t="shared" si="9" ref="F66:F76">IF(C66=0,0,E66/C66)</f>
        <v>1.224447882364705</v>
      </c>
    </row>
    <row r="67" spans="1:6" ht="20.25" customHeight="1">
      <c r="A67" s="235">
        <v>2</v>
      </c>
      <c r="B67" s="236" t="s">
        <v>550</v>
      </c>
      <c r="C67" s="237">
        <v>313140</v>
      </c>
      <c r="D67" s="237">
        <v>570795</v>
      </c>
      <c r="E67" s="237">
        <f t="shared" si="8"/>
        <v>257655</v>
      </c>
      <c r="F67" s="238">
        <f t="shared" si="9"/>
        <v>0.8228108833109791</v>
      </c>
    </row>
    <row r="68" spans="1:6" ht="20.25" customHeight="1">
      <c r="A68" s="235">
        <v>3</v>
      </c>
      <c r="B68" s="236" t="s">
        <v>551</v>
      </c>
      <c r="C68" s="237">
        <v>520559</v>
      </c>
      <c r="D68" s="237">
        <v>762320</v>
      </c>
      <c r="E68" s="237">
        <f t="shared" si="8"/>
        <v>241761</v>
      </c>
      <c r="F68" s="238">
        <f t="shared" si="9"/>
        <v>0.46442574232699846</v>
      </c>
    </row>
    <row r="69" spans="1:6" ht="20.25" customHeight="1">
      <c r="A69" s="235">
        <v>4</v>
      </c>
      <c r="B69" s="236" t="s">
        <v>552</v>
      </c>
      <c r="C69" s="237">
        <v>167042</v>
      </c>
      <c r="D69" s="237">
        <v>178035</v>
      </c>
      <c r="E69" s="237">
        <f t="shared" si="8"/>
        <v>10993</v>
      </c>
      <c r="F69" s="238">
        <f t="shared" si="9"/>
        <v>0.06580979633864537</v>
      </c>
    </row>
    <row r="70" spans="1:6" ht="20.25" customHeight="1">
      <c r="A70" s="235">
        <v>5</v>
      </c>
      <c r="B70" s="236" t="s">
        <v>488</v>
      </c>
      <c r="C70" s="239">
        <v>31</v>
      </c>
      <c r="D70" s="239">
        <v>62</v>
      </c>
      <c r="E70" s="239">
        <f t="shared" si="8"/>
        <v>31</v>
      </c>
      <c r="F70" s="238">
        <f t="shared" si="9"/>
        <v>1</v>
      </c>
    </row>
    <row r="71" spans="1:6" ht="20.25" customHeight="1">
      <c r="A71" s="235">
        <v>6</v>
      </c>
      <c r="B71" s="236" t="s">
        <v>487</v>
      </c>
      <c r="C71" s="239">
        <v>143</v>
      </c>
      <c r="D71" s="239">
        <v>295</v>
      </c>
      <c r="E71" s="239">
        <f t="shared" si="8"/>
        <v>152</v>
      </c>
      <c r="F71" s="238">
        <f t="shared" si="9"/>
        <v>1.062937062937063</v>
      </c>
    </row>
    <row r="72" spans="1:6" ht="20.25" customHeight="1">
      <c r="A72" s="235">
        <v>7</v>
      </c>
      <c r="B72" s="236" t="s">
        <v>553</v>
      </c>
      <c r="C72" s="239">
        <v>140</v>
      </c>
      <c r="D72" s="239">
        <v>222</v>
      </c>
      <c r="E72" s="239">
        <f t="shared" si="8"/>
        <v>82</v>
      </c>
      <c r="F72" s="238">
        <f t="shared" si="9"/>
        <v>0.5857142857142857</v>
      </c>
    </row>
    <row r="73" spans="1:6" ht="20.25" customHeight="1">
      <c r="A73" s="235">
        <v>8</v>
      </c>
      <c r="B73" s="236" t="s">
        <v>554</v>
      </c>
      <c r="C73" s="239">
        <v>111</v>
      </c>
      <c r="D73" s="239">
        <v>185</v>
      </c>
      <c r="E73" s="239">
        <f t="shared" si="8"/>
        <v>74</v>
      </c>
      <c r="F73" s="238">
        <f t="shared" si="9"/>
        <v>0.6666666666666666</v>
      </c>
    </row>
    <row r="74" spans="1:6" ht="20.25" customHeight="1">
      <c r="A74" s="235">
        <v>9</v>
      </c>
      <c r="B74" s="236" t="s">
        <v>555</v>
      </c>
      <c r="C74" s="239">
        <v>0</v>
      </c>
      <c r="D74" s="239">
        <v>0</v>
      </c>
      <c r="E74" s="239">
        <f t="shared" si="8"/>
        <v>0</v>
      </c>
      <c r="F74" s="238">
        <f t="shared" si="9"/>
        <v>0</v>
      </c>
    </row>
    <row r="75" spans="1:6" s="240" customFormat="1" ht="20.25" customHeight="1">
      <c r="A75" s="241"/>
      <c r="B75" s="242" t="s">
        <v>556</v>
      </c>
      <c r="C75" s="243">
        <f>+C66+C68</f>
        <v>1410632</v>
      </c>
      <c r="D75" s="243">
        <f>+D66+D68</f>
        <v>2742241</v>
      </c>
      <c r="E75" s="243">
        <f t="shared" si="8"/>
        <v>1331609</v>
      </c>
      <c r="F75" s="244">
        <f t="shared" si="9"/>
        <v>0.9439804286305713</v>
      </c>
    </row>
    <row r="76" spans="1:6" s="240" customFormat="1" ht="20.25" customHeight="1">
      <c r="A76" s="241"/>
      <c r="B76" s="242" t="s">
        <v>557</v>
      </c>
      <c r="C76" s="243">
        <f>+C67+C69</f>
        <v>480182</v>
      </c>
      <c r="D76" s="243">
        <f>+D67+D69</f>
        <v>748830</v>
      </c>
      <c r="E76" s="243">
        <f t="shared" si="8"/>
        <v>268648</v>
      </c>
      <c r="F76" s="244">
        <f t="shared" si="9"/>
        <v>0.5594712005031426</v>
      </c>
    </row>
    <row r="77" spans="1:6" s="240" customFormat="1" ht="20.25" customHeight="1">
      <c r="A77" s="245"/>
      <c r="B77" s="242"/>
      <c r="C77" s="243"/>
      <c r="D77" s="243"/>
      <c r="E77" s="243"/>
      <c r="F77" s="244"/>
    </row>
    <row r="78" spans="1:6" ht="18.75" customHeight="1">
      <c r="A78" s="227" t="s">
        <v>297</v>
      </c>
      <c r="B78" s="231" t="s">
        <v>562</v>
      </c>
      <c r="C78" s="232"/>
      <c r="D78" s="233"/>
      <c r="E78" s="227"/>
      <c r="F78" s="234"/>
    </row>
    <row r="79" spans="1:6" ht="20.25" customHeight="1">
      <c r="A79" s="235">
        <v>1</v>
      </c>
      <c r="B79" s="236" t="s">
        <v>549</v>
      </c>
      <c r="C79" s="237">
        <v>1185673</v>
      </c>
      <c r="D79" s="237">
        <v>683386</v>
      </c>
      <c r="E79" s="237">
        <f aca="true" t="shared" si="10" ref="E79:E89">D79-C79</f>
        <v>-502287</v>
      </c>
      <c r="F79" s="238">
        <f aca="true" t="shared" si="11" ref="F79:F89">IF(C79=0,0,E79/C79)</f>
        <v>-0.4236302926692267</v>
      </c>
    </row>
    <row r="80" spans="1:6" ht="20.25" customHeight="1">
      <c r="A80" s="235">
        <v>2</v>
      </c>
      <c r="B80" s="236" t="s">
        <v>550</v>
      </c>
      <c r="C80" s="237">
        <v>296738</v>
      </c>
      <c r="D80" s="237">
        <v>102197</v>
      </c>
      <c r="E80" s="237">
        <f t="shared" si="10"/>
        <v>-194541</v>
      </c>
      <c r="F80" s="238">
        <f t="shared" si="11"/>
        <v>-0.6555985414742972</v>
      </c>
    </row>
    <row r="81" spans="1:6" ht="20.25" customHeight="1">
      <c r="A81" s="235">
        <v>3</v>
      </c>
      <c r="B81" s="236" t="s">
        <v>551</v>
      </c>
      <c r="C81" s="237">
        <v>263918</v>
      </c>
      <c r="D81" s="237">
        <v>349657</v>
      </c>
      <c r="E81" s="237">
        <f t="shared" si="10"/>
        <v>85739</v>
      </c>
      <c r="F81" s="238">
        <f t="shared" si="11"/>
        <v>0.3248698459369956</v>
      </c>
    </row>
    <row r="82" spans="1:6" ht="20.25" customHeight="1">
      <c r="A82" s="235">
        <v>4</v>
      </c>
      <c r="B82" s="236" t="s">
        <v>552</v>
      </c>
      <c r="C82" s="237">
        <v>176978</v>
      </c>
      <c r="D82" s="237">
        <v>231781</v>
      </c>
      <c r="E82" s="237">
        <f t="shared" si="10"/>
        <v>54803</v>
      </c>
      <c r="F82" s="238">
        <f t="shared" si="11"/>
        <v>0.3096599577348597</v>
      </c>
    </row>
    <row r="83" spans="1:6" ht="20.25" customHeight="1">
      <c r="A83" s="235">
        <v>5</v>
      </c>
      <c r="B83" s="236" t="s">
        <v>488</v>
      </c>
      <c r="C83" s="239">
        <v>30</v>
      </c>
      <c r="D83" s="239">
        <v>21</v>
      </c>
      <c r="E83" s="239">
        <f t="shared" si="10"/>
        <v>-9</v>
      </c>
      <c r="F83" s="238">
        <f t="shared" si="11"/>
        <v>-0.3</v>
      </c>
    </row>
    <row r="84" spans="1:6" ht="20.25" customHeight="1">
      <c r="A84" s="235">
        <v>6</v>
      </c>
      <c r="B84" s="236" t="s">
        <v>487</v>
      </c>
      <c r="C84" s="239">
        <v>190</v>
      </c>
      <c r="D84" s="239">
        <v>114</v>
      </c>
      <c r="E84" s="239">
        <f t="shared" si="10"/>
        <v>-76</v>
      </c>
      <c r="F84" s="238">
        <f t="shared" si="11"/>
        <v>-0.4</v>
      </c>
    </row>
    <row r="85" spans="1:6" ht="20.25" customHeight="1">
      <c r="A85" s="235">
        <v>7</v>
      </c>
      <c r="B85" s="236" t="s">
        <v>553</v>
      </c>
      <c r="C85" s="239">
        <v>108</v>
      </c>
      <c r="D85" s="239">
        <v>106</v>
      </c>
      <c r="E85" s="239">
        <f t="shared" si="10"/>
        <v>-2</v>
      </c>
      <c r="F85" s="238">
        <f t="shared" si="11"/>
        <v>-0.018518518518518517</v>
      </c>
    </row>
    <row r="86" spans="1:6" ht="20.25" customHeight="1">
      <c r="A86" s="235">
        <v>8</v>
      </c>
      <c r="B86" s="236" t="s">
        <v>554</v>
      </c>
      <c r="C86" s="239">
        <v>47</v>
      </c>
      <c r="D86" s="239">
        <v>54</v>
      </c>
      <c r="E86" s="239">
        <f t="shared" si="10"/>
        <v>7</v>
      </c>
      <c r="F86" s="238">
        <f t="shared" si="11"/>
        <v>0.14893617021276595</v>
      </c>
    </row>
    <row r="87" spans="1:6" ht="20.25" customHeight="1">
      <c r="A87" s="235">
        <v>9</v>
      </c>
      <c r="B87" s="236" t="s">
        <v>555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>
      <c r="A88" s="241"/>
      <c r="B88" s="242" t="s">
        <v>556</v>
      </c>
      <c r="C88" s="243">
        <f>+C79+C81</f>
        <v>1449591</v>
      </c>
      <c r="D88" s="243">
        <f>+D79+D81</f>
        <v>1033043</v>
      </c>
      <c r="E88" s="243">
        <f t="shared" si="10"/>
        <v>-416548</v>
      </c>
      <c r="F88" s="244">
        <f t="shared" si="11"/>
        <v>-0.28735553683763215</v>
      </c>
    </row>
    <row r="89" spans="1:6" s="240" customFormat="1" ht="20.25" customHeight="1">
      <c r="A89" s="241"/>
      <c r="B89" s="242" t="s">
        <v>557</v>
      </c>
      <c r="C89" s="243">
        <f>+C80+C82</f>
        <v>473716</v>
      </c>
      <c r="D89" s="243">
        <f>+D80+D82</f>
        <v>333978</v>
      </c>
      <c r="E89" s="243">
        <f t="shared" si="10"/>
        <v>-139738</v>
      </c>
      <c r="F89" s="244">
        <f t="shared" si="11"/>
        <v>-0.29498264783119</v>
      </c>
    </row>
    <row r="90" spans="1:6" s="240" customFormat="1" ht="20.25" customHeight="1">
      <c r="A90" s="245"/>
      <c r="B90" s="242"/>
      <c r="C90" s="243"/>
      <c r="D90" s="243"/>
      <c r="E90" s="243"/>
      <c r="F90" s="244"/>
    </row>
    <row r="91" spans="1:6" ht="18.75" customHeight="1">
      <c r="A91" s="227" t="s">
        <v>299</v>
      </c>
      <c r="B91" s="231" t="s">
        <v>563</v>
      </c>
      <c r="C91" s="232"/>
      <c r="D91" s="233"/>
      <c r="E91" s="227"/>
      <c r="F91" s="234"/>
    </row>
    <row r="92" spans="1:6" ht="20.25" customHeight="1">
      <c r="A92" s="235">
        <v>1</v>
      </c>
      <c r="B92" s="236" t="s">
        <v>549</v>
      </c>
      <c r="C92" s="237">
        <v>0</v>
      </c>
      <c r="D92" s="237">
        <v>0</v>
      </c>
      <c r="E92" s="237">
        <f aca="true" t="shared" si="12" ref="E92:E102">D92-C92</f>
        <v>0</v>
      </c>
      <c r="F92" s="238">
        <f aca="true" t="shared" si="13" ref="F92:F102">IF(C92=0,0,E92/C92)</f>
        <v>0</v>
      </c>
    </row>
    <row r="93" spans="1:6" ht="20.25" customHeight="1">
      <c r="A93" s="235">
        <v>2</v>
      </c>
      <c r="B93" s="236" t="s">
        <v>550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>
      <c r="A94" s="235">
        <v>3</v>
      </c>
      <c r="B94" s="236" t="s">
        <v>551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>
      <c r="A95" s="235">
        <v>4</v>
      </c>
      <c r="B95" s="236" t="s">
        <v>552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>
      <c r="A96" s="235">
        <v>5</v>
      </c>
      <c r="B96" s="236" t="s">
        <v>488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>
      <c r="A97" s="235">
        <v>6</v>
      </c>
      <c r="B97" s="236" t="s">
        <v>487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>
      <c r="A98" s="235">
        <v>7</v>
      </c>
      <c r="B98" s="236" t="s">
        <v>553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>
      <c r="A99" s="235">
        <v>8</v>
      </c>
      <c r="B99" s="236" t="s">
        <v>554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>
      <c r="A100" s="235">
        <v>9</v>
      </c>
      <c r="B100" s="236" t="s">
        <v>555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>
      <c r="A101" s="241"/>
      <c r="B101" s="242" t="s">
        <v>556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>
      <c r="A102" s="241"/>
      <c r="B102" s="242" t="s">
        <v>557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>
      <c r="A103" s="245"/>
      <c r="B103" s="242"/>
      <c r="C103" s="243"/>
      <c r="D103" s="243"/>
      <c r="E103" s="243"/>
      <c r="F103" s="244"/>
    </row>
    <row r="104" spans="1:6" ht="18.75" customHeight="1">
      <c r="A104" s="227" t="s">
        <v>302</v>
      </c>
      <c r="B104" s="231" t="s">
        <v>564</v>
      </c>
      <c r="C104" s="232"/>
      <c r="D104" s="233"/>
      <c r="E104" s="227"/>
      <c r="F104" s="234"/>
    </row>
    <row r="105" spans="1:6" ht="20.25" customHeight="1">
      <c r="A105" s="235">
        <v>1</v>
      </c>
      <c r="B105" s="236" t="s">
        <v>549</v>
      </c>
      <c r="C105" s="237">
        <v>0</v>
      </c>
      <c r="D105" s="237">
        <v>0</v>
      </c>
      <c r="E105" s="237">
        <f aca="true" t="shared" si="14" ref="E105:E115">D105-C105</f>
        <v>0</v>
      </c>
      <c r="F105" s="238">
        <f aca="true" t="shared" si="15" ref="F105:F115">IF(C105=0,0,E105/C105)</f>
        <v>0</v>
      </c>
    </row>
    <row r="106" spans="1:6" ht="20.25" customHeight="1">
      <c r="A106" s="235">
        <v>2</v>
      </c>
      <c r="B106" s="236" t="s">
        <v>550</v>
      </c>
      <c r="C106" s="237">
        <v>0</v>
      </c>
      <c r="D106" s="237">
        <v>0</v>
      </c>
      <c r="E106" s="237">
        <f t="shared" si="14"/>
        <v>0</v>
      </c>
      <c r="F106" s="238">
        <f t="shared" si="15"/>
        <v>0</v>
      </c>
    </row>
    <row r="107" spans="1:6" ht="20.25" customHeight="1">
      <c r="A107" s="235">
        <v>3</v>
      </c>
      <c r="B107" s="236" t="s">
        <v>551</v>
      </c>
      <c r="C107" s="237">
        <v>0</v>
      </c>
      <c r="D107" s="237">
        <v>0</v>
      </c>
      <c r="E107" s="237">
        <f t="shared" si="14"/>
        <v>0</v>
      </c>
      <c r="F107" s="238">
        <f t="shared" si="15"/>
        <v>0</v>
      </c>
    </row>
    <row r="108" spans="1:6" ht="20.25" customHeight="1">
      <c r="A108" s="235">
        <v>4</v>
      </c>
      <c r="B108" s="236" t="s">
        <v>552</v>
      </c>
      <c r="C108" s="237">
        <v>0</v>
      </c>
      <c r="D108" s="237">
        <v>0</v>
      </c>
      <c r="E108" s="237">
        <f t="shared" si="14"/>
        <v>0</v>
      </c>
      <c r="F108" s="238">
        <f t="shared" si="15"/>
        <v>0</v>
      </c>
    </row>
    <row r="109" spans="1:6" ht="20.25" customHeight="1">
      <c r="A109" s="235">
        <v>5</v>
      </c>
      <c r="B109" s="236" t="s">
        <v>488</v>
      </c>
      <c r="C109" s="239">
        <v>0</v>
      </c>
      <c r="D109" s="239">
        <v>0</v>
      </c>
      <c r="E109" s="239">
        <f t="shared" si="14"/>
        <v>0</v>
      </c>
      <c r="F109" s="238">
        <f t="shared" si="15"/>
        <v>0</v>
      </c>
    </row>
    <row r="110" spans="1:6" ht="20.25" customHeight="1">
      <c r="A110" s="235">
        <v>6</v>
      </c>
      <c r="B110" s="236" t="s">
        <v>487</v>
      </c>
      <c r="C110" s="239">
        <v>0</v>
      </c>
      <c r="D110" s="239">
        <v>0</v>
      </c>
      <c r="E110" s="239">
        <f t="shared" si="14"/>
        <v>0</v>
      </c>
      <c r="F110" s="238">
        <f t="shared" si="15"/>
        <v>0</v>
      </c>
    </row>
    <row r="111" spans="1:6" ht="20.25" customHeight="1">
      <c r="A111" s="235">
        <v>7</v>
      </c>
      <c r="B111" s="236" t="s">
        <v>553</v>
      </c>
      <c r="C111" s="239">
        <v>0</v>
      </c>
      <c r="D111" s="239">
        <v>0</v>
      </c>
      <c r="E111" s="239">
        <f t="shared" si="14"/>
        <v>0</v>
      </c>
      <c r="F111" s="238">
        <f t="shared" si="15"/>
        <v>0</v>
      </c>
    </row>
    <row r="112" spans="1:6" ht="20.25" customHeight="1">
      <c r="A112" s="235">
        <v>8</v>
      </c>
      <c r="B112" s="236" t="s">
        <v>554</v>
      </c>
      <c r="C112" s="239">
        <v>0</v>
      </c>
      <c r="D112" s="239">
        <v>0</v>
      </c>
      <c r="E112" s="239">
        <f t="shared" si="14"/>
        <v>0</v>
      </c>
      <c r="F112" s="238">
        <f t="shared" si="15"/>
        <v>0</v>
      </c>
    </row>
    <row r="113" spans="1:6" ht="20.25" customHeight="1">
      <c r="A113" s="235">
        <v>9</v>
      </c>
      <c r="B113" s="236" t="s">
        <v>555</v>
      </c>
      <c r="C113" s="239">
        <v>0</v>
      </c>
      <c r="D113" s="239">
        <v>0</v>
      </c>
      <c r="E113" s="239">
        <f t="shared" si="14"/>
        <v>0</v>
      </c>
      <c r="F113" s="238">
        <f t="shared" si="15"/>
        <v>0</v>
      </c>
    </row>
    <row r="114" spans="1:6" s="240" customFormat="1" ht="20.25" customHeight="1">
      <c r="A114" s="241"/>
      <c r="B114" s="242" t="s">
        <v>556</v>
      </c>
      <c r="C114" s="243">
        <f>+C105+C107</f>
        <v>0</v>
      </c>
      <c r="D114" s="243">
        <f>+D105+D107</f>
        <v>0</v>
      </c>
      <c r="E114" s="243">
        <f t="shared" si="14"/>
        <v>0</v>
      </c>
      <c r="F114" s="244">
        <f t="shared" si="15"/>
        <v>0</v>
      </c>
    </row>
    <row r="115" spans="1:6" s="240" customFormat="1" ht="20.25" customHeight="1">
      <c r="A115" s="241"/>
      <c r="B115" s="242" t="s">
        <v>557</v>
      </c>
      <c r="C115" s="243">
        <f>+C106+C108</f>
        <v>0</v>
      </c>
      <c r="D115" s="243">
        <f>+D106+D108</f>
        <v>0</v>
      </c>
      <c r="E115" s="243">
        <f t="shared" si="14"/>
        <v>0</v>
      </c>
      <c r="F115" s="244">
        <f t="shared" si="15"/>
        <v>0</v>
      </c>
    </row>
    <row r="116" spans="1:6" s="240" customFormat="1" ht="20.25" customHeight="1">
      <c r="A116" s="245"/>
      <c r="B116" s="242"/>
      <c r="C116" s="243"/>
      <c r="D116" s="243"/>
      <c r="E116" s="243"/>
      <c r="F116" s="244"/>
    </row>
    <row r="117" spans="1:6" ht="18.75" customHeight="1">
      <c r="A117" s="227" t="s">
        <v>305</v>
      </c>
      <c r="B117" s="231" t="s">
        <v>565</v>
      </c>
      <c r="C117" s="232"/>
      <c r="D117" s="233"/>
      <c r="E117" s="227"/>
      <c r="F117" s="234"/>
    </row>
    <row r="118" spans="1:6" ht="20.25" customHeight="1">
      <c r="A118" s="235">
        <v>1</v>
      </c>
      <c r="B118" s="236" t="s">
        <v>549</v>
      </c>
      <c r="C118" s="237">
        <v>0</v>
      </c>
      <c r="D118" s="237">
        <v>0</v>
      </c>
      <c r="E118" s="237">
        <f aca="true" t="shared" si="16" ref="E118:E128">D118-C118</f>
        <v>0</v>
      </c>
      <c r="F118" s="238">
        <f aca="true" t="shared" si="17" ref="F118:F128">IF(C118=0,0,E118/C118)</f>
        <v>0</v>
      </c>
    </row>
    <row r="119" spans="1:6" ht="20.25" customHeight="1">
      <c r="A119" s="235">
        <v>2</v>
      </c>
      <c r="B119" s="236" t="s">
        <v>550</v>
      </c>
      <c r="C119" s="237">
        <v>0</v>
      </c>
      <c r="D119" s="237">
        <v>0</v>
      </c>
      <c r="E119" s="237">
        <f t="shared" si="16"/>
        <v>0</v>
      </c>
      <c r="F119" s="238">
        <f t="shared" si="17"/>
        <v>0</v>
      </c>
    </row>
    <row r="120" spans="1:6" ht="20.25" customHeight="1">
      <c r="A120" s="235">
        <v>3</v>
      </c>
      <c r="B120" s="236" t="s">
        <v>551</v>
      </c>
      <c r="C120" s="237">
        <v>0</v>
      </c>
      <c r="D120" s="237">
        <v>0</v>
      </c>
      <c r="E120" s="237">
        <f t="shared" si="16"/>
        <v>0</v>
      </c>
      <c r="F120" s="238">
        <f t="shared" si="17"/>
        <v>0</v>
      </c>
    </row>
    <row r="121" spans="1:6" ht="20.25" customHeight="1">
      <c r="A121" s="235">
        <v>4</v>
      </c>
      <c r="B121" s="236" t="s">
        <v>552</v>
      </c>
      <c r="C121" s="237">
        <v>0</v>
      </c>
      <c r="D121" s="237">
        <v>0</v>
      </c>
      <c r="E121" s="237">
        <f t="shared" si="16"/>
        <v>0</v>
      </c>
      <c r="F121" s="238">
        <f t="shared" si="17"/>
        <v>0</v>
      </c>
    </row>
    <row r="122" spans="1:6" ht="20.25" customHeight="1">
      <c r="A122" s="235">
        <v>5</v>
      </c>
      <c r="B122" s="236" t="s">
        <v>488</v>
      </c>
      <c r="C122" s="239">
        <v>0</v>
      </c>
      <c r="D122" s="239">
        <v>0</v>
      </c>
      <c r="E122" s="239">
        <f t="shared" si="16"/>
        <v>0</v>
      </c>
      <c r="F122" s="238">
        <f t="shared" si="17"/>
        <v>0</v>
      </c>
    </row>
    <row r="123" spans="1:6" ht="20.25" customHeight="1">
      <c r="A123" s="235">
        <v>6</v>
      </c>
      <c r="B123" s="236" t="s">
        <v>487</v>
      </c>
      <c r="C123" s="239">
        <v>0</v>
      </c>
      <c r="D123" s="239">
        <v>0</v>
      </c>
      <c r="E123" s="239">
        <f t="shared" si="16"/>
        <v>0</v>
      </c>
      <c r="F123" s="238">
        <f t="shared" si="17"/>
        <v>0</v>
      </c>
    </row>
    <row r="124" spans="1:6" ht="20.25" customHeight="1">
      <c r="A124" s="235">
        <v>7</v>
      </c>
      <c r="B124" s="236" t="s">
        <v>553</v>
      </c>
      <c r="C124" s="239">
        <v>0</v>
      </c>
      <c r="D124" s="239">
        <v>0</v>
      </c>
      <c r="E124" s="239">
        <f t="shared" si="16"/>
        <v>0</v>
      </c>
      <c r="F124" s="238">
        <f t="shared" si="17"/>
        <v>0</v>
      </c>
    </row>
    <row r="125" spans="1:6" ht="20.25" customHeight="1">
      <c r="A125" s="235">
        <v>8</v>
      </c>
      <c r="B125" s="236" t="s">
        <v>554</v>
      </c>
      <c r="C125" s="239">
        <v>0</v>
      </c>
      <c r="D125" s="239">
        <v>0</v>
      </c>
      <c r="E125" s="239">
        <f t="shared" si="16"/>
        <v>0</v>
      </c>
      <c r="F125" s="238">
        <f t="shared" si="17"/>
        <v>0</v>
      </c>
    </row>
    <row r="126" spans="1:6" ht="20.25" customHeight="1">
      <c r="A126" s="235">
        <v>9</v>
      </c>
      <c r="B126" s="236" t="s">
        <v>555</v>
      </c>
      <c r="C126" s="239">
        <v>0</v>
      </c>
      <c r="D126" s="239">
        <v>0</v>
      </c>
      <c r="E126" s="239">
        <f t="shared" si="16"/>
        <v>0</v>
      </c>
      <c r="F126" s="238">
        <f t="shared" si="17"/>
        <v>0</v>
      </c>
    </row>
    <row r="127" spans="1:6" s="240" customFormat="1" ht="20.25" customHeight="1">
      <c r="A127" s="241"/>
      <c r="B127" s="242" t="s">
        <v>556</v>
      </c>
      <c r="C127" s="243">
        <f>+C118+C120</f>
        <v>0</v>
      </c>
      <c r="D127" s="243">
        <f>+D118+D120</f>
        <v>0</v>
      </c>
      <c r="E127" s="243">
        <f t="shared" si="16"/>
        <v>0</v>
      </c>
      <c r="F127" s="244">
        <f t="shared" si="17"/>
        <v>0</v>
      </c>
    </row>
    <row r="128" spans="1:6" s="240" customFormat="1" ht="20.25" customHeight="1">
      <c r="A128" s="241"/>
      <c r="B128" s="242" t="s">
        <v>557</v>
      </c>
      <c r="C128" s="243">
        <f>+C119+C121</f>
        <v>0</v>
      </c>
      <c r="D128" s="243">
        <f>+D119+D121</f>
        <v>0</v>
      </c>
      <c r="E128" s="243">
        <f t="shared" si="16"/>
        <v>0</v>
      </c>
      <c r="F128" s="244">
        <f t="shared" si="17"/>
        <v>0</v>
      </c>
    </row>
    <row r="129" spans="1:6" s="240" customFormat="1" ht="20.25" customHeight="1">
      <c r="A129" s="245"/>
      <c r="B129" s="242"/>
      <c r="C129" s="243"/>
      <c r="D129" s="243"/>
      <c r="E129" s="243"/>
      <c r="F129" s="244"/>
    </row>
    <row r="130" spans="1:6" ht="18.75" customHeight="1">
      <c r="A130" s="227" t="s">
        <v>314</v>
      </c>
      <c r="B130" s="231" t="s">
        <v>566</v>
      </c>
      <c r="C130" s="232"/>
      <c r="D130" s="233"/>
      <c r="E130" s="227"/>
      <c r="F130" s="234"/>
    </row>
    <row r="131" spans="1:6" ht="20.25" customHeight="1">
      <c r="A131" s="235">
        <v>1</v>
      </c>
      <c r="B131" s="236" t="s">
        <v>549</v>
      </c>
      <c r="C131" s="237">
        <v>0</v>
      </c>
      <c r="D131" s="237">
        <v>0</v>
      </c>
      <c r="E131" s="237">
        <f aca="true" t="shared" si="18" ref="E131:E141">D131-C131</f>
        <v>0</v>
      </c>
      <c r="F131" s="238">
        <f aca="true" t="shared" si="19" ref="F131:F141">IF(C131=0,0,E131/C131)</f>
        <v>0</v>
      </c>
    </row>
    <row r="132" spans="1:6" ht="20.25" customHeight="1">
      <c r="A132" s="235">
        <v>2</v>
      </c>
      <c r="B132" s="236" t="s">
        <v>550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>
      <c r="A133" s="235">
        <v>3</v>
      </c>
      <c r="B133" s="236" t="s">
        <v>551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>
      <c r="A134" s="235">
        <v>4</v>
      </c>
      <c r="B134" s="236" t="s">
        <v>552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>
      <c r="A135" s="235">
        <v>5</v>
      </c>
      <c r="B135" s="236" t="s">
        <v>488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>
      <c r="A136" s="235">
        <v>6</v>
      </c>
      <c r="B136" s="236" t="s">
        <v>487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>
      <c r="A137" s="235">
        <v>7</v>
      </c>
      <c r="B137" s="236" t="s">
        <v>553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>
      <c r="A138" s="235">
        <v>8</v>
      </c>
      <c r="B138" s="236" t="s">
        <v>554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>
      <c r="A139" s="235">
        <v>9</v>
      </c>
      <c r="B139" s="236" t="s">
        <v>555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>
      <c r="A140" s="241"/>
      <c r="B140" s="242" t="s">
        <v>556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>
      <c r="A141" s="241"/>
      <c r="B141" s="242" t="s">
        <v>557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>
      <c r="A142" s="245"/>
      <c r="B142" s="242"/>
      <c r="C142" s="243"/>
      <c r="D142" s="243"/>
      <c r="E142" s="243"/>
      <c r="F142" s="244"/>
    </row>
    <row r="143" spans="1:6" ht="18.75" customHeight="1">
      <c r="A143" s="227" t="s">
        <v>333</v>
      </c>
      <c r="B143" s="231" t="s">
        <v>567</v>
      </c>
      <c r="C143" s="232"/>
      <c r="D143" s="233"/>
      <c r="E143" s="227"/>
      <c r="F143" s="234"/>
    </row>
    <row r="144" spans="1:6" ht="20.25" customHeight="1">
      <c r="A144" s="235">
        <v>1</v>
      </c>
      <c r="B144" s="236" t="s">
        <v>549</v>
      </c>
      <c r="C144" s="237">
        <v>0</v>
      </c>
      <c r="D144" s="237">
        <v>0</v>
      </c>
      <c r="E144" s="237">
        <f aca="true" t="shared" si="20" ref="E144:E154">D144-C144</f>
        <v>0</v>
      </c>
      <c r="F144" s="238">
        <f aca="true" t="shared" si="21" ref="F144:F154">IF(C144=0,0,E144/C144)</f>
        <v>0</v>
      </c>
    </row>
    <row r="145" spans="1:6" ht="20.25" customHeight="1">
      <c r="A145" s="235">
        <v>2</v>
      </c>
      <c r="B145" s="236" t="s">
        <v>550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>
      <c r="A146" s="235">
        <v>3</v>
      </c>
      <c r="B146" s="236" t="s">
        <v>551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>
      <c r="A147" s="235">
        <v>4</v>
      </c>
      <c r="B147" s="236" t="s">
        <v>552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>
      <c r="A148" s="235">
        <v>5</v>
      </c>
      <c r="B148" s="236" t="s">
        <v>488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>
      <c r="A149" s="235">
        <v>6</v>
      </c>
      <c r="B149" s="236" t="s">
        <v>487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>
      <c r="A150" s="235">
        <v>7</v>
      </c>
      <c r="B150" s="236" t="s">
        <v>553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>
      <c r="A151" s="235">
        <v>8</v>
      </c>
      <c r="B151" s="236" t="s">
        <v>554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>
      <c r="A152" s="235">
        <v>9</v>
      </c>
      <c r="B152" s="236" t="s">
        <v>555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>
      <c r="A153" s="241"/>
      <c r="B153" s="242" t="s">
        <v>556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>
      <c r="A154" s="241"/>
      <c r="B154" s="242" t="s">
        <v>557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>
      <c r="A155" s="245"/>
      <c r="B155" s="242"/>
      <c r="C155" s="243"/>
      <c r="D155" s="243"/>
      <c r="E155" s="243"/>
      <c r="F155" s="244"/>
    </row>
    <row r="156" spans="1:6" ht="18.75" customHeight="1">
      <c r="A156" s="227" t="s">
        <v>568</v>
      </c>
      <c r="B156" s="231" t="s">
        <v>569</v>
      </c>
      <c r="C156" s="232"/>
      <c r="D156" s="233"/>
      <c r="E156" s="227"/>
      <c r="F156" s="234"/>
    </row>
    <row r="157" spans="1:6" ht="20.25" customHeight="1">
      <c r="A157" s="235">
        <v>1</v>
      </c>
      <c r="B157" s="236" t="s">
        <v>549</v>
      </c>
      <c r="C157" s="237">
        <v>0</v>
      </c>
      <c r="D157" s="237">
        <v>0</v>
      </c>
      <c r="E157" s="237">
        <f aca="true" t="shared" si="22" ref="E157:E167">D157-C157</f>
        <v>0</v>
      </c>
      <c r="F157" s="238">
        <f aca="true" t="shared" si="23" ref="F157:F167">IF(C157=0,0,E157/C157)</f>
        <v>0</v>
      </c>
    </row>
    <row r="158" spans="1:6" ht="20.25" customHeight="1">
      <c r="A158" s="235">
        <v>2</v>
      </c>
      <c r="B158" s="236" t="s">
        <v>550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>
      <c r="A159" s="235">
        <v>3</v>
      </c>
      <c r="B159" s="236" t="s">
        <v>551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>
      <c r="A160" s="235">
        <v>4</v>
      </c>
      <c r="B160" s="236" t="s">
        <v>552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>
      <c r="A161" s="235">
        <v>5</v>
      </c>
      <c r="B161" s="236" t="s">
        <v>488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>
      <c r="A162" s="235">
        <v>6</v>
      </c>
      <c r="B162" s="236" t="s">
        <v>487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>
      <c r="A163" s="235">
        <v>7</v>
      </c>
      <c r="B163" s="236" t="s">
        <v>553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>
      <c r="A164" s="235">
        <v>8</v>
      </c>
      <c r="B164" s="236" t="s">
        <v>554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>
      <c r="A165" s="235">
        <v>9</v>
      </c>
      <c r="B165" s="236" t="s">
        <v>555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>
      <c r="A166" s="241"/>
      <c r="B166" s="242" t="s">
        <v>556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>
      <c r="A167" s="241"/>
      <c r="B167" s="242" t="s">
        <v>557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>
      <c r="A168" s="245"/>
      <c r="B168" s="242"/>
      <c r="C168" s="243"/>
      <c r="D168" s="243"/>
      <c r="E168" s="243"/>
      <c r="F168" s="244"/>
    </row>
    <row r="169" spans="1:6" ht="18.75" customHeight="1">
      <c r="A169" s="227" t="s">
        <v>570</v>
      </c>
      <c r="B169" s="231" t="s">
        <v>571</v>
      </c>
      <c r="C169" s="232"/>
      <c r="D169" s="233"/>
      <c r="E169" s="227"/>
      <c r="F169" s="234"/>
    </row>
    <row r="170" spans="1:6" ht="20.25" customHeight="1">
      <c r="A170" s="235">
        <v>1</v>
      </c>
      <c r="B170" s="236" t="s">
        <v>549</v>
      </c>
      <c r="C170" s="237">
        <v>0</v>
      </c>
      <c r="D170" s="237">
        <v>0</v>
      </c>
      <c r="E170" s="237">
        <f aca="true" t="shared" si="24" ref="E170:E180">D170-C170</f>
        <v>0</v>
      </c>
      <c r="F170" s="238">
        <f aca="true" t="shared" si="25" ref="F170:F180">IF(C170=0,0,E170/C170)</f>
        <v>0</v>
      </c>
    </row>
    <row r="171" spans="1:6" ht="20.25" customHeight="1">
      <c r="A171" s="235">
        <v>2</v>
      </c>
      <c r="B171" s="236" t="s">
        <v>550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>
      <c r="A172" s="235">
        <v>3</v>
      </c>
      <c r="B172" s="236" t="s">
        <v>551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>
      <c r="A173" s="235">
        <v>4</v>
      </c>
      <c r="B173" s="236" t="s">
        <v>552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>
      <c r="A174" s="235">
        <v>5</v>
      </c>
      <c r="B174" s="236" t="s">
        <v>488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>
      <c r="A175" s="235">
        <v>6</v>
      </c>
      <c r="B175" s="236" t="s">
        <v>487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>
      <c r="A176" s="235">
        <v>7</v>
      </c>
      <c r="B176" s="236" t="s">
        <v>553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>
      <c r="A177" s="235">
        <v>8</v>
      </c>
      <c r="B177" s="236" t="s">
        <v>554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>
      <c r="A178" s="235">
        <v>9</v>
      </c>
      <c r="B178" s="236" t="s">
        <v>555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>
      <c r="A179" s="241"/>
      <c r="B179" s="242" t="s">
        <v>556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>
      <c r="A180" s="241"/>
      <c r="B180" s="242" t="s">
        <v>557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>
      <c r="A181" s="245"/>
      <c r="B181" s="242"/>
      <c r="C181" s="243"/>
      <c r="D181" s="243"/>
      <c r="E181" s="243"/>
      <c r="F181" s="244"/>
    </row>
    <row r="182" spans="1:6" ht="18.75" customHeight="1">
      <c r="A182" s="227" t="s">
        <v>572</v>
      </c>
      <c r="B182" s="231" t="s">
        <v>573</v>
      </c>
      <c r="C182" s="232"/>
      <c r="D182" s="233"/>
      <c r="E182" s="227"/>
      <c r="F182" s="234"/>
    </row>
    <row r="183" spans="1:6" ht="20.25" customHeight="1">
      <c r="A183" s="235">
        <v>1</v>
      </c>
      <c r="B183" s="236" t="s">
        <v>549</v>
      </c>
      <c r="C183" s="237">
        <v>0</v>
      </c>
      <c r="D183" s="237">
        <v>0</v>
      </c>
      <c r="E183" s="237">
        <f aca="true" t="shared" si="26" ref="E183:E193">D183-C183</f>
        <v>0</v>
      </c>
      <c r="F183" s="238">
        <f aca="true" t="shared" si="27" ref="F183:F193">IF(C183=0,0,E183/C183)</f>
        <v>0</v>
      </c>
    </row>
    <row r="184" spans="1:6" ht="20.25" customHeight="1">
      <c r="A184" s="235">
        <v>2</v>
      </c>
      <c r="B184" s="236" t="s">
        <v>550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>
      <c r="A185" s="235">
        <v>3</v>
      </c>
      <c r="B185" s="236" t="s">
        <v>551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>
      <c r="A186" s="235">
        <v>4</v>
      </c>
      <c r="B186" s="236" t="s">
        <v>552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>
      <c r="A187" s="235">
        <v>5</v>
      </c>
      <c r="B187" s="236" t="s">
        <v>488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>
      <c r="A188" s="235">
        <v>6</v>
      </c>
      <c r="B188" s="236" t="s">
        <v>487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>
      <c r="A189" s="235">
        <v>7</v>
      </c>
      <c r="B189" s="236" t="s">
        <v>553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>
      <c r="A190" s="235">
        <v>8</v>
      </c>
      <c r="B190" s="236" t="s">
        <v>554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>
      <c r="A191" s="235">
        <v>9</v>
      </c>
      <c r="B191" s="236" t="s">
        <v>555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>
      <c r="A192" s="241"/>
      <c r="B192" s="242" t="s">
        <v>556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6" s="240" customFormat="1" ht="20.25" customHeight="1">
      <c r="A193" s="241"/>
      <c r="B193" s="242" t="s">
        <v>557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6" s="240" customFormat="1" ht="20.25" customHeight="1">
      <c r="A194" s="245"/>
      <c r="B194" s="242"/>
      <c r="C194" s="243"/>
      <c r="D194" s="243"/>
      <c r="E194" s="243"/>
      <c r="F194" s="244"/>
    </row>
    <row r="195" spans="1:9" ht="20.25" customHeight="1">
      <c r="A195" s="688" t="s">
        <v>159</v>
      </c>
      <c r="B195" s="689" t="s">
        <v>574</v>
      </c>
      <c r="C195" s="691"/>
      <c r="D195" s="692"/>
      <c r="E195" s="692"/>
      <c r="F195" s="693"/>
      <c r="G195" s="694"/>
      <c r="H195" s="694"/>
      <c r="I195" s="694"/>
    </row>
    <row r="196" spans="1:9" ht="20.25" customHeight="1">
      <c r="A196" s="680"/>
      <c r="B196" s="690"/>
      <c r="C196" s="686"/>
      <c r="D196" s="660"/>
      <c r="E196" s="660"/>
      <c r="F196" s="661"/>
      <c r="G196" s="694"/>
      <c r="H196" s="694"/>
      <c r="I196" s="694"/>
    </row>
    <row r="197" spans="1:9" ht="20.25" customHeight="1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6" ht="20.25" customHeight="1">
      <c r="A198" s="249"/>
      <c r="B198" s="250" t="s">
        <v>575</v>
      </c>
      <c r="C198" s="243">
        <f aca="true" t="shared" si="28" ref="C198:D206">+C183+C170+C157+C144+C131+C118+C105+C92+C79+C66+C53+C40+C27+C14</f>
        <v>19074297</v>
      </c>
      <c r="D198" s="243">
        <f t="shared" si="28"/>
        <v>17675681</v>
      </c>
      <c r="E198" s="243">
        <f aca="true" t="shared" si="29" ref="E198:E208">D198-C198</f>
        <v>-1398616</v>
      </c>
      <c r="F198" s="251">
        <f aca="true" t="shared" si="30" ref="F198:F208">IF(C198=0,0,E198/C198)</f>
        <v>-0.0733246420562708</v>
      </c>
    </row>
    <row r="199" spans="1:6" ht="20.25" customHeight="1">
      <c r="A199" s="249"/>
      <c r="B199" s="250" t="s">
        <v>576</v>
      </c>
      <c r="C199" s="243">
        <f t="shared" si="28"/>
        <v>5706085</v>
      </c>
      <c r="D199" s="243">
        <f t="shared" si="28"/>
        <v>5624547</v>
      </c>
      <c r="E199" s="243">
        <f t="shared" si="29"/>
        <v>-81538</v>
      </c>
      <c r="F199" s="251">
        <f t="shared" si="30"/>
        <v>-0.014289657444640239</v>
      </c>
    </row>
    <row r="200" spans="1:6" ht="20.25" customHeight="1">
      <c r="A200" s="249"/>
      <c r="B200" s="250" t="s">
        <v>577</v>
      </c>
      <c r="C200" s="243">
        <f t="shared" si="28"/>
        <v>7292960</v>
      </c>
      <c r="D200" s="243">
        <f t="shared" si="28"/>
        <v>7502495</v>
      </c>
      <c r="E200" s="243">
        <f t="shared" si="29"/>
        <v>209535</v>
      </c>
      <c r="F200" s="251">
        <f t="shared" si="30"/>
        <v>0.02873113248941445</v>
      </c>
    </row>
    <row r="201" spans="1:6" ht="20.25" customHeight="1">
      <c r="A201" s="249"/>
      <c r="B201" s="250" t="s">
        <v>578</v>
      </c>
      <c r="C201" s="243">
        <f t="shared" si="28"/>
        <v>1898805</v>
      </c>
      <c r="D201" s="243">
        <f t="shared" si="28"/>
        <v>1849714</v>
      </c>
      <c r="E201" s="243">
        <f t="shared" si="29"/>
        <v>-49091</v>
      </c>
      <c r="F201" s="251">
        <f t="shared" si="30"/>
        <v>-0.025853628992971896</v>
      </c>
    </row>
    <row r="202" spans="1:6" ht="20.25" customHeight="1">
      <c r="A202" s="249"/>
      <c r="B202" s="250" t="s">
        <v>579</v>
      </c>
      <c r="C202" s="252">
        <f t="shared" si="28"/>
        <v>564</v>
      </c>
      <c r="D202" s="252">
        <f t="shared" si="28"/>
        <v>562</v>
      </c>
      <c r="E202" s="252">
        <f t="shared" si="29"/>
        <v>-2</v>
      </c>
      <c r="F202" s="251">
        <f t="shared" si="30"/>
        <v>-0.0035460992907801418</v>
      </c>
    </row>
    <row r="203" spans="1:6" ht="20.25" customHeight="1">
      <c r="A203" s="249"/>
      <c r="B203" s="250" t="s">
        <v>580</v>
      </c>
      <c r="C203" s="252">
        <f t="shared" si="28"/>
        <v>2995</v>
      </c>
      <c r="D203" s="252">
        <f t="shared" si="28"/>
        <v>2615</v>
      </c>
      <c r="E203" s="252">
        <f t="shared" si="29"/>
        <v>-380</v>
      </c>
      <c r="F203" s="251">
        <f t="shared" si="30"/>
        <v>-0.12687813021702837</v>
      </c>
    </row>
    <row r="204" spans="1:6" ht="39.75" customHeight="1">
      <c r="A204" s="249"/>
      <c r="B204" s="250" t="s">
        <v>581</v>
      </c>
      <c r="C204" s="252">
        <f t="shared" si="28"/>
        <v>3944</v>
      </c>
      <c r="D204" s="252">
        <f t="shared" si="28"/>
        <v>4827</v>
      </c>
      <c r="E204" s="252">
        <f t="shared" si="29"/>
        <v>883</v>
      </c>
      <c r="F204" s="251">
        <f t="shared" si="30"/>
        <v>0.2238843813387424</v>
      </c>
    </row>
    <row r="205" spans="1:6" ht="39.75" customHeight="1">
      <c r="A205" s="249"/>
      <c r="B205" s="250" t="s">
        <v>582</v>
      </c>
      <c r="C205" s="252">
        <f t="shared" si="28"/>
        <v>2220</v>
      </c>
      <c r="D205" s="252">
        <f t="shared" si="28"/>
        <v>1296</v>
      </c>
      <c r="E205" s="252">
        <f t="shared" si="29"/>
        <v>-924</v>
      </c>
      <c r="F205" s="251">
        <f t="shared" si="30"/>
        <v>-0.41621621621621624</v>
      </c>
    </row>
    <row r="206" spans="1:6" ht="39.75" customHeight="1">
      <c r="A206" s="249"/>
      <c r="B206" s="250" t="s">
        <v>583</v>
      </c>
      <c r="C206" s="252">
        <f t="shared" si="28"/>
        <v>0</v>
      </c>
      <c r="D206" s="252">
        <f t="shared" si="28"/>
        <v>0</v>
      </c>
      <c r="E206" s="252">
        <f t="shared" si="29"/>
        <v>0</v>
      </c>
      <c r="F206" s="251">
        <f t="shared" si="30"/>
        <v>0</v>
      </c>
    </row>
    <row r="207" spans="1:6" ht="20.25" customHeight="1">
      <c r="A207" s="249"/>
      <c r="B207" s="242" t="s">
        <v>584</v>
      </c>
      <c r="C207" s="243">
        <f>+C198+C200</f>
        <v>26367257</v>
      </c>
      <c r="D207" s="243">
        <f>+D198+D200</f>
        <v>25178176</v>
      </c>
      <c r="E207" s="243">
        <f t="shared" si="29"/>
        <v>-1189081</v>
      </c>
      <c r="F207" s="251">
        <f t="shared" si="30"/>
        <v>-0.04509687905723375</v>
      </c>
    </row>
    <row r="208" spans="1:6" ht="20.25" customHeight="1">
      <c r="A208" s="249"/>
      <c r="B208" s="242" t="s">
        <v>585</v>
      </c>
      <c r="C208" s="243">
        <f>+C199+C201</f>
        <v>7604890</v>
      </c>
      <c r="D208" s="243">
        <f>+D199+D201</f>
        <v>7474261</v>
      </c>
      <c r="E208" s="243">
        <f t="shared" si="29"/>
        <v>-130629</v>
      </c>
      <c r="F208" s="251">
        <f t="shared" si="30"/>
        <v>-0.017176974288911476</v>
      </c>
    </row>
  </sheetData>
  <sheetProtection/>
  <mergeCells count="12"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FILING&amp;RMILFORD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1">
      <selection activeCell="B15" sqref="B15"/>
    </sheetView>
  </sheetViews>
  <sheetFormatPr defaultColWidth="9.140625" defaultRowHeight="20.25" customHeight="1"/>
  <cols>
    <col min="1" max="1" width="7.28125" style="211" customWidth="1"/>
    <col min="2" max="2" width="62.421875" style="211" customWidth="1"/>
    <col min="3" max="3" width="22.8515625" style="212" customWidth="1"/>
    <col min="4" max="6" width="22.8515625" style="211" customWidth="1"/>
    <col min="7" max="16384" width="9.140625" style="211" customWidth="1"/>
  </cols>
  <sheetData>
    <row r="1" spans="1:6" ht="20.25" customHeight="1">
      <c r="A1" s="213"/>
      <c r="B1" s="213"/>
      <c r="C1" s="214"/>
      <c r="D1" s="215"/>
      <c r="E1" s="215"/>
      <c r="F1" s="215"/>
    </row>
    <row r="2" spans="1:6" ht="20.25" customHeight="1">
      <c r="A2" s="687" t="s">
        <v>115</v>
      </c>
      <c r="B2" s="687"/>
      <c r="C2" s="687"/>
      <c r="D2" s="687"/>
      <c r="E2" s="687"/>
      <c r="F2" s="687"/>
    </row>
    <row r="3" spans="1:6" ht="20.25" customHeight="1">
      <c r="A3" s="687" t="s">
        <v>116</v>
      </c>
      <c r="B3" s="687"/>
      <c r="C3" s="687"/>
      <c r="D3" s="687"/>
      <c r="E3" s="687"/>
      <c r="F3" s="687"/>
    </row>
    <row r="4" spans="1:6" ht="20.25" customHeight="1">
      <c r="A4" s="687" t="s">
        <v>117</v>
      </c>
      <c r="B4" s="687"/>
      <c r="C4" s="687"/>
      <c r="D4" s="687"/>
      <c r="E4" s="687"/>
      <c r="F4" s="687"/>
    </row>
    <row r="5" spans="1:6" ht="20.25" customHeight="1">
      <c r="A5" s="687" t="s">
        <v>586</v>
      </c>
      <c r="B5" s="687"/>
      <c r="C5" s="687"/>
      <c r="D5" s="687"/>
      <c r="E5" s="687"/>
      <c r="F5" s="687"/>
    </row>
    <row r="6" spans="1:3" ht="20.25" customHeight="1" thickBot="1">
      <c r="A6" s="213"/>
      <c r="B6" s="213"/>
      <c r="C6" s="214"/>
    </row>
    <row r="7" spans="1:7" ht="20.25" customHeight="1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>
      <c r="A8" s="253"/>
      <c r="B8" s="254"/>
      <c r="C8" s="223" t="s">
        <v>545</v>
      </c>
      <c r="D8" s="223" t="s">
        <v>546</v>
      </c>
      <c r="E8" s="223" t="s">
        <v>547</v>
      </c>
      <c r="F8" s="224" t="s">
        <v>223</v>
      </c>
      <c r="G8" s="212"/>
    </row>
    <row r="9" spans="1:7" ht="20.25" customHeight="1">
      <c r="A9" s="255"/>
      <c r="B9" s="256"/>
      <c r="C9" s="257"/>
      <c r="D9" s="258"/>
      <c r="E9" s="258"/>
      <c r="F9" s="259"/>
      <c r="G9" s="212"/>
    </row>
    <row r="10" spans="1:6" ht="20.25" customHeight="1">
      <c r="A10" s="688" t="s">
        <v>127</v>
      </c>
      <c r="B10" s="689" t="s">
        <v>230</v>
      </c>
      <c r="C10" s="691"/>
      <c r="D10" s="692"/>
      <c r="E10" s="692"/>
      <c r="F10" s="693"/>
    </row>
    <row r="11" spans="1:6" ht="20.25" customHeight="1">
      <c r="A11" s="680"/>
      <c r="B11" s="690"/>
      <c r="C11" s="686"/>
      <c r="D11" s="660"/>
      <c r="E11" s="660"/>
      <c r="F11" s="661"/>
    </row>
    <row r="12" spans="1:6" ht="20.25" customHeight="1">
      <c r="A12" s="236"/>
      <c r="B12" s="260"/>
      <c r="C12" s="230"/>
      <c r="D12" s="230"/>
      <c r="E12" s="230"/>
      <c r="F12" s="230"/>
    </row>
    <row r="13" spans="1:6" ht="42" customHeight="1">
      <c r="A13" s="227" t="s">
        <v>225</v>
      </c>
      <c r="B13" s="261" t="s">
        <v>587</v>
      </c>
      <c r="C13" s="232"/>
      <c r="D13" s="233"/>
      <c r="E13" s="227"/>
      <c r="F13" s="234"/>
    </row>
    <row r="14" spans="1:6" ht="20.25" customHeight="1">
      <c r="A14" s="235">
        <v>1</v>
      </c>
      <c r="B14" s="236" t="s">
        <v>549</v>
      </c>
      <c r="C14" s="237">
        <v>1615081</v>
      </c>
      <c r="D14" s="237">
        <v>0</v>
      </c>
      <c r="E14" s="237">
        <f aca="true" t="shared" si="0" ref="E14:E24">D14-C14</f>
        <v>-1615081</v>
      </c>
      <c r="F14" s="238">
        <f aca="true" t="shared" si="1" ref="F14:F24">IF(C14=0,0,E14/C14)</f>
        <v>-1</v>
      </c>
    </row>
    <row r="15" spans="1:6" ht="20.25" customHeight="1">
      <c r="A15" s="235">
        <v>2</v>
      </c>
      <c r="B15" s="236" t="s">
        <v>550</v>
      </c>
      <c r="C15" s="237">
        <v>465842</v>
      </c>
      <c r="D15" s="237">
        <v>0</v>
      </c>
      <c r="E15" s="237">
        <f t="shared" si="0"/>
        <v>-465842</v>
      </c>
      <c r="F15" s="238">
        <f t="shared" si="1"/>
        <v>-1</v>
      </c>
    </row>
    <row r="16" spans="1:6" ht="20.25" customHeight="1">
      <c r="A16" s="235">
        <v>3</v>
      </c>
      <c r="B16" s="236" t="s">
        <v>551</v>
      </c>
      <c r="C16" s="237">
        <v>2678315</v>
      </c>
      <c r="D16" s="237">
        <v>0</v>
      </c>
      <c r="E16" s="237">
        <f t="shared" si="0"/>
        <v>-2678315</v>
      </c>
      <c r="F16" s="238">
        <f t="shared" si="1"/>
        <v>-1</v>
      </c>
    </row>
    <row r="17" spans="1:6" ht="20.25" customHeight="1">
      <c r="A17" s="235">
        <v>4</v>
      </c>
      <c r="B17" s="236" t="s">
        <v>552</v>
      </c>
      <c r="C17" s="237">
        <v>672106</v>
      </c>
      <c r="D17" s="237">
        <v>0</v>
      </c>
      <c r="E17" s="237">
        <f t="shared" si="0"/>
        <v>-672106</v>
      </c>
      <c r="F17" s="238">
        <f t="shared" si="1"/>
        <v>-1</v>
      </c>
    </row>
    <row r="18" spans="1:6" ht="20.25" customHeight="1">
      <c r="A18" s="235">
        <v>5</v>
      </c>
      <c r="B18" s="236" t="s">
        <v>488</v>
      </c>
      <c r="C18" s="239">
        <v>142</v>
      </c>
      <c r="D18" s="239">
        <v>0</v>
      </c>
      <c r="E18" s="239">
        <f t="shared" si="0"/>
        <v>-142</v>
      </c>
      <c r="F18" s="238">
        <f t="shared" si="1"/>
        <v>-1</v>
      </c>
    </row>
    <row r="19" spans="1:6" ht="20.25" customHeight="1">
      <c r="A19" s="235">
        <v>6</v>
      </c>
      <c r="B19" s="236" t="s">
        <v>487</v>
      </c>
      <c r="C19" s="239">
        <v>424</v>
      </c>
      <c r="D19" s="239">
        <v>0</v>
      </c>
      <c r="E19" s="239">
        <f t="shared" si="0"/>
        <v>-424</v>
      </c>
      <c r="F19" s="238">
        <f t="shared" si="1"/>
        <v>-1</v>
      </c>
    </row>
    <row r="20" spans="1:6" ht="20.25" customHeight="1">
      <c r="A20" s="235">
        <v>7</v>
      </c>
      <c r="B20" s="236" t="s">
        <v>553</v>
      </c>
      <c r="C20" s="239">
        <v>899</v>
      </c>
      <c r="D20" s="239">
        <v>0</v>
      </c>
      <c r="E20" s="239">
        <f t="shared" si="0"/>
        <v>-899</v>
      </c>
      <c r="F20" s="238">
        <f t="shared" si="1"/>
        <v>-1</v>
      </c>
    </row>
    <row r="21" spans="1:6" ht="20.25" customHeight="1">
      <c r="A21" s="235">
        <v>8</v>
      </c>
      <c r="B21" s="236" t="s">
        <v>554</v>
      </c>
      <c r="C21" s="239">
        <v>1913</v>
      </c>
      <c r="D21" s="239">
        <v>0</v>
      </c>
      <c r="E21" s="239">
        <f t="shared" si="0"/>
        <v>-1913</v>
      </c>
      <c r="F21" s="238">
        <f t="shared" si="1"/>
        <v>-1</v>
      </c>
    </row>
    <row r="22" spans="1:6" ht="20.25" customHeight="1">
      <c r="A22" s="235">
        <v>9</v>
      </c>
      <c r="B22" s="236" t="s">
        <v>555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75" customHeight="1">
      <c r="A23" s="245"/>
      <c r="B23" s="242" t="s">
        <v>556</v>
      </c>
      <c r="C23" s="243">
        <f>+C14+C16</f>
        <v>4293396</v>
      </c>
      <c r="D23" s="243">
        <f>+D14+D16</f>
        <v>0</v>
      </c>
      <c r="E23" s="243">
        <f t="shared" si="0"/>
        <v>-4293396</v>
      </c>
      <c r="F23" s="244">
        <f t="shared" si="1"/>
        <v>-1</v>
      </c>
    </row>
    <row r="24" spans="1:6" s="240" customFormat="1" ht="39.75" customHeight="1">
      <c r="A24" s="245"/>
      <c r="B24" s="242" t="s">
        <v>585</v>
      </c>
      <c r="C24" s="243">
        <f>+C15+C17</f>
        <v>1137948</v>
      </c>
      <c r="D24" s="243">
        <f>+D15+D17</f>
        <v>0</v>
      </c>
      <c r="E24" s="243">
        <f t="shared" si="0"/>
        <v>-1137948</v>
      </c>
      <c r="F24" s="244">
        <f t="shared" si="1"/>
        <v>-1</v>
      </c>
    </row>
    <row r="25" spans="1:6" ht="42" customHeight="1">
      <c r="A25" s="227" t="s">
        <v>239</v>
      </c>
      <c r="B25" s="261" t="s">
        <v>588</v>
      </c>
      <c r="C25" s="232"/>
      <c r="D25" s="233"/>
      <c r="E25" s="227"/>
      <c r="F25" s="234"/>
    </row>
    <row r="26" spans="1:6" ht="20.25" customHeight="1">
      <c r="A26" s="235">
        <v>1</v>
      </c>
      <c r="B26" s="236" t="s">
        <v>549</v>
      </c>
      <c r="C26" s="237">
        <v>454657</v>
      </c>
      <c r="D26" s="237">
        <v>1589061</v>
      </c>
      <c r="E26" s="237">
        <f aca="true" t="shared" si="2" ref="E26:E36">D26-C26</f>
        <v>1134404</v>
      </c>
      <c r="F26" s="238">
        <f aca="true" t="shared" si="3" ref="F26:F36">IF(C26=0,0,E26/C26)</f>
        <v>2.495076508224882</v>
      </c>
    </row>
    <row r="27" spans="1:6" ht="20.25" customHeight="1">
      <c r="A27" s="235">
        <v>2</v>
      </c>
      <c r="B27" s="236" t="s">
        <v>550</v>
      </c>
      <c r="C27" s="237">
        <v>145196</v>
      </c>
      <c r="D27" s="237">
        <v>588129</v>
      </c>
      <c r="E27" s="237">
        <f t="shared" si="2"/>
        <v>442933</v>
      </c>
      <c r="F27" s="238">
        <f t="shared" si="3"/>
        <v>3.050586793024601</v>
      </c>
    </row>
    <row r="28" spans="1:6" ht="20.25" customHeight="1">
      <c r="A28" s="235">
        <v>3</v>
      </c>
      <c r="B28" s="236" t="s">
        <v>551</v>
      </c>
      <c r="C28" s="237">
        <v>901851</v>
      </c>
      <c r="D28" s="237">
        <v>2921695</v>
      </c>
      <c r="E28" s="237">
        <f t="shared" si="2"/>
        <v>2019844</v>
      </c>
      <c r="F28" s="238">
        <f t="shared" si="3"/>
        <v>2.2396648670345765</v>
      </c>
    </row>
    <row r="29" spans="1:6" ht="20.25" customHeight="1">
      <c r="A29" s="235">
        <v>4</v>
      </c>
      <c r="B29" s="236" t="s">
        <v>552</v>
      </c>
      <c r="C29" s="237">
        <v>261206</v>
      </c>
      <c r="D29" s="237">
        <v>813617</v>
      </c>
      <c r="E29" s="237">
        <f t="shared" si="2"/>
        <v>552411</v>
      </c>
      <c r="F29" s="238">
        <f t="shared" si="3"/>
        <v>2.1148480509636074</v>
      </c>
    </row>
    <row r="30" spans="1:6" ht="20.25" customHeight="1">
      <c r="A30" s="235">
        <v>5</v>
      </c>
      <c r="B30" s="236" t="s">
        <v>488</v>
      </c>
      <c r="C30" s="239">
        <v>47</v>
      </c>
      <c r="D30" s="239">
        <v>191</v>
      </c>
      <c r="E30" s="239">
        <f t="shared" si="2"/>
        <v>144</v>
      </c>
      <c r="F30" s="238">
        <f t="shared" si="3"/>
        <v>3.0638297872340425</v>
      </c>
    </row>
    <row r="31" spans="1:6" ht="20.25" customHeight="1">
      <c r="A31" s="235">
        <v>6</v>
      </c>
      <c r="B31" s="236" t="s">
        <v>487</v>
      </c>
      <c r="C31" s="239">
        <v>154</v>
      </c>
      <c r="D31" s="239">
        <v>545</v>
      </c>
      <c r="E31" s="239">
        <f t="shared" si="2"/>
        <v>391</v>
      </c>
      <c r="F31" s="238">
        <f t="shared" si="3"/>
        <v>2.538961038961039</v>
      </c>
    </row>
    <row r="32" spans="1:6" ht="20.25" customHeight="1">
      <c r="A32" s="235">
        <v>7</v>
      </c>
      <c r="B32" s="236" t="s">
        <v>553</v>
      </c>
      <c r="C32" s="239">
        <v>174</v>
      </c>
      <c r="D32" s="239">
        <v>733</v>
      </c>
      <c r="E32" s="239">
        <f t="shared" si="2"/>
        <v>559</v>
      </c>
      <c r="F32" s="238">
        <f t="shared" si="3"/>
        <v>3.2126436781609193</v>
      </c>
    </row>
    <row r="33" spans="1:6" ht="20.25" customHeight="1">
      <c r="A33" s="235">
        <v>8</v>
      </c>
      <c r="B33" s="236" t="s">
        <v>554</v>
      </c>
      <c r="C33" s="239">
        <v>718</v>
      </c>
      <c r="D33" s="239">
        <v>2142</v>
      </c>
      <c r="E33" s="239">
        <f t="shared" si="2"/>
        <v>1424</v>
      </c>
      <c r="F33" s="238">
        <f t="shared" si="3"/>
        <v>1.9832869080779945</v>
      </c>
    </row>
    <row r="34" spans="1:6" ht="20.25" customHeight="1">
      <c r="A34" s="235">
        <v>9</v>
      </c>
      <c r="B34" s="236" t="s">
        <v>555</v>
      </c>
      <c r="C34" s="239">
        <v>0</v>
      </c>
      <c r="D34" s="239">
        <v>0</v>
      </c>
      <c r="E34" s="239">
        <f t="shared" si="2"/>
        <v>0</v>
      </c>
      <c r="F34" s="238">
        <f t="shared" si="3"/>
        <v>0</v>
      </c>
    </row>
    <row r="35" spans="1:6" s="240" customFormat="1" ht="39.75" customHeight="1">
      <c r="A35" s="245"/>
      <c r="B35" s="242" t="s">
        <v>556</v>
      </c>
      <c r="C35" s="243">
        <f>+C26+C28</f>
        <v>1356508</v>
      </c>
      <c r="D35" s="243">
        <f>+D26+D28</f>
        <v>4510756</v>
      </c>
      <c r="E35" s="243">
        <f t="shared" si="2"/>
        <v>3154248</v>
      </c>
      <c r="F35" s="244">
        <f t="shared" si="3"/>
        <v>2.3252704738932612</v>
      </c>
    </row>
    <row r="36" spans="1:6" s="240" customFormat="1" ht="39.75" customHeight="1">
      <c r="A36" s="245"/>
      <c r="B36" s="242" t="s">
        <v>585</v>
      </c>
      <c r="C36" s="243">
        <f>+C27+C29</f>
        <v>406402</v>
      </c>
      <c r="D36" s="243">
        <f>+D27+D29</f>
        <v>1401746</v>
      </c>
      <c r="E36" s="243">
        <f t="shared" si="2"/>
        <v>995344</v>
      </c>
      <c r="F36" s="244">
        <f t="shared" si="3"/>
        <v>2.4491611753879163</v>
      </c>
    </row>
    <row r="37" spans="1:6" ht="42" customHeight="1">
      <c r="A37" s="227" t="s">
        <v>256</v>
      </c>
      <c r="B37" s="261" t="s">
        <v>589</v>
      </c>
      <c r="C37" s="232"/>
      <c r="D37" s="233"/>
      <c r="E37" s="227"/>
      <c r="F37" s="234"/>
    </row>
    <row r="38" spans="1:6" ht="20.25" customHeight="1">
      <c r="A38" s="235">
        <v>1</v>
      </c>
      <c r="B38" s="236" t="s">
        <v>549</v>
      </c>
      <c r="C38" s="237">
        <v>612857</v>
      </c>
      <c r="D38" s="237">
        <v>0</v>
      </c>
      <c r="E38" s="237">
        <f aca="true" t="shared" si="4" ref="E38:E48">D38-C38</f>
        <v>-612857</v>
      </c>
      <c r="F38" s="238">
        <f aca="true" t="shared" si="5" ref="F38:F48">IF(C38=0,0,E38/C38)</f>
        <v>-1</v>
      </c>
    </row>
    <row r="39" spans="1:6" ht="20.25" customHeight="1">
      <c r="A39" s="235">
        <v>2</v>
      </c>
      <c r="B39" s="236" t="s">
        <v>550</v>
      </c>
      <c r="C39" s="237">
        <v>191359</v>
      </c>
      <c r="D39" s="237">
        <v>0</v>
      </c>
      <c r="E39" s="237">
        <f t="shared" si="4"/>
        <v>-191359</v>
      </c>
      <c r="F39" s="238">
        <f t="shared" si="5"/>
        <v>-1</v>
      </c>
    </row>
    <row r="40" spans="1:6" ht="20.25" customHeight="1">
      <c r="A40" s="235">
        <v>3</v>
      </c>
      <c r="B40" s="236" t="s">
        <v>551</v>
      </c>
      <c r="C40" s="237">
        <v>1224815</v>
      </c>
      <c r="D40" s="237">
        <v>0</v>
      </c>
      <c r="E40" s="237">
        <f t="shared" si="4"/>
        <v>-1224815</v>
      </c>
      <c r="F40" s="238">
        <f t="shared" si="5"/>
        <v>-1</v>
      </c>
    </row>
    <row r="41" spans="1:6" ht="20.25" customHeight="1">
      <c r="A41" s="235">
        <v>4</v>
      </c>
      <c r="B41" s="236" t="s">
        <v>552</v>
      </c>
      <c r="C41" s="237">
        <v>304375</v>
      </c>
      <c r="D41" s="237">
        <v>0</v>
      </c>
      <c r="E41" s="237">
        <f t="shared" si="4"/>
        <v>-304375</v>
      </c>
      <c r="F41" s="238">
        <f t="shared" si="5"/>
        <v>-1</v>
      </c>
    </row>
    <row r="42" spans="1:6" ht="20.25" customHeight="1">
      <c r="A42" s="235">
        <v>5</v>
      </c>
      <c r="B42" s="236" t="s">
        <v>488</v>
      </c>
      <c r="C42" s="239">
        <v>74</v>
      </c>
      <c r="D42" s="239">
        <v>0</v>
      </c>
      <c r="E42" s="239">
        <f t="shared" si="4"/>
        <v>-74</v>
      </c>
      <c r="F42" s="238">
        <f t="shared" si="5"/>
        <v>-1</v>
      </c>
    </row>
    <row r="43" spans="1:6" ht="20.25" customHeight="1">
      <c r="A43" s="235">
        <v>6</v>
      </c>
      <c r="B43" s="236" t="s">
        <v>487</v>
      </c>
      <c r="C43" s="239">
        <v>196</v>
      </c>
      <c r="D43" s="239">
        <v>0</v>
      </c>
      <c r="E43" s="239">
        <f t="shared" si="4"/>
        <v>-196</v>
      </c>
      <c r="F43" s="238">
        <f t="shared" si="5"/>
        <v>-1</v>
      </c>
    </row>
    <row r="44" spans="1:6" ht="20.25" customHeight="1">
      <c r="A44" s="235">
        <v>7</v>
      </c>
      <c r="B44" s="236" t="s">
        <v>553</v>
      </c>
      <c r="C44" s="239">
        <v>574</v>
      </c>
      <c r="D44" s="239">
        <v>0</v>
      </c>
      <c r="E44" s="239">
        <f t="shared" si="4"/>
        <v>-574</v>
      </c>
      <c r="F44" s="238">
        <f t="shared" si="5"/>
        <v>-1</v>
      </c>
    </row>
    <row r="45" spans="1:6" ht="20.25" customHeight="1">
      <c r="A45" s="235">
        <v>8</v>
      </c>
      <c r="B45" s="236" t="s">
        <v>554</v>
      </c>
      <c r="C45" s="239">
        <v>846</v>
      </c>
      <c r="D45" s="239">
        <v>0</v>
      </c>
      <c r="E45" s="239">
        <f t="shared" si="4"/>
        <v>-846</v>
      </c>
      <c r="F45" s="238">
        <f t="shared" si="5"/>
        <v>-1</v>
      </c>
    </row>
    <row r="46" spans="1:6" ht="20.25" customHeight="1">
      <c r="A46" s="235">
        <v>9</v>
      </c>
      <c r="B46" s="236" t="s">
        <v>555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75" customHeight="1">
      <c r="A47" s="245"/>
      <c r="B47" s="242" t="s">
        <v>556</v>
      </c>
      <c r="C47" s="243">
        <f>+C38+C40</f>
        <v>1837672</v>
      </c>
      <c r="D47" s="243">
        <f>+D38+D40</f>
        <v>0</v>
      </c>
      <c r="E47" s="243">
        <f t="shared" si="4"/>
        <v>-1837672</v>
      </c>
      <c r="F47" s="244">
        <f t="shared" si="5"/>
        <v>-1</v>
      </c>
    </row>
    <row r="48" spans="1:6" s="240" customFormat="1" ht="39.75" customHeight="1">
      <c r="A48" s="245"/>
      <c r="B48" s="242" t="s">
        <v>585</v>
      </c>
      <c r="C48" s="243">
        <f>+C39+C41</f>
        <v>495734</v>
      </c>
      <c r="D48" s="243">
        <f>+D39+D41</f>
        <v>0</v>
      </c>
      <c r="E48" s="243">
        <f t="shared" si="4"/>
        <v>-495734</v>
      </c>
      <c r="F48" s="244">
        <f t="shared" si="5"/>
        <v>-1</v>
      </c>
    </row>
    <row r="49" spans="1:6" ht="42" customHeight="1">
      <c r="A49" s="227" t="s">
        <v>286</v>
      </c>
      <c r="B49" s="261" t="s">
        <v>590</v>
      </c>
      <c r="C49" s="232"/>
      <c r="D49" s="233"/>
      <c r="E49" s="227"/>
      <c r="F49" s="234"/>
    </row>
    <row r="50" spans="1:6" ht="20.25" customHeight="1">
      <c r="A50" s="235">
        <v>1</v>
      </c>
      <c r="B50" s="236" t="s">
        <v>549</v>
      </c>
      <c r="C50" s="237">
        <v>0</v>
      </c>
      <c r="D50" s="237">
        <v>738992</v>
      </c>
      <c r="E50" s="237">
        <f aca="true" t="shared" si="6" ref="E50:E60">D50-C50</f>
        <v>738992</v>
      </c>
      <c r="F50" s="238">
        <f aca="true" t="shared" si="7" ref="F50:F60">IF(C50=0,0,E50/C50)</f>
        <v>0</v>
      </c>
    </row>
    <row r="51" spans="1:6" ht="20.25" customHeight="1">
      <c r="A51" s="235">
        <v>2</v>
      </c>
      <c r="B51" s="236" t="s">
        <v>550</v>
      </c>
      <c r="C51" s="237">
        <v>0</v>
      </c>
      <c r="D51" s="237">
        <v>172893</v>
      </c>
      <c r="E51" s="237">
        <f t="shared" si="6"/>
        <v>172893</v>
      </c>
      <c r="F51" s="238">
        <f t="shared" si="7"/>
        <v>0</v>
      </c>
    </row>
    <row r="52" spans="1:6" ht="20.25" customHeight="1">
      <c r="A52" s="235">
        <v>3</v>
      </c>
      <c r="B52" s="236" t="s">
        <v>551</v>
      </c>
      <c r="C52" s="237">
        <v>0</v>
      </c>
      <c r="D52" s="237">
        <v>1544678</v>
      </c>
      <c r="E52" s="237">
        <f t="shared" si="6"/>
        <v>1544678</v>
      </c>
      <c r="F52" s="238">
        <f t="shared" si="7"/>
        <v>0</v>
      </c>
    </row>
    <row r="53" spans="1:6" ht="20.25" customHeight="1">
      <c r="A53" s="235">
        <v>4</v>
      </c>
      <c r="B53" s="236" t="s">
        <v>552</v>
      </c>
      <c r="C53" s="237">
        <v>0</v>
      </c>
      <c r="D53" s="237">
        <v>368716</v>
      </c>
      <c r="E53" s="237">
        <f t="shared" si="6"/>
        <v>368716</v>
      </c>
      <c r="F53" s="238">
        <f t="shared" si="7"/>
        <v>0</v>
      </c>
    </row>
    <row r="54" spans="1:6" ht="20.25" customHeight="1">
      <c r="A54" s="235">
        <v>5</v>
      </c>
      <c r="B54" s="236" t="s">
        <v>488</v>
      </c>
      <c r="C54" s="239">
        <v>0</v>
      </c>
      <c r="D54" s="239">
        <v>63</v>
      </c>
      <c r="E54" s="239">
        <f t="shared" si="6"/>
        <v>63</v>
      </c>
      <c r="F54" s="238">
        <f t="shared" si="7"/>
        <v>0</v>
      </c>
    </row>
    <row r="55" spans="1:6" ht="20.25" customHeight="1">
      <c r="A55" s="235">
        <v>6</v>
      </c>
      <c r="B55" s="236" t="s">
        <v>487</v>
      </c>
      <c r="C55" s="239">
        <v>0</v>
      </c>
      <c r="D55" s="239">
        <v>199</v>
      </c>
      <c r="E55" s="239">
        <f t="shared" si="6"/>
        <v>199</v>
      </c>
      <c r="F55" s="238">
        <f t="shared" si="7"/>
        <v>0</v>
      </c>
    </row>
    <row r="56" spans="1:6" ht="20.25" customHeight="1">
      <c r="A56" s="235">
        <v>7</v>
      </c>
      <c r="B56" s="236" t="s">
        <v>553</v>
      </c>
      <c r="C56" s="239">
        <v>0</v>
      </c>
      <c r="D56" s="239">
        <v>385</v>
      </c>
      <c r="E56" s="239">
        <f t="shared" si="6"/>
        <v>385</v>
      </c>
      <c r="F56" s="238">
        <f t="shared" si="7"/>
        <v>0</v>
      </c>
    </row>
    <row r="57" spans="1:6" ht="20.25" customHeight="1">
      <c r="A57" s="235">
        <v>8</v>
      </c>
      <c r="B57" s="236" t="s">
        <v>554</v>
      </c>
      <c r="C57" s="239">
        <v>0</v>
      </c>
      <c r="D57" s="239">
        <v>1097</v>
      </c>
      <c r="E57" s="239">
        <f t="shared" si="6"/>
        <v>1097</v>
      </c>
      <c r="F57" s="238">
        <f t="shared" si="7"/>
        <v>0</v>
      </c>
    </row>
    <row r="58" spans="1:6" ht="20.25" customHeight="1">
      <c r="A58" s="235">
        <v>9</v>
      </c>
      <c r="B58" s="236" t="s">
        <v>555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75" customHeight="1">
      <c r="A59" s="245"/>
      <c r="B59" s="242" t="s">
        <v>556</v>
      </c>
      <c r="C59" s="243">
        <f>+C50+C52</f>
        <v>0</v>
      </c>
      <c r="D59" s="243">
        <f>+D50+D52</f>
        <v>2283670</v>
      </c>
      <c r="E59" s="243">
        <f t="shared" si="6"/>
        <v>2283670</v>
      </c>
      <c r="F59" s="244">
        <f t="shared" si="7"/>
        <v>0</v>
      </c>
    </row>
    <row r="60" spans="1:6" s="240" customFormat="1" ht="39.75" customHeight="1">
      <c r="A60" s="245"/>
      <c r="B60" s="242" t="s">
        <v>585</v>
      </c>
      <c r="C60" s="243">
        <f>+C51+C53</f>
        <v>0</v>
      </c>
      <c r="D60" s="243">
        <f>+D51+D53</f>
        <v>541609</v>
      </c>
      <c r="E60" s="243">
        <f t="shared" si="6"/>
        <v>541609</v>
      </c>
      <c r="F60" s="244">
        <f t="shared" si="7"/>
        <v>0</v>
      </c>
    </row>
    <row r="61" spans="1:6" ht="42" customHeight="1">
      <c r="A61" s="227" t="s">
        <v>291</v>
      </c>
      <c r="B61" s="261" t="s">
        <v>564</v>
      </c>
      <c r="C61" s="232"/>
      <c r="D61" s="233"/>
      <c r="E61" s="227"/>
      <c r="F61" s="234"/>
    </row>
    <row r="62" spans="1:6" ht="20.25" customHeight="1">
      <c r="A62" s="235">
        <v>1</v>
      </c>
      <c r="B62" s="236" t="s">
        <v>549</v>
      </c>
      <c r="C62" s="237">
        <v>0</v>
      </c>
      <c r="D62" s="237">
        <v>0</v>
      </c>
      <c r="E62" s="237">
        <f aca="true" t="shared" si="8" ref="E62:E72">D62-C62</f>
        <v>0</v>
      </c>
      <c r="F62" s="238">
        <f aca="true" t="shared" si="9" ref="F62:F72">IF(C62=0,0,E62/C62)</f>
        <v>0</v>
      </c>
    </row>
    <row r="63" spans="1:6" ht="20.25" customHeight="1">
      <c r="A63" s="235">
        <v>2</v>
      </c>
      <c r="B63" s="236" t="s">
        <v>550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>
      <c r="A64" s="235">
        <v>3</v>
      </c>
      <c r="B64" s="236" t="s">
        <v>551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>
      <c r="A65" s="235">
        <v>4</v>
      </c>
      <c r="B65" s="236" t="s">
        <v>552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>
      <c r="A66" s="235">
        <v>5</v>
      </c>
      <c r="B66" s="236" t="s">
        <v>488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>
      <c r="A67" s="235">
        <v>6</v>
      </c>
      <c r="B67" s="236" t="s">
        <v>487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>
      <c r="A68" s="235">
        <v>7</v>
      </c>
      <c r="B68" s="236" t="s">
        <v>553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>
      <c r="A69" s="235">
        <v>8</v>
      </c>
      <c r="B69" s="236" t="s">
        <v>554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>
      <c r="A70" s="235">
        <v>9</v>
      </c>
      <c r="B70" s="236" t="s">
        <v>555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75" customHeight="1">
      <c r="A71" s="245"/>
      <c r="B71" s="242" t="s">
        <v>556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75" customHeight="1">
      <c r="A72" s="245"/>
      <c r="B72" s="242" t="s">
        <v>585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>
      <c r="A73" s="227" t="s">
        <v>297</v>
      </c>
      <c r="B73" s="261" t="s">
        <v>591</v>
      </c>
      <c r="C73" s="232"/>
      <c r="D73" s="233"/>
      <c r="E73" s="227"/>
      <c r="F73" s="234"/>
    </row>
    <row r="74" spans="1:6" ht="20.25" customHeight="1">
      <c r="A74" s="235">
        <v>1</v>
      </c>
      <c r="B74" s="236" t="s">
        <v>549</v>
      </c>
      <c r="C74" s="237">
        <v>42440</v>
      </c>
      <c r="D74" s="237">
        <v>0</v>
      </c>
      <c r="E74" s="237">
        <f aca="true" t="shared" si="10" ref="E74:E84">D74-C74</f>
        <v>-42440</v>
      </c>
      <c r="F74" s="238">
        <f aca="true" t="shared" si="11" ref="F74:F84">IF(C74=0,0,E74/C74)</f>
        <v>-1</v>
      </c>
    </row>
    <row r="75" spans="1:6" ht="20.25" customHeight="1">
      <c r="A75" s="235">
        <v>2</v>
      </c>
      <c r="B75" s="236" t="s">
        <v>550</v>
      </c>
      <c r="C75" s="237">
        <v>13833</v>
      </c>
      <c r="D75" s="237">
        <v>0</v>
      </c>
      <c r="E75" s="237">
        <f t="shared" si="10"/>
        <v>-13833</v>
      </c>
      <c r="F75" s="238">
        <f t="shared" si="11"/>
        <v>-1</v>
      </c>
    </row>
    <row r="76" spans="1:6" ht="20.25" customHeight="1">
      <c r="A76" s="235">
        <v>3</v>
      </c>
      <c r="B76" s="236" t="s">
        <v>551</v>
      </c>
      <c r="C76" s="237">
        <v>170902</v>
      </c>
      <c r="D76" s="237">
        <v>0</v>
      </c>
      <c r="E76" s="237">
        <f t="shared" si="10"/>
        <v>-170902</v>
      </c>
      <c r="F76" s="238">
        <f t="shared" si="11"/>
        <v>-1</v>
      </c>
    </row>
    <row r="77" spans="1:6" ht="20.25" customHeight="1">
      <c r="A77" s="235">
        <v>4</v>
      </c>
      <c r="B77" s="236" t="s">
        <v>552</v>
      </c>
      <c r="C77" s="237">
        <v>35087</v>
      </c>
      <c r="D77" s="237">
        <v>0</v>
      </c>
      <c r="E77" s="237">
        <f t="shared" si="10"/>
        <v>-35087</v>
      </c>
      <c r="F77" s="238">
        <f t="shared" si="11"/>
        <v>-1</v>
      </c>
    </row>
    <row r="78" spans="1:6" ht="20.25" customHeight="1">
      <c r="A78" s="235">
        <v>5</v>
      </c>
      <c r="B78" s="236" t="s">
        <v>488</v>
      </c>
      <c r="C78" s="239">
        <v>6</v>
      </c>
      <c r="D78" s="239">
        <v>0</v>
      </c>
      <c r="E78" s="239">
        <f t="shared" si="10"/>
        <v>-6</v>
      </c>
      <c r="F78" s="238">
        <f t="shared" si="11"/>
        <v>-1</v>
      </c>
    </row>
    <row r="79" spans="1:6" ht="20.25" customHeight="1">
      <c r="A79" s="235">
        <v>6</v>
      </c>
      <c r="B79" s="236" t="s">
        <v>487</v>
      </c>
      <c r="C79" s="239">
        <v>17</v>
      </c>
      <c r="D79" s="239">
        <v>0</v>
      </c>
      <c r="E79" s="239">
        <f t="shared" si="10"/>
        <v>-17</v>
      </c>
      <c r="F79" s="238">
        <f t="shared" si="11"/>
        <v>-1</v>
      </c>
    </row>
    <row r="80" spans="1:6" ht="20.25" customHeight="1">
      <c r="A80" s="235">
        <v>7</v>
      </c>
      <c r="B80" s="236" t="s">
        <v>553</v>
      </c>
      <c r="C80" s="239">
        <v>11</v>
      </c>
      <c r="D80" s="239">
        <v>0</v>
      </c>
      <c r="E80" s="239">
        <f t="shared" si="10"/>
        <v>-11</v>
      </c>
      <c r="F80" s="238">
        <f t="shared" si="11"/>
        <v>-1</v>
      </c>
    </row>
    <row r="81" spans="1:6" ht="20.25" customHeight="1">
      <c r="A81" s="235">
        <v>8</v>
      </c>
      <c r="B81" s="236" t="s">
        <v>554</v>
      </c>
      <c r="C81" s="239">
        <v>158</v>
      </c>
      <c r="D81" s="239">
        <v>0</v>
      </c>
      <c r="E81" s="239">
        <f t="shared" si="10"/>
        <v>-158</v>
      </c>
      <c r="F81" s="238">
        <f t="shared" si="11"/>
        <v>-1</v>
      </c>
    </row>
    <row r="82" spans="1:6" ht="20.25" customHeight="1">
      <c r="A82" s="235">
        <v>9</v>
      </c>
      <c r="B82" s="236" t="s">
        <v>555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75" customHeight="1">
      <c r="A83" s="245"/>
      <c r="B83" s="242" t="s">
        <v>556</v>
      </c>
      <c r="C83" s="243">
        <f>+C74+C76</f>
        <v>213342</v>
      </c>
      <c r="D83" s="243">
        <f>+D74+D76</f>
        <v>0</v>
      </c>
      <c r="E83" s="243">
        <f t="shared" si="10"/>
        <v>-213342</v>
      </c>
      <c r="F83" s="244">
        <f t="shared" si="11"/>
        <v>-1</v>
      </c>
    </row>
    <row r="84" spans="1:6" s="240" customFormat="1" ht="39.75" customHeight="1">
      <c r="A84" s="245"/>
      <c r="B84" s="242" t="s">
        <v>585</v>
      </c>
      <c r="C84" s="243">
        <f>+C75+C77</f>
        <v>48920</v>
      </c>
      <c r="D84" s="243">
        <f>+D75+D77</f>
        <v>0</v>
      </c>
      <c r="E84" s="243">
        <f t="shared" si="10"/>
        <v>-48920</v>
      </c>
      <c r="F84" s="244">
        <f t="shared" si="11"/>
        <v>-1</v>
      </c>
    </row>
    <row r="85" spans="1:6" ht="42" customHeight="1">
      <c r="A85" s="227" t="s">
        <v>299</v>
      </c>
      <c r="B85" s="261" t="s">
        <v>592</v>
      </c>
      <c r="C85" s="232"/>
      <c r="D85" s="233"/>
      <c r="E85" s="227"/>
      <c r="F85" s="234"/>
    </row>
    <row r="86" spans="1:6" ht="20.25" customHeight="1">
      <c r="A86" s="235">
        <v>1</v>
      </c>
      <c r="B86" s="236" t="s">
        <v>549</v>
      </c>
      <c r="C86" s="237">
        <v>0</v>
      </c>
      <c r="D86" s="237">
        <v>0</v>
      </c>
      <c r="E86" s="237">
        <f aca="true" t="shared" si="12" ref="E86:E96">D86-C86</f>
        <v>0</v>
      </c>
      <c r="F86" s="238">
        <f aca="true" t="shared" si="13" ref="F86:F96">IF(C86=0,0,E86/C86)</f>
        <v>0</v>
      </c>
    </row>
    <row r="87" spans="1:6" ht="20.25" customHeight="1">
      <c r="A87" s="235">
        <v>2</v>
      </c>
      <c r="B87" s="236" t="s">
        <v>550</v>
      </c>
      <c r="C87" s="237">
        <v>0</v>
      </c>
      <c r="D87" s="237">
        <v>0</v>
      </c>
      <c r="E87" s="237">
        <f t="shared" si="12"/>
        <v>0</v>
      </c>
      <c r="F87" s="238">
        <f t="shared" si="13"/>
        <v>0</v>
      </c>
    </row>
    <row r="88" spans="1:6" ht="20.25" customHeight="1">
      <c r="A88" s="235">
        <v>3</v>
      </c>
      <c r="B88" s="236" t="s">
        <v>551</v>
      </c>
      <c r="C88" s="237">
        <v>0</v>
      </c>
      <c r="D88" s="237">
        <v>0</v>
      </c>
      <c r="E88" s="237">
        <f t="shared" si="12"/>
        <v>0</v>
      </c>
      <c r="F88" s="238">
        <f t="shared" si="13"/>
        <v>0</v>
      </c>
    </row>
    <row r="89" spans="1:6" ht="20.25" customHeight="1">
      <c r="A89" s="235">
        <v>4</v>
      </c>
      <c r="B89" s="236" t="s">
        <v>552</v>
      </c>
      <c r="C89" s="237">
        <v>0</v>
      </c>
      <c r="D89" s="237">
        <v>0</v>
      </c>
      <c r="E89" s="237">
        <f t="shared" si="12"/>
        <v>0</v>
      </c>
      <c r="F89" s="238">
        <f t="shared" si="13"/>
        <v>0</v>
      </c>
    </row>
    <row r="90" spans="1:6" ht="20.25" customHeight="1">
      <c r="A90" s="235">
        <v>5</v>
      </c>
      <c r="B90" s="236" t="s">
        <v>488</v>
      </c>
      <c r="C90" s="239">
        <v>0</v>
      </c>
      <c r="D90" s="239">
        <v>0</v>
      </c>
      <c r="E90" s="239">
        <f t="shared" si="12"/>
        <v>0</v>
      </c>
      <c r="F90" s="238">
        <f t="shared" si="13"/>
        <v>0</v>
      </c>
    </row>
    <row r="91" spans="1:6" ht="20.25" customHeight="1">
      <c r="A91" s="235">
        <v>6</v>
      </c>
      <c r="B91" s="236" t="s">
        <v>487</v>
      </c>
      <c r="C91" s="239">
        <v>0</v>
      </c>
      <c r="D91" s="239">
        <v>0</v>
      </c>
      <c r="E91" s="239">
        <f t="shared" si="12"/>
        <v>0</v>
      </c>
      <c r="F91" s="238">
        <f t="shared" si="13"/>
        <v>0</v>
      </c>
    </row>
    <row r="92" spans="1:6" ht="20.25" customHeight="1">
      <c r="A92" s="235">
        <v>7</v>
      </c>
      <c r="B92" s="236" t="s">
        <v>553</v>
      </c>
      <c r="C92" s="239">
        <v>0</v>
      </c>
      <c r="D92" s="239">
        <v>0</v>
      </c>
      <c r="E92" s="239">
        <f t="shared" si="12"/>
        <v>0</v>
      </c>
      <c r="F92" s="238">
        <f t="shared" si="13"/>
        <v>0</v>
      </c>
    </row>
    <row r="93" spans="1:6" ht="20.25" customHeight="1">
      <c r="A93" s="235">
        <v>8</v>
      </c>
      <c r="B93" s="236" t="s">
        <v>554</v>
      </c>
      <c r="C93" s="239">
        <v>0</v>
      </c>
      <c r="D93" s="239">
        <v>0</v>
      </c>
      <c r="E93" s="239">
        <f t="shared" si="12"/>
        <v>0</v>
      </c>
      <c r="F93" s="238">
        <f t="shared" si="13"/>
        <v>0</v>
      </c>
    </row>
    <row r="94" spans="1:6" ht="20.25" customHeight="1">
      <c r="A94" s="235">
        <v>9</v>
      </c>
      <c r="B94" s="236" t="s">
        <v>555</v>
      </c>
      <c r="C94" s="239">
        <v>0</v>
      </c>
      <c r="D94" s="239">
        <v>0</v>
      </c>
      <c r="E94" s="239">
        <f t="shared" si="12"/>
        <v>0</v>
      </c>
      <c r="F94" s="238">
        <f t="shared" si="13"/>
        <v>0</v>
      </c>
    </row>
    <row r="95" spans="1:6" s="240" customFormat="1" ht="39.75" customHeight="1">
      <c r="A95" s="245"/>
      <c r="B95" s="242" t="s">
        <v>556</v>
      </c>
      <c r="C95" s="243">
        <f>+C86+C88</f>
        <v>0</v>
      </c>
      <c r="D95" s="243">
        <f>+D86+D88</f>
        <v>0</v>
      </c>
      <c r="E95" s="243">
        <f t="shared" si="12"/>
        <v>0</v>
      </c>
      <c r="F95" s="244">
        <f t="shared" si="13"/>
        <v>0</v>
      </c>
    </row>
    <row r="96" spans="1:6" s="240" customFormat="1" ht="39.75" customHeight="1">
      <c r="A96" s="245"/>
      <c r="B96" s="242" t="s">
        <v>585</v>
      </c>
      <c r="C96" s="243">
        <f>+C87+C89</f>
        <v>0</v>
      </c>
      <c r="D96" s="243">
        <f>+D87+D89</f>
        <v>0</v>
      </c>
      <c r="E96" s="243">
        <f t="shared" si="12"/>
        <v>0</v>
      </c>
      <c r="F96" s="244">
        <f t="shared" si="13"/>
        <v>0</v>
      </c>
    </row>
    <row r="97" spans="1:6" ht="42" customHeight="1">
      <c r="A97" s="227" t="s">
        <v>302</v>
      </c>
      <c r="B97" s="261" t="s">
        <v>565</v>
      </c>
      <c r="C97" s="232"/>
      <c r="D97" s="233"/>
      <c r="E97" s="227"/>
      <c r="F97" s="234"/>
    </row>
    <row r="98" spans="1:6" ht="20.25" customHeight="1">
      <c r="A98" s="235">
        <v>1</v>
      </c>
      <c r="B98" s="236" t="s">
        <v>549</v>
      </c>
      <c r="C98" s="237">
        <v>0</v>
      </c>
      <c r="D98" s="237">
        <v>1163018</v>
      </c>
      <c r="E98" s="237">
        <f aca="true" t="shared" si="14" ref="E98:E108">D98-C98</f>
        <v>1163018</v>
      </c>
      <c r="F98" s="238">
        <f aca="true" t="shared" si="15" ref="F98:F108">IF(C98=0,0,E98/C98)</f>
        <v>0</v>
      </c>
    </row>
    <row r="99" spans="1:6" ht="20.25" customHeight="1">
      <c r="A99" s="235">
        <v>2</v>
      </c>
      <c r="B99" s="236" t="s">
        <v>550</v>
      </c>
      <c r="C99" s="237">
        <v>0</v>
      </c>
      <c r="D99" s="237">
        <v>152651</v>
      </c>
      <c r="E99" s="237">
        <f t="shared" si="14"/>
        <v>152651</v>
      </c>
      <c r="F99" s="238">
        <f t="shared" si="15"/>
        <v>0</v>
      </c>
    </row>
    <row r="100" spans="1:6" ht="20.25" customHeight="1">
      <c r="A100" s="235">
        <v>3</v>
      </c>
      <c r="B100" s="236" t="s">
        <v>551</v>
      </c>
      <c r="C100" s="237">
        <v>0</v>
      </c>
      <c r="D100" s="237">
        <v>1626524</v>
      </c>
      <c r="E100" s="237">
        <f t="shared" si="14"/>
        <v>1626524</v>
      </c>
      <c r="F100" s="238">
        <f t="shared" si="15"/>
        <v>0</v>
      </c>
    </row>
    <row r="101" spans="1:6" ht="20.25" customHeight="1">
      <c r="A101" s="235">
        <v>4</v>
      </c>
      <c r="B101" s="236" t="s">
        <v>552</v>
      </c>
      <c r="C101" s="237">
        <v>0</v>
      </c>
      <c r="D101" s="237">
        <v>424729</v>
      </c>
      <c r="E101" s="237">
        <f t="shared" si="14"/>
        <v>424729</v>
      </c>
      <c r="F101" s="238">
        <f t="shared" si="15"/>
        <v>0</v>
      </c>
    </row>
    <row r="102" spans="1:6" ht="20.25" customHeight="1">
      <c r="A102" s="235">
        <v>5</v>
      </c>
      <c r="B102" s="236" t="s">
        <v>488</v>
      </c>
      <c r="C102" s="239">
        <v>0</v>
      </c>
      <c r="D102" s="239">
        <v>56</v>
      </c>
      <c r="E102" s="239">
        <f t="shared" si="14"/>
        <v>56</v>
      </c>
      <c r="F102" s="238">
        <f t="shared" si="15"/>
        <v>0</v>
      </c>
    </row>
    <row r="103" spans="1:6" ht="20.25" customHeight="1">
      <c r="A103" s="235">
        <v>6</v>
      </c>
      <c r="B103" s="236" t="s">
        <v>487</v>
      </c>
      <c r="C103" s="239">
        <v>0</v>
      </c>
      <c r="D103" s="239">
        <v>221</v>
      </c>
      <c r="E103" s="239">
        <f t="shared" si="14"/>
        <v>221</v>
      </c>
      <c r="F103" s="238">
        <f t="shared" si="15"/>
        <v>0</v>
      </c>
    </row>
    <row r="104" spans="1:6" ht="20.25" customHeight="1">
      <c r="A104" s="235">
        <v>7</v>
      </c>
      <c r="B104" s="236" t="s">
        <v>553</v>
      </c>
      <c r="C104" s="239">
        <v>0</v>
      </c>
      <c r="D104" s="239">
        <v>241</v>
      </c>
      <c r="E104" s="239">
        <f t="shared" si="14"/>
        <v>241</v>
      </c>
      <c r="F104" s="238">
        <f t="shared" si="15"/>
        <v>0</v>
      </c>
    </row>
    <row r="105" spans="1:6" ht="20.25" customHeight="1">
      <c r="A105" s="235">
        <v>8</v>
      </c>
      <c r="B105" s="236" t="s">
        <v>554</v>
      </c>
      <c r="C105" s="239">
        <v>0</v>
      </c>
      <c r="D105" s="239">
        <v>1242</v>
      </c>
      <c r="E105" s="239">
        <f t="shared" si="14"/>
        <v>1242</v>
      </c>
      <c r="F105" s="238">
        <f t="shared" si="15"/>
        <v>0</v>
      </c>
    </row>
    <row r="106" spans="1:6" ht="20.25" customHeight="1">
      <c r="A106" s="235">
        <v>9</v>
      </c>
      <c r="B106" s="236" t="s">
        <v>555</v>
      </c>
      <c r="C106" s="239">
        <v>0</v>
      </c>
      <c r="D106" s="239">
        <v>0</v>
      </c>
      <c r="E106" s="239">
        <f t="shared" si="14"/>
        <v>0</v>
      </c>
      <c r="F106" s="238">
        <f t="shared" si="15"/>
        <v>0</v>
      </c>
    </row>
    <row r="107" spans="1:6" s="240" customFormat="1" ht="39.75" customHeight="1">
      <c r="A107" s="245"/>
      <c r="B107" s="242" t="s">
        <v>556</v>
      </c>
      <c r="C107" s="243">
        <f>+C98+C100</f>
        <v>0</v>
      </c>
      <c r="D107" s="243">
        <f>+D98+D100</f>
        <v>2789542</v>
      </c>
      <c r="E107" s="243">
        <f t="shared" si="14"/>
        <v>2789542</v>
      </c>
      <c r="F107" s="244">
        <f t="shared" si="15"/>
        <v>0</v>
      </c>
    </row>
    <row r="108" spans="1:6" s="240" customFormat="1" ht="39.75" customHeight="1">
      <c r="A108" s="245"/>
      <c r="B108" s="242" t="s">
        <v>585</v>
      </c>
      <c r="C108" s="243">
        <f>+C99+C101</f>
        <v>0</v>
      </c>
      <c r="D108" s="243">
        <f>+D99+D101</f>
        <v>577380</v>
      </c>
      <c r="E108" s="243">
        <f t="shared" si="14"/>
        <v>577380</v>
      </c>
      <c r="F108" s="244">
        <f t="shared" si="15"/>
        <v>0</v>
      </c>
    </row>
    <row r="109" spans="1:7" s="240" customFormat="1" ht="20.25" customHeight="1">
      <c r="A109" s="688" t="s">
        <v>159</v>
      </c>
      <c r="B109" s="689" t="s">
        <v>593</v>
      </c>
      <c r="C109" s="691"/>
      <c r="D109" s="692"/>
      <c r="E109" s="692"/>
      <c r="F109" s="693"/>
      <c r="G109" s="212"/>
    </row>
    <row r="110" spans="1:6" ht="20.25" customHeight="1">
      <c r="A110" s="680"/>
      <c r="B110" s="690"/>
      <c r="C110" s="686"/>
      <c r="D110" s="660"/>
      <c r="E110" s="660"/>
      <c r="F110" s="661"/>
    </row>
    <row r="111" spans="1:6" ht="20.25" customHeight="1">
      <c r="A111" s="262"/>
      <c r="B111" s="260"/>
      <c r="C111" s="230"/>
      <c r="D111" s="230"/>
      <c r="E111" s="230"/>
      <c r="F111" s="230"/>
    </row>
    <row r="112" spans="1:6" ht="20.25" customHeight="1">
      <c r="A112" s="249"/>
      <c r="B112" s="250" t="s">
        <v>575</v>
      </c>
      <c r="C112" s="243">
        <f aca="true" t="shared" si="16" ref="C112:D120">+C98+C86+C74+C62+C50+C38+C26+C14</f>
        <v>2725035</v>
      </c>
      <c r="D112" s="243">
        <f t="shared" si="16"/>
        <v>3491071</v>
      </c>
      <c r="E112" s="243">
        <f aca="true" t="shared" si="17" ref="E112:E122">D112-C112</f>
        <v>766036</v>
      </c>
      <c r="F112" s="244">
        <f aca="true" t="shared" si="18" ref="F112:F122">IF(C112=0,0,E112/C112)</f>
        <v>0.28111051784655977</v>
      </c>
    </row>
    <row r="113" spans="1:6" ht="20.25" customHeight="1">
      <c r="A113" s="249"/>
      <c r="B113" s="250" t="s">
        <v>576</v>
      </c>
      <c r="C113" s="243">
        <f t="shared" si="16"/>
        <v>816230</v>
      </c>
      <c r="D113" s="243">
        <f t="shared" si="16"/>
        <v>913673</v>
      </c>
      <c r="E113" s="243">
        <f t="shared" si="17"/>
        <v>97443</v>
      </c>
      <c r="F113" s="244">
        <f t="shared" si="18"/>
        <v>0.11938179189689181</v>
      </c>
    </row>
    <row r="114" spans="1:6" ht="20.25" customHeight="1">
      <c r="A114" s="249"/>
      <c r="B114" s="250" t="s">
        <v>577</v>
      </c>
      <c r="C114" s="243">
        <f t="shared" si="16"/>
        <v>4975883</v>
      </c>
      <c r="D114" s="243">
        <f t="shared" si="16"/>
        <v>6092897</v>
      </c>
      <c r="E114" s="243">
        <f t="shared" si="17"/>
        <v>1117014</v>
      </c>
      <c r="F114" s="244">
        <f t="shared" si="18"/>
        <v>0.2244855837647308</v>
      </c>
    </row>
    <row r="115" spans="1:6" ht="20.25" customHeight="1">
      <c r="A115" s="249"/>
      <c r="B115" s="250" t="s">
        <v>578</v>
      </c>
      <c r="C115" s="243">
        <f t="shared" si="16"/>
        <v>1272774</v>
      </c>
      <c r="D115" s="243">
        <f t="shared" si="16"/>
        <v>1607062</v>
      </c>
      <c r="E115" s="243">
        <f t="shared" si="17"/>
        <v>334288</v>
      </c>
      <c r="F115" s="244">
        <f t="shared" si="18"/>
        <v>0.2626452143114174</v>
      </c>
    </row>
    <row r="116" spans="1:6" ht="20.25" customHeight="1">
      <c r="A116" s="249"/>
      <c r="B116" s="250" t="s">
        <v>579</v>
      </c>
      <c r="C116" s="252">
        <f t="shared" si="16"/>
        <v>269</v>
      </c>
      <c r="D116" s="252">
        <f t="shared" si="16"/>
        <v>310</v>
      </c>
      <c r="E116" s="252">
        <f t="shared" si="17"/>
        <v>41</v>
      </c>
      <c r="F116" s="244">
        <f t="shared" si="18"/>
        <v>0.1524163568773234</v>
      </c>
    </row>
    <row r="117" spans="1:6" ht="20.25" customHeight="1">
      <c r="A117" s="249"/>
      <c r="B117" s="250" t="s">
        <v>580</v>
      </c>
      <c r="C117" s="252">
        <f t="shared" si="16"/>
        <v>791</v>
      </c>
      <c r="D117" s="252">
        <f t="shared" si="16"/>
        <v>965</v>
      </c>
      <c r="E117" s="252">
        <f t="shared" si="17"/>
        <v>174</v>
      </c>
      <c r="F117" s="244">
        <f t="shared" si="18"/>
        <v>0.21997471554993678</v>
      </c>
    </row>
    <row r="118" spans="1:6" ht="39.75" customHeight="1">
      <c r="A118" s="249"/>
      <c r="B118" s="250" t="s">
        <v>581</v>
      </c>
      <c r="C118" s="252">
        <f t="shared" si="16"/>
        <v>1658</v>
      </c>
      <c r="D118" s="252">
        <f t="shared" si="16"/>
        <v>1359</v>
      </c>
      <c r="E118" s="252">
        <f t="shared" si="17"/>
        <v>-299</v>
      </c>
      <c r="F118" s="244">
        <f t="shared" si="18"/>
        <v>-0.18033775633293125</v>
      </c>
    </row>
    <row r="119" spans="1:6" ht="39.75" customHeight="1">
      <c r="A119" s="249"/>
      <c r="B119" s="250" t="s">
        <v>582</v>
      </c>
      <c r="C119" s="252">
        <f t="shared" si="16"/>
        <v>3635</v>
      </c>
      <c r="D119" s="252">
        <f t="shared" si="16"/>
        <v>4481</v>
      </c>
      <c r="E119" s="252">
        <f t="shared" si="17"/>
        <v>846</v>
      </c>
      <c r="F119" s="244">
        <f t="shared" si="18"/>
        <v>0.2327372764786795</v>
      </c>
    </row>
    <row r="120" spans="1:6" ht="39.75" customHeight="1">
      <c r="A120" s="249"/>
      <c r="B120" s="250" t="s">
        <v>583</v>
      </c>
      <c r="C120" s="252">
        <f t="shared" si="16"/>
        <v>0</v>
      </c>
      <c r="D120" s="252">
        <f t="shared" si="16"/>
        <v>0</v>
      </c>
      <c r="E120" s="252">
        <f t="shared" si="17"/>
        <v>0</v>
      </c>
      <c r="F120" s="244">
        <f t="shared" si="18"/>
        <v>0</v>
      </c>
    </row>
    <row r="121" spans="1:6" ht="39.75" customHeight="1">
      <c r="A121" s="249"/>
      <c r="B121" s="242" t="s">
        <v>556</v>
      </c>
      <c r="C121" s="243">
        <f>+C112+C114</f>
        <v>7700918</v>
      </c>
      <c r="D121" s="243">
        <f>+D112+D114</f>
        <v>9583968</v>
      </c>
      <c r="E121" s="243">
        <f t="shared" si="17"/>
        <v>1883050</v>
      </c>
      <c r="F121" s="244">
        <f t="shared" si="18"/>
        <v>0.24452279585368913</v>
      </c>
    </row>
    <row r="122" spans="1:6" ht="39.75" customHeight="1">
      <c r="A122" s="249"/>
      <c r="B122" s="242" t="s">
        <v>585</v>
      </c>
      <c r="C122" s="243">
        <f>+C113+C115</f>
        <v>2089004</v>
      </c>
      <c r="D122" s="243">
        <f>+D113+D115</f>
        <v>2520735</v>
      </c>
      <c r="E122" s="243">
        <f t="shared" si="17"/>
        <v>431731</v>
      </c>
      <c r="F122" s="244">
        <f t="shared" si="18"/>
        <v>0.20666834529756764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FILING&amp;RMILFORD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6.7109375" style="1" customWidth="1"/>
    <col min="2" max="2" width="45.710937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594</v>
      </c>
      <c r="C1" s="3"/>
      <c r="D1" s="3"/>
      <c r="E1" s="4"/>
      <c r="F1" s="5"/>
    </row>
    <row r="2" spans="1:6" ht="24" customHeight="1">
      <c r="A2" s="3"/>
      <c r="B2" s="3" t="s">
        <v>116</v>
      </c>
      <c r="C2" s="3"/>
      <c r="D2" s="3"/>
      <c r="E2" s="4"/>
      <c r="F2" s="5"/>
    </row>
    <row r="3" spans="1:6" ht="24" customHeight="1">
      <c r="A3" s="3"/>
      <c r="B3" s="3" t="s">
        <v>117</v>
      </c>
      <c r="C3" s="3"/>
      <c r="D3" s="3"/>
      <c r="E3" s="4"/>
      <c r="F3" s="5"/>
    </row>
    <row r="4" spans="1:6" ht="24" customHeight="1">
      <c r="A4" s="3"/>
      <c r="B4" s="3" t="s">
        <v>595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119</v>
      </c>
      <c r="D7" s="10" t="s">
        <v>120</v>
      </c>
      <c r="E7" s="11" t="s">
        <v>121</v>
      </c>
      <c r="F7" s="11" t="s">
        <v>122</v>
      </c>
      <c r="H7" s="12"/>
    </row>
    <row r="8" spans="1:6" s="6" customFormat="1" ht="15.75" customHeight="1">
      <c r="A8" s="13" t="s">
        <v>123</v>
      </c>
      <c r="B8" s="13" t="s">
        <v>124</v>
      </c>
      <c r="C8" s="14" t="s">
        <v>125</v>
      </c>
      <c r="D8" s="14" t="s">
        <v>125</v>
      </c>
      <c r="E8" s="15" t="s">
        <v>126</v>
      </c>
      <c r="F8" s="15" t="s">
        <v>126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127</v>
      </c>
      <c r="B10" s="16" t="s">
        <v>128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129</v>
      </c>
      <c r="B12" s="16" t="s">
        <v>130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131</v>
      </c>
      <c r="C13" s="23">
        <v>3081116</v>
      </c>
      <c r="D13" s="23">
        <v>2724153</v>
      </c>
      <c r="E13" s="23">
        <f aca="true" t="shared" si="0" ref="E13:E22">D13-C13</f>
        <v>-356963</v>
      </c>
      <c r="F13" s="24">
        <f aca="true" t="shared" si="1" ref="F13:F22">IF(C13=0,0,E13/C13)</f>
        <v>-0.11585509925624352</v>
      </c>
    </row>
    <row r="14" spans="1:6" ht="24" customHeight="1">
      <c r="A14" s="21">
        <v>2</v>
      </c>
      <c r="B14" s="22" t="s">
        <v>132</v>
      </c>
      <c r="C14" s="23">
        <v>220277</v>
      </c>
      <c r="D14" s="23">
        <v>223553</v>
      </c>
      <c r="E14" s="23">
        <f t="shared" si="0"/>
        <v>3276</v>
      </c>
      <c r="F14" s="24">
        <f t="shared" si="1"/>
        <v>0.014872183659664877</v>
      </c>
    </row>
    <row r="15" spans="1:6" ht="34.5" customHeight="1">
      <c r="A15" s="21">
        <v>3</v>
      </c>
      <c r="B15" s="22" t="s">
        <v>133</v>
      </c>
      <c r="C15" s="23">
        <v>13800088</v>
      </c>
      <c r="D15" s="23">
        <v>14042585</v>
      </c>
      <c r="E15" s="23">
        <f t="shared" si="0"/>
        <v>242497</v>
      </c>
      <c r="F15" s="24">
        <f t="shared" si="1"/>
        <v>0.01757213432262171</v>
      </c>
    </row>
    <row r="16" spans="1:6" ht="34.5" customHeight="1">
      <c r="A16" s="21">
        <v>4</v>
      </c>
      <c r="B16" s="22" t="s">
        <v>134</v>
      </c>
      <c r="C16" s="23">
        <v>0</v>
      </c>
      <c r="D16" s="23">
        <v>0</v>
      </c>
      <c r="E16" s="23">
        <f t="shared" si="0"/>
        <v>0</v>
      </c>
      <c r="F16" s="24">
        <f t="shared" si="1"/>
        <v>0</v>
      </c>
    </row>
    <row r="17" spans="1:6" ht="24" customHeight="1">
      <c r="A17" s="21">
        <v>5</v>
      </c>
      <c r="B17" s="22" t="s">
        <v>135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136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6" ht="24" customHeight="1">
      <c r="A19" s="21">
        <v>7</v>
      </c>
      <c r="B19" s="22" t="s">
        <v>137</v>
      </c>
      <c r="C19" s="23">
        <v>856351</v>
      </c>
      <c r="D19" s="23">
        <v>778225</v>
      </c>
      <c r="E19" s="23">
        <f t="shared" si="0"/>
        <v>-78126</v>
      </c>
      <c r="F19" s="24">
        <f t="shared" si="1"/>
        <v>-0.09123128249981607</v>
      </c>
    </row>
    <row r="20" spans="1:6" ht="24" customHeight="1">
      <c r="A20" s="21">
        <v>8</v>
      </c>
      <c r="B20" s="22" t="s">
        <v>138</v>
      </c>
      <c r="C20" s="23">
        <v>806466</v>
      </c>
      <c r="D20" s="23">
        <v>662081</v>
      </c>
      <c r="E20" s="23">
        <f t="shared" si="0"/>
        <v>-144385</v>
      </c>
      <c r="F20" s="24">
        <f t="shared" si="1"/>
        <v>-0.17903420602976444</v>
      </c>
    </row>
    <row r="21" spans="1:6" ht="24" customHeight="1">
      <c r="A21" s="21">
        <v>9</v>
      </c>
      <c r="B21" s="22" t="s">
        <v>139</v>
      </c>
      <c r="C21" s="23">
        <v>709295</v>
      </c>
      <c r="D21" s="23">
        <v>807960</v>
      </c>
      <c r="E21" s="23">
        <f t="shared" si="0"/>
        <v>98665</v>
      </c>
      <c r="F21" s="24">
        <f t="shared" si="1"/>
        <v>0.13910291204646869</v>
      </c>
    </row>
    <row r="22" spans="1:6" ht="24" customHeight="1">
      <c r="A22" s="25"/>
      <c r="B22" s="26" t="s">
        <v>140</v>
      </c>
      <c r="C22" s="27">
        <f>SUM(C13:C21)</f>
        <v>19473593</v>
      </c>
      <c r="D22" s="27">
        <f>SUM(D13:D21)</f>
        <v>19238557</v>
      </c>
      <c r="E22" s="27">
        <f t="shared" si="0"/>
        <v>-235036</v>
      </c>
      <c r="F22" s="28">
        <f t="shared" si="1"/>
        <v>-0.012069472747016948</v>
      </c>
    </row>
    <row r="23" spans="1:6" ht="15" customHeight="1">
      <c r="A23" s="21"/>
      <c r="B23" s="5"/>
      <c r="C23" s="263"/>
      <c r="D23" s="263"/>
      <c r="E23" s="263"/>
      <c r="F23" s="24"/>
    </row>
    <row r="24" spans="1:6" ht="24" customHeight="1">
      <c r="A24" s="29" t="s">
        <v>141</v>
      </c>
      <c r="B24" s="30" t="s">
        <v>142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143</v>
      </c>
      <c r="C25" s="23">
        <v>680398</v>
      </c>
      <c r="D25" s="23">
        <v>682345</v>
      </c>
      <c r="E25" s="23">
        <f>D25-C25</f>
        <v>1947</v>
      </c>
      <c r="F25" s="24">
        <f>IF(C25=0,0,E25/C25)</f>
        <v>0.002861560439625043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144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145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34.5" customHeight="1">
      <c r="A28" s="21">
        <v>4</v>
      </c>
      <c r="B28" s="22" t="s">
        <v>146</v>
      </c>
      <c r="C28" s="23">
        <v>1046097</v>
      </c>
      <c r="D28" s="23">
        <v>1060894</v>
      </c>
      <c r="E28" s="23">
        <f>D28-C28</f>
        <v>14797</v>
      </c>
      <c r="F28" s="24">
        <f>IF(C28=0,0,E28/C28)</f>
        <v>0.014144959788623809</v>
      </c>
    </row>
    <row r="29" spans="1:6" ht="34.5" customHeight="1">
      <c r="A29" s="25"/>
      <c r="B29" s="26" t="s">
        <v>147</v>
      </c>
      <c r="C29" s="27">
        <f>SUM(C25:C28)</f>
        <v>1726495</v>
      </c>
      <c r="D29" s="27">
        <f>SUM(D25:D28)</f>
        <v>1743239</v>
      </c>
      <c r="E29" s="27">
        <f>D29-C29</f>
        <v>16744</v>
      </c>
      <c r="F29" s="28">
        <f>IF(C29=0,0,E29/C29)</f>
        <v>0.009698261506694198</v>
      </c>
    </row>
    <row r="30" spans="1:6" ht="15" customHeight="1">
      <c r="A30" s="21"/>
      <c r="B30" s="5"/>
      <c r="C30" s="263"/>
      <c r="D30" s="263"/>
      <c r="E30" s="263"/>
      <c r="F30" s="24"/>
    </row>
    <row r="31" spans="1:6" ht="15" customHeight="1">
      <c r="A31" s="21">
        <v>5</v>
      </c>
      <c r="B31" s="22" t="s">
        <v>148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149</v>
      </c>
      <c r="C32" s="23">
        <v>32824131</v>
      </c>
      <c r="D32" s="23">
        <v>30095058</v>
      </c>
      <c r="E32" s="23">
        <f>D32-C32</f>
        <v>-2729073</v>
      </c>
      <c r="F32" s="24">
        <f>IF(C32=0,0,E32/C32)</f>
        <v>-0.08314227724718744</v>
      </c>
    </row>
    <row r="33" spans="1:6" ht="24" customHeight="1">
      <c r="A33" s="21">
        <v>7</v>
      </c>
      <c r="B33" s="22" t="s">
        <v>150</v>
      </c>
      <c r="C33" s="23">
        <v>700684</v>
      </c>
      <c r="D33" s="23">
        <v>738469</v>
      </c>
      <c r="E33" s="23">
        <f>D33-C33</f>
        <v>37785</v>
      </c>
      <c r="F33" s="24">
        <f>IF(C33=0,0,E33/C33)</f>
        <v>0.05392587814192989</v>
      </c>
    </row>
    <row r="34" spans="1:6" ht="15" customHeight="1">
      <c r="A34" s="21"/>
      <c r="B34" s="5"/>
      <c r="C34" s="263"/>
      <c r="D34" s="263"/>
      <c r="E34" s="263"/>
      <c r="F34" s="24"/>
    </row>
    <row r="35" spans="1:6" ht="24" customHeight="1">
      <c r="A35" s="29" t="s">
        <v>151</v>
      </c>
      <c r="B35" s="30" t="s">
        <v>152</v>
      </c>
      <c r="C35" s="263"/>
      <c r="D35" s="263"/>
      <c r="E35" s="263"/>
      <c r="F35" s="24"/>
    </row>
    <row r="36" spans="1:6" ht="24" customHeight="1">
      <c r="A36" s="21">
        <v>1</v>
      </c>
      <c r="B36" s="22" t="s">
        <v>153</v>
      </c>
      <c r="C36" s="23">
        <v>80587568</v>
      </c>
      <c r="D36" s="23">
        <v>81442041</v>
      </c>
      <c r="E36" s="23">
        <f>D36-C36</f>
        <v>854473</v>
      </c>
      <c r="F36" s="24">
        <f>IF(C36=0,0,E36/C36)</f>
        <v>0.010603037431282205</v>
      </c>
    </row>
    <row r="37" spans="1:6" ht="24" customHeight="1">
      <c r="A37" s="21">
        <v>2</v>
      </c>
      <c r="B37" s="22" t="s">
        <v>154</v>
      </c>
      <c r="C37" s="23">
        <v>41010781</v>
      </c>
      <c r="D37" s="23">
        <v>43438546</v>
      </c>
      <c r="E37" s="23">
        <f>D37-C37</f>
        <v>2427765</v>
      </c>
      <c r="F37" s="23">
        <f>IF(C37=0,0,E37/C37)</f>
        <v>0.05919821424517616</v>
      </c>
    </row>
    <row r="38" spans="1:6" ht="24" customHeight="1">
      <c r="A38" s="25"/>
      <c r="B38" s="26" t="s">
        <v>155</v>
      </c>
      <c r="C38" s="27">
        <f>C36-C37</f>
        <v>39576787</v>
      </c>
      <c r="D38" s="27">
        <f>D36-D37</f>
        <v>38003495</v>
      </c>
      <c r="E38" s="27">
        <f>D38-C38</f>
        <v>-1573292</v>
      </c>
      <c r="F38" s="28">
        <f>IF(C38=0,0,E38/C38)</f>
        <v>-0.03975289858673975</v>
      </c>
    </row>
    <row r="39" spans="1:6" ht="15" customHeight="1">
      <c r="A39" s="21"/>
      <c r="B39" s="5"/>
      <c r="C39" s="263"/>
      <c r="D39" s="263"/>
      <c r="E39" s="263"/>
      <c r="F39" s="24"/>
    </row>
    <row r="40" spans="1:6" ht="24" customHeight="1">
      <c r="A40" s="21">
        <v>3</v>
      </c>
      <c r="B40" s="22" t="s">
        <v>156</v>
      </c>
      <c r="C40" s="23">
        <v>351500</v>
      </c>
      <c r="D40" s="23">
        <v>984240</v>
      </c>
      <c r="E40" s="23">
        <f>D40-C40</f>
        <v>632740</v>
      </c>
      <c r="F40" s="24">
        <f>IF(C40=0,0,E40/C40)</f>
        <v>1.8001137980085349</v>
      </c>
    </row>
    <row r="41" spans="1:6" ht="24" customHeight="1">
      <c r="A41" s="25"/>
      <c r="B41" s="26" t="s">
        <v>157</v>
      </c>
      <c r="C41" s="27">
        <f>+C38+C40</f>
        <v>39928287</v>
      </c>
      <c r="D41" s="27">
        <f>+D38+D40</f>
        <v>38987735</v>
      </c>
      <c r="E41" s="27">
        <f>D41-C41</f>
        <v>-940552</v>
      </c>
      <c r="F41" s="28">
        <f>IF(C41=0,0,E41/C41)</f>
        <v>-0.02355603184278855</v>
      </c>
    </row>
    <row r="42" spans="1:6" ht="24" customHeight="1">
      <c r="A42" s="21"/>
      <c r="B42" s="22"/>
      <c r="C42" s="263"/>
      <c r="D42" s="263"/>
      <c r="E42" s="263"/>
      <c r="F42" s="24"/>
    </row>
    <row r="43" spans="1:6" ht="24" customHeight="1">
      <c r="A43" s="25"/>
      <c r="B43" s="26" t="s">
        <v>158</v>
      </c>
      <c r="C43" s="27">
        <f>C22+C29+C31+C32+C33+C41</f>
        <v>94653190</v>
      </c>
      <c r="D43" s="27">
        <f>D22+D29+D31+D32+D33+D41</f>
        <v>90803058</v>
      </c>
      <c r="E43" s="27">
        <f>D43-C43</f>
        <v>-3850132</v>
      </c>
      <c r="F43" s="28">
        <f>IF(C43=0,0,E43/C43)</f>
        <v>-0.040676199080031006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159</v>
      </c>
      <c r="B46" s="16" t="s">
        <v>160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129</v>
      </c>
      <c r="B48" s="41" t="s">
        <v>161</v>
      </c>
      <c r="C48" s="263"/>
      <c r="D48" s="263"/>
      <c r="E48" s="263"/>
      <c r="F48" s="24"/>
    </row>
    <row r="49" spans="1:6" ht="24" customHeight="1">
      <c r="A49" s="21">
        <v>1</v>
      </c>
      <c r="B49" s="22" t="s">
        <v>162</v>
      </c>
      <c r="C49" s="23">
        <v>5275082</v>
      </c>
      <c r="D49" s="23">
        <v>4428033</v>
      </c>
      <c r="E49" s="23">
        <f aca="true" t="shared" si="2" ref="E49:E56">D49-C49</f>
        <v>-847049</v>
      </c>
      <c r="F49" s="24">
        <f aca="true" t="shared" si="3" ref="F49:F56">IF(C49=0,0,E49/C49)</f>
        <v>-0.1605755133285132</v>
      </c>
    </row>
    <row r="50" spans="1:6" ht="24" customHeight="1">
      <c r="A50" s="21">
        <f aca="true" t="shared" si="4" ref="A50:A55">1+A49</f>
        <v>2</v>
      </c>
      <c r="B50" s="22" t="s">
        <v>163</v>
      </c>
      <c r="C50" s="23">
        <v>5864949</v>
      </c>
      <c r="D50" s="23">
        <v>6529676</v>
      </c>
      <c r="E50" s="23">
        <f t="shared" si="2"/>
        <v>664727</v>
      </c>
      <c r="F50" s="24">
        <f t="shared" si="3"/>
        <v>0.11333892246974356</v>
      </c>
    </row>
    <row r="51" spans="1:6" ht="24" customHeight="1">
      <c r="A51" s="21">
        <f t="shared" si="4"/>
        <v>3</v>
      </c>
      <c r="B51" s="22" t="s">
        <v>164</v>
      </c>
      <c r="C51" s="23">
        <v>2323938</v>
      </c>
      <c r="D51" s="23">
        <v>2496124</v>
      </c>
      <c r="E51" s="23">
        <f t="shared" si="2"/>
        <v>172186</v>
      </c>
      <c r="F51" s="24">
        <f t="shared" si="3"/>
        <v>0.07409233809163583</v>
      </c>
    </row>
    <row r="52" spans="1:6" ht="24" customHeight="1">
      <c r="A52" s="21">
        <f t="shared" si="4"/>
        <v>4</v>
      </c>
      <c r="B52" s="22" t="s">
        <v>165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166</v>
      </c>
      <c r="C53" s="23">
        <v>0</v>
      </c>
      <c r="D53" s="23">
        <v>0</v>
      </c>
      <c r="E53" s="23">
        <f t="shared" si="2"/>
        <v>0</v>
      </c>
      <c r="F53" s="24">
        <f t="shared" si="3"/>
        <v>0</v>
      </c>
    </row>
    <row r="54" spans="1:6" ht="24" customHeight="1">
      <c r="A54" s="21">
        <f t="shared" si="4"/>
        <v>6</v>
      </c>
      <c r="B54" s="22" t="s">
        <v>167</v>
      </c>
      <c r="C54" s="23">
        <v>861872</v>
      </c>
      <c r="D54" s="23">
        <v>922016</v>
      </c>
      <c r="E54" s="23">
        <f t="shared" si="2"/>
        <v>60144</v>
      </c>
      <c r="F54" s="24">
        <f t="shared" si="3"/>
        <v>0.06978298401618802</v>
      </c>
    </row>
    <row r="55" spans="1:6" ht="24" customHeight="1">
      <c r="A55" s="21">
        <f t="shared" si="4"/>
        <v>7</v>
      </c>
      <c r="B55" s="22" t="s">
        <v>168</v>
      </c>
      <c r="C55" s="23">
        <v>2251243</v>
      </c>
      <c r="D55" s="23">
        <v>3019603</v>
      </c>
      <c r="E55" s="23">
        <f t="shared" si="2"/>
        <v>768360</v>
      </c>
      <c r="F55" s="24">
        <f t="shared" si="3"/>
        <v>0.3413047814029849</v>
      </c>
    </row>
    <row r="56" spans="1:6" ht="24" customHeight="1">
      <c r="A56" s="25"/>
      <c r="B56" s="26" t="s">
        <v>169</v>
      </c>
      <c r="C56" s="27">
        <f>SUM(C49:C55)</f>
        <v>16577084</v>
      </c>
      <c r="D56" s="27">
        <f>SUM(D49:D55)</f>
        <v>17395452</v>
      </c>
      <c r="E56" s="27">
        <f t="shared" si="2"/>
        <v>818368</v>
      </c>
      <c r="F56" s="28">
        <f t="shared" si="3"/>
        <v>0.049367427950537016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141</v>
      </c>
      <c r="B58" s="41" t="s">
        <v>170</v>
      </c>
      <c r="C58" s="263"/>
      <c r="D58" s="263"/>
      <c r="E58" s="263"/>
      <c r="F58" s="24"/>
    </row>
    <row r="59" spans="1:6" ht="24" customHeight="1">
      <c r="A59" s="21">
        <v>1</v>
      </c>
      <c r="B59" s="22" t="s">
        <v>171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>
      <c r="A60" s="21">
        <v>2</v>
      </c>
      <c r="B60" s="22" t="s">
        <v>172</v>
      </c>
      <c r="C60" s="23">
        <v>5910947</v>
      </c>
      <c r="D60" s="23">
        <v>4988931</v>
      </c>
      <c r="E60" s="23">
        <f>D60-C60</f>
        <v>-922016</v>
      </c>
      <c r="F60" s="24">
        <f>IF(C60=0,0,E60/C60)</f>
        <v>-0.15598448099771492</v>
      </c>
    </row>
    <row r="61" spans="1:6" ht="24" customHeight="1">
      <c r="A61" s="25"/>
      <c r="B61" s="26" t="s">
        <v>173</v>
      </c>
      <c r="C61" s="27">
        <f>SUM(C59:C60)</f>
        <v>5910947</v>
      </c>
      <c r="D61" s="27">
        <f>SUM(D59:D60)</f>
        <v>4988931</v>
      </c>
      <c r="E61" s="27">
        <f>D61-C61</f>
        <v>-922016</v>
      </c>
      <c r="F61" s="28">
        <f>IF(C61=0,0,E61/C61)</f>
        <v>-0.15598448099771492</v>
      </c>
    </row>
    <row r="62" spans="1:6" ht="15" customHeight="1">
      <c r="A62" s="21"/>
      <c r="B62" s="5"/>
      <c r="C62" s="263"/>
      <c r="D62" s="263"/>
      <c r="E62" s="263"/>
      <c r="F62" s="24"/>
    </row>
    <row r="63" spans="1:6" ht="24" customHeight="1">
      <c r="A63" s="21">
        <v>3</v>
      </c>
      <c r="B63" s="22" t="s">
        <v>174</v>
      </c>
      <c r="C63" s="23">
        <v>14424664</v>
      </c>
      <c r="D63" s="23">
        <v>20708832</v>
      </c>
      <c r="E63" s="23">
        <f>D63-C63</f>
        <v>6284168</v>
      </c>
      <c r="F63" s="24">
        <f>IF(C63=0,0,E63/C63)</f>
        <v>0.4356543764208303</v>
      </c>
    </row>
    <row r="64" spans="1:6" ht="24" customHeight="1">
      <c r="A64" s="21">
        <v>4</v>
      </c>
      <c r="B64" s="22" t="s">
        <v>175</v>
      </c>
      <c r="C64" s="23">
        <v>1107740</v>
      </c>
      <c r="D64" s="23">
        <v>1150469</v>
      </c>
      <c r="E64" s="23">
        <f>D64-C64</f>
        <v>42729</v>
      </c>
      <c r="F64" s="24">
        <f>IF(C64=0,0,E64/C64)</f>
        <v>0.03857313087908715</v>
      </c>
    </row>
    <row r="65" spans="1:6" ht="24" customHeight="1">
      <c r="A65" s="25"/>
      <c r="B65" s="26" t="s">
        <v>176</v>
      </c>
      <c r="C65" s="27">
        <f>SUM(C61:C64)</f>
        <v>21443351</v>
      </c>
      <c r="D65" s="27">
        <f>SUM(D61:D64)</f>
        <v>26848232</v>
      </c>
      <c r="E65" s="27">
        <f>D65-C65</f>
        <v>5404881</v>
      </c>
      <c r="F65" s="28">
        <f>IF(C65=0,0,E65/C65)</f>
        <v>0.25205393504028356</v>
      </c>
    </row>
    <row r="66" spans="2:6" ht="24" customHeight="1">
      <c r="B66" s="5"/>
      <c r="C66" s="263"/>
      <c r="D66" s="263"/>
      <c r="E66" s="263"/>
      <c r="F66" s="24"/>
    </row>
    <row r="67" spans="1:6" s="43" customFormat="1" ht="15" customHeight="1">
      <c r="A67" s="44">
        <v>5</v>
      </c>
      <c r="B67" s="45" t="s">
        <v>177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63"/>
      <c r="D68" s="263"/>
      <c r="E68" s="263"/>
      <c r="F68" s="24"/>
    </row>
    <row r="69" spans="1:6" ht="15.75" customHeight="1">
      <c r="A69" s="29" t="s">
        <v>151</v>
      </c>
      <c r="B69" s="41" t="s">
        <v>178</v>
      </c>
      <c r="C69" s="263"/>
      <c r="D69" s="263"/>
      <c r="E69" s="263"/>
      <c r="F69" s="24"/>
    </row>
    <row r="70" spans="1:6" ht="24" customHeight="1">
      <c r="A70" s="21">
        <v>1</v>
      </c>
      <c r="B70" s="22" t="s">
        <v>179</v>
      </c>
      <c r="C70" s="23">
        <v>55437122</v>
      </c>
      <c r="D70" s="23">
        <v>45266281</v>
      </c>
      <c r="E70" s="23">
        <f>D70-C70</f>
        <v>-10170841</v>
      </c>
      <c r="F70" s="24">
        <f>IF(C70=0,0,E70/C70)</f>
        <v>-0.18346625209007061</v>
      </c>
    </row>
    <row r="71" spans="1:6" ht="24" customHeight="1">
      <c r="A71" s="21">
        <v>2</v>
      </c>
      <c r="B71" s="22" t="s">
        <v>180</v>
      </c>
      <c r="C71" s="23">
        <v>602391</v>
      </c>
      <c r="D71" s="23">
        <v>689851</v>
      </c>
      <c r="E71" s="23">
        <f>D71-C71</f>
        <v>87460</v>
      </c>
      <c r="F71" s="24">
        <f>IF(C71=0,0,E71/C71)</f>
        <v>0.14518809211957018</v>
      </c>
    </row>
    <row r="72" spans="1:6" ht="24" customHeight="1">
      <c r="A72" s="21">
        <v>3</v>
      </c>
      <c r="B72" s="22" t="s">
        <v>181</v>
      </c>
      <c r="C72" s="23">
        <v>593242</v>
      </c>
      <c r="D72" s="23">
        <v>603242</v>
      </c>
      <c r="E72" s="23">
        <f>D72-C72</f>
        <v>10000</v>
      </c>
      <c r="F72" s="24">
        <f>IF(C72=0,0,E72/C72)</f>
        <v>0.016856527353086934</v>
      </c>
    </row>
    <row r="73" spans="1:6" ht="24" customHeight="1">
      <c r="A73" s="21"/>
      <c r="B73" s="26" t="s">
        <v>182</v>
      </c>
      <c r="C73" s="27">
        <f>SUM(C70:C72)</f>
        <v>56632755</v>
      </c>
      <c r="D73" s="27">
        <f>SUM(D70:D72)</f>
        <v>46559374</v>
      </c>
      <c r="E73" s="27">
        <f>D73-C73</f>
        <v>-10073381</v>
      </c>
      <c r="F73" s="28">
        <f>IF(C73=0,0,E73/C73)</f>
        <v>-0.1778719929835658</v>
      </c>
    </row>
    <row r="74" spans="2:6" ht="24" customHeight="1">
      <c r="B74" s="26"/>
      <c r="C74" s="263"/>
      <c r="D74" s="263"/>
      <c r="E74" s="263"/>
      <c r="F74" s="24"/>
    </row>
    <row r="75" spans="1:6" ht="15.75" customHeight="1">
      <c r="A75" s="21"/>
      <c r="B75" s="26" t="s">
        <v>183</v>
      </c>
      <c r="C75" s="27">
        <f>C56+C65+C67+C73</f>
        <v>94653190</v>
      </c>
      <c r="D75" s="27">
        <f>D56+D65+D67+D73</f>
        <v>90803058</v>
      </c>
      <c r="E75" s="27">
        <f>D75-C75</f>
        <v>-3850132</v>
      </c>
      <c r="F75" s="28">
        <f>IF(C75=0,0,E75/C75)</f>
        <v>-0.040676199080031006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FILING&amp;RMILFORD HEALTH &amp;AMP; MEDICAL, 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C37" sqref="C37"/>
    </sheetView>
  </sheetViews>
  <sheetFormatPr defaultColWidth="9.140625" defaultRowHeight="22.5" customHeight="1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5" t="s">
        <v>594</v>
      </c>
      <c r="B1" s="696"/>
      <c r="C1" s="696"/>
      <c r="D1" s="696"/>
      <c r="E1" s="696"/>
      <c r="F1" s="697"/>
    </row>
    <row r="2" spans="1:6" ht="22.5" customHeight="1">
      <c r="A2" s="695" t="s">
        <v>116</v>
      </c>
      <c r="B2" s="696"/>
      <c r="C2" s="696"/>
      <c r="D2" s="696"/>
      <c r="E2" s="696"/>
      <c r="F2" s="697"/>
    </row>
    <row r="3" spans="1:6" ht="22.5" customHeight="1">
      <c r="A3" s="695" t="s">
        <v>117</v>
      </c>
      <c r="B3" s="696"/>
      <c r="C3" s="696"/>
      <c r="D3" s="696"/>
      <c r="E3" s="696"/>
      <c r="F3" s="697"/>
    </row>
    <row r="4" spans="1:6" ht="22.5" customHeight="1">
      <c r="A4" s="695" t="s">
        <v>596</v>
      </c>
      <c r="B4" s="696"/>
      <c r="C4" s="696"/>
      <c r="D4" s="696"/>
      <c r="E4" s="696"/>
      <c r="F4" s="697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119</v>
      </c>
      <c r="D6" s="10" t="s">
        <v>120</v>
      </c>
      <c r="E6" s="59" t="s">
        <v>121</v>
      </c>
      <c r="F6" s="59" t="s">
        <v>122</v>
      </c>
    </row>
    <row r="7" spans="1:8" ht="15.75" customHeight="1">
      <c r="A7" s="61" t="s">
        <v>123</v>
      </c>
      <c r="B7" s="62" t="s">
        <v>124</v>
      </c>
      <c r="C7" s="14" t="s">
        <v>125</v>
      </c>
      <c r="D7" s="14" t="s">
        <v>125</v>
      </c>
      <c r="E7" s="63" t="s">
        <v>126</v>
      </c>
      <c r="F7" s="63" t="s">
        <v>126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129</v>
      </c>
      <c r="B11" s="30" t="s">
        <v>185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186</v>
      </c>
      <c r="C12" s="51">
        <v>229584620</v>
      </c>
      <c r="D12" s="51">
        <v>226745692</v>
      </c>
      <c r="E12" s="51">
        <f aca="true" t="shared" si="0" ref="E12:E19">D12-C12</f>
        <v>-2838928</v>
      </c>
      <c r="F12" s="70">
        <f aca="true" t="shared" si="1" ref="F12:F19">IF(C12=0,0,E12/C12)</f>
        <v>-0.012365497305525082</v>
      </c>
    </row>
    <row r="13" spans="1:6" ht="22.5" customHeight="1">
      <c r="A13" s="25">
        <v>2</v>
      </c>
      <c r="B13" s="48" t="s">
        <v>187</v>
      </c>
      <c r="C13" s="51">
        <v>141216797</v>
      </c>
      <c r="D13" s="51">
        <v>138856924</v>
      </c>
      <c r="E13" s="51">
        <f t="shared" si="0"/>
        <v>-2359873</v>
      </c>
      <c r="F13" s="70">
        <f t="shared" si="1"/>
        <v>-0.0167109936645851</v>
      </c>
    </row>
    <row r="14" spans="1:6" ht="22.5" customHeight="1">
      <c r="A14" s="25">
        <v>3</v>
      </c>
      <c r="B14" s="48" t="s">
        <v>188</v>
      </c>
      <c r="C14" s="51">
        <v>165221</v>
      </c>
      <c r="D14" s="51">
        <v>122057</v>
      </c>
      <c r="E14" s="51">
        <f t="shared" si="0"/>
        <v>-43164</v>
      </c>
      <c r="F14" s="70">
        <f t="shared" si="1"/>
        <v>-0.2612500832218665</v>
      </c>
    </row>
    <row r="15" spans="1:7" ht="22.5" customHeight="1">
      <c r="A15" s="25">
        <v>4</v>
      </c>
      <c r="B15" s="48" t="s">
        <v>189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190</v>
      </c>
      <c r="C16" s="27">
        <f>C12-C13-C14-C15</f>
        <v>88202602</v>
      </c>
      <c r="D16" s="27">
        <f>D12-D13-D14-D15</f>
        <v>87766711</v>
      </c>
      <c r="E16" s="27">
        <f t="shared" si="0"/>
        <v>-435891</v>
      </c>
      <c r="F16" s="28">
        <f t="shared" si="1"/>
        <v>-0.004941929037422275</v>
      </c>
    </row>
    <row r="17" spans="1:7" ht="22.5" customHeight="1">
      <c r="A17" s="25">
        <v>5</v>
      </c>
      <c r="B17" s="48" t="s">
        <v>191</v>
      </c>
      <c r="C17" s="51">
        <v>1359817</v>
      </c>
      <c r="D17" s="51">
        <v>1545977</v>
      </c>
      <c r="E17" s="51">
        <f t="shared" si="0"/>
        <v>186160</v>
      </c>
      <c r="F17" s="70">
        <f t="shared" si="1"/>
        <v>0.13690077414828614</v>
      </c>
      <c r="G17" s="64"/>
    </row>
    <row r="18" spans="1:7" ht="33" customHeight="1">
      <c r="A18" s="25">
        <v>6</v>
      </c>
      <c r="B18" s="45" t="s">
        <v>192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6" ht="22.5" customHeight="1">
      <c r="A19" s="29"/>
      <c r="B19" s="71" t="s">
        <v>193</v>
      </c>
      <c r="C19" s="27">
        <f>SUM(C16:C18)</f>
        <v>89562419</v>
      </c>
      <c r="D19" s="27">
        <f>SUM(D16:D18)</f>
        <v>89312688</v>
      </c>
      <c r="E19" s="27">
        <f t="shared" si="0"/>
        <v>-249731</v>
      </c>
      <c r="F19" s="28">
        <f t="shared" si="1"/>
        <v>-0.002788345857429331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141</v>
      </c>
      <c r="B21" s="30" t="s">
        <v>194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195</v>
      </c>
      <c r="C22" s="51">
        <v>39922364</v>
      </c>
      <c r="D22" s="51">
        <v>41201570</v>
      </c>
      <c r="E22" s="51">
        <f aca="true" t="shared" si="2" ref="E22:E31">D22-C22</f>
        <v>1279206</v>
      </c>
      <c r="F22" s="70">
        <f aca="true" t="shared" si="3" ref="F22:F31">IF(C22=0,0,E22/C22)</f>
        <v>0.03204234097960732</v>
      </c>
    </row>
    <row r="23" spans="1:6" ht="22.5" customHeight="1">
      <c r="A23" s="25">
        <v>2</v>
      </c>
      <c r="B23" s="48" t="s">
        <v>196</v>
      </c>
      <c r="C23" s="51">
        <v>13185837</v>
      </c>
      <c r="D23" s="51">
        <v>14820373</v>
      </c>
      <c r="E23" s="51">
        <f t="shared" si="2"/>
        <v>1634536</v>
      </c>
      <c r="F23" s="70">
        <f t="shared" si="3"/>
        <v>0.12396148989252635</v>
      </c>
    </row>
    <row r="24" spans="1:7" ht="22.5" customHeight="1">
      <c r="A24" s="25">
        <v>3</v>
      </c>
      <c r="B24" s="48" t="s">
        <v>197</v>
      </c>
      <c r="C24" s="51">
        <v>647422</v>
      </c>
      <c r="D24" s="51">
        <v>621077</v>
      </c>
      <c r="E24" s="51">
        <f t="shared" si="2"/>
        <v>-26345</v>
      </c>
      <c r="F24" s="70">
        <f t="shared" si="3"/>
        <v>-0.0406921606000414</v>
      </c>
      <c r="G24" s="64"/>
    </row>
    <row r="25" spans="1:6" ht="22.5" customHeight="1">
      <c r="A25" s="25">
        <v>4</v>
      </c>
      <c r="B25" s="48" t="s">
        <v>198</v>
      </c>
      <c r="C25" s="51">
        <v>13489960</v>
      </c>
      <c r="D25" s="51">
        <v>12542961</v>
      </c>
      <c r="E25" s="51">
        <f t="shared" si="2"/>
        <v>-946999</v>
      </c>
      <c r="F25" s="70">
        <f t="shared" si="3"/>
        <v>-0.07020028228400974</v>
      </c>
    </row>
    <row r="26" spans="1:6" ht="22.5" customHeight="1">
      <c r="A26" s="25">
        <v>5</v>
      </c>
      <c r="B26" s="48" t="s">
        <v>199</v>
      </c>
      <c r="C26" s="51">
        <v>4157755</v>
      </c>
      <c r="D26" s="51">
        <v>4163603</v>
      </c>
      <c r="E26" s="51">
        <f t="shared" si="2"/>
        <v>5848</v>
      </c>
      <c r="F26" s="70">
        <f t="shared" si="3"/>
        <v>0.0014065282826910195</v>
      </c>
    </row>
    <row r="27" spans="1:6" ht="22.5" customHeight="1">
      <c r="A27" s="25">
        <v>6</v>
      </c>
      <c r="B27" s="48" t="s">
        <v>200</v>
      </c>
      <c r="C27" s="51">
        <v>6088450</v>
      </c>
      <c r="D27" s="51">
        <v>8267261</v>
      </c>
      <c r="E27" s="51">
        <f t="shared" si="2"/>
        <v>2178811</v>
      </c>
      <c r="F27" s="70">
        <f t="shared" si="3"/>
        <v>0.3578597179906216</v>
      </c>
    </row>
    <row r="28" spans="1:6" ht="22.5" customHeight="1">
      <c r="A28" s="25">
        <v>7</v>
      </c>
      <c r="B28" s="48" t="s">
        <v>201</v>
      </c>
      <c r="C28" s="51">
        <v>479857</v>
      </c>
      <c r="D28" s="51">
        <v>418291</v>
      </c>
      <c r="E28" s="51">
        <f t="shared" si="2"/>
        <v>-61566</v>
      </c>
      <c r="F28" s="70">
        <f t="shared" si="3"/>
        <v>-0.12830072292370434</v>
      </c>
    </row>
    <row r="29" spans="1:6" ht="22.5" customHeight="1">
      <c r="A29" s="25">
        <v>8</v>
      </c>
      <c r="B29" s="48" t="s">
        <v>202</v>
      </c>
      <c r="C29" s="51">
        <v>1223627</v>
      </c>
      <c r="D29" s="51">
        <v>1524271</v>
      </c>
      <c r="E29" s="51">
        <f t="shared" si="2"/>
        <v>300644</v>
      </c>
      <c r="F29" s="70">
        <f t="shared" si="3"/>
        <v>0.24569905698386846</v>
      </c>
    </row>
    <row r="30" spans="1:6" ht="22.5" customHeight="1">
      <c r="A30" s="25">
        <v>9</v>
      </c>
      <c r="B30" s="48" t="s">
        <v>203</v>
      </c>
      <c r="C30" s="51">
        <v>13715025</v>
      </c>
      <c r="D30" s="51">
        <v>12655620</v>
      </c>
      <c r="E30" s="51">
        <f t="shared" si="2"/>
        <v>-1059405</v>
      </c>
      <c r="F30" s="70">
        <f t="shared" si="3"/>
        <v>-0.0772441173093013</v>
      </c>
    </row>
    <row r="31" spans="1:6" ht="22.5" customHeight="1">
      <c r="A31" s="29"/>
      <c r="B31" s="71" t="s">
        <v>204</v>
      </c>
      <c r="C31" s="27">
        <f>SUM(C22:C30)</f>
        <v>92910297</v>
      </c>
      <c r="D31" s="27">
        <f>SUM(D22:D30)</f>
        <v>96215027</v>
      </c>
      <c r="E31" s="27">
        <f t="shared" si="2"/>
        <v>3304730</v>
      </c>
      <c r="F31" s="28">
        <f t="shared" si="3"/>
        <v>0.035569039242227374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205</v>
      </c>
      <c r="C33" s="27">
        <f>+C19-C31</f>
        <v>-3347878</v>
      </c>
      <c r="D33" s="27">
        <f>+D19-D31</f>
        <v>-6902339</v>
      </c>
      <c r="E33" s="27">
        <f>D33-C33</f>
        <v>-3554461</v>
      </c>
      <c r="F33" s="28">
        <f>IF(C33=0,0,E33/C33)</f>
        <v>1.0617056535512943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151</v>
      </c>
      <c r="B35" s="30" t="s">
        <v>206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207</v>
      </c>
      <c r="C36" s="51">
        <v>-3324313</v>
      </c>
      <c r="D36" s="51">
        <v>-1692932</v>
      </c>
      <c r="E36" s="51">
        <f>D36-C36</f>
        <v>1631381</v>
      </c>
      <c r="F36" s="70">
        <f>IF(C36=0,0,E36/C36)</f>
        <v>-0.49074229773189226</v>
      </c>
    </row>
    <row r="37" spans="1:6" ht="22.5" customHeight="1">
      <c r="A37" s="44">
        <v>2</v>
      </c>
      <c r="B37" s="48" t="s">
        <v>208</v>
      </c>
      <c r="C37" s="51">
        <v>403411</v>
      </c>
      <c r="D37" s="51">
        <v>355631</v>
      </c>
      <c r="E37" s="51">
        <f>D37-C37</f>
        <v>-47780</v>
      </c>
      <c r="F37" s="70">
        <f>IF(C37=0,0,E37/C37)</f>
        <v>-0.11844000287547934</v>
      </c>
    </row>
    <row r="38" spans="1:6" ht="22.5" customHeight="1">
      <c r="A38" s="44">
        <v>3</v>
      </c>
      <c r="B38" s="48" t="s">
        <v>209</v>
      </c>
      <c r="C38" s="51">
        <v>0</v>
      </c>
      <c r="D38" s="51">
        <v>0</v>
      </c>
      <c r="E38" s="51">
        <f>D38-C38</f>
        <v>0</v>
      </c>
      <c r="F38" s="70">
        <f>IF(C38=0,0,E38/C38)</f>
        <v>0</v>
      </c>
    </row>
    <row r="39" spans="1:6" ht="22.5" customHeight="1">
      <c r="A39" s="20"/>
      <c r="B39" s="71" t="s">
        <v>210</v>
      </c>
      <c r="C39" s="27">
        <f>SUM(C36:C38)</f>
        <v>-2920902</v>
      </c>
      <c r="D39" s="27">
        <f>SUM(D36:D38)</f>
        <v>-1337301</v>
      </c>
      <c r="E39" s="27">
        <f>D39-C39</f>
        <v>1583601</v>
      </c>
      <c r="F39" s="28">
        <f>IF(C39=0,0,E39/C39)</f>
        <v>-0.5421616336323506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211</v>
      </c>
      <c r="C41" s="27">
        <f>C33+C39</f>
        <v>-6268780</v>
      </c>
      <c r="D41" s="27">
        <f>D33+D39</f>
        <v>-8239640</v>
      </c>
      <c r="E41" s="27">
        <f>D41-C41</f>
        <v>-1970860</v>
      </c>
      <c r="F41" s="28">
        <f>IF(C41=0,0,E41/C41)</f>
        <v>0.3143929121774891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212</v>
      </c>
      <c r="C43" s="27"/>
      <c r="D43" s="27"/>
      <c r="E43" s="27"/>
      <c r="F43" s="28"/>
    </row>
    <row r="44" spans="1:6" ht="22.5" customHeight="1">
      <c r="A44" s="44"/>
      <c r="B44" s="48" t="s">
        <v>213</v>
      </c>
      <c r="C44" s="51">
        <v>0</v>
      </c>
      <c r="D44" s="51">
        <v>3551963</v>
      </c>
      <c r="E44" s="51">
        <f>D44-C44</f>
        <v>3551963</v>
      </c>
      <c r="F44" s="70">
        <f>IF(C44=0,0,E44/C44)</f>
        <v>0</v>
      </c>
    </row>
    <row r="45" spans="1:6" ht="22.5" customHeight="1">
      <c r="A45" s="44"/>
      <c r="B45" s="48" t="s">
        <v>214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215</v>
      </c>
      <c r="C46" s="27">
        <f>SUM(C44:C45)</f>
        <v>0</v>
      </c>
      <c r="D46" s="27">
        <f>SUM(D44:D45)</f>
        <v>3551963</v>
      </c>
      <c r="E46" s="27">
        <f>D46-C46</f>
        <v>3551963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216</v>
      </c>
      <c r="C48" s="27">
        <f>C41+C46</f>
        <v>-6268780</v>
      </c>
      <c r="D48" s="27">
        <f>D41+D46</f>
        <v>-4687677</v>
      </c>
      <c r="E48" s="27">
        <f>D48-C48</f>
        <v>1581103</v>
      </c>
      <c r="F48" s="28">
        <f>IF(C48=0,0,E48/C48)</f>
        <v>-0.25221861351012476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4" r:id="rId1"/>
  <headerFooter alignWithMargins="0">
    <oddHeader>&amp;L&amp;8OFFICE OF HEALTH CARE ACCESS&amp;C&amp;8TWELVE MONTHS ACTUAL FILING&amp;R&amp;8MILFORD HEALTH &amp;AMP; MEDICAL, 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ciesones</cp:lastModifiedBy>
  <cp:lastPrinted>2010-08-17T20:51:59Z</cp:lastPrinted>
  <dcterms:created xsi:type="dcterms:W3CDTF">2006-08-03T13:49:12Z</dcterms:created>
  <dcterms:modified xsi:type="dcterms:W3CDTF">2010-08-17T20:52:03Z</dcterms:modified>
  <cp:category/>
  <cp:version/>
  <cp:contentType/>
  <cp:contentStatus/>
</cp:coreProperties>
</file>