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680" tabRatio="942" activeTab="0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'Report_500'!$A$10:$F$354</definedName>
    <definedName name="ALL" localSheetId="15">'Report_600'!$B$9:$C$121</definedName>
    <definedName name="DSS_ANALYSIS_1ST_9_MOS_FY1999_Crosstab" localSheetId="13">'Report_500'!$A$5:$F$14</definedName>
    <definedName name="DSS_ANALYSIS_1ST_9_MOS_FY1999_Crosstab" localSheetId="15">'Report_600'!$B$2:$C$12</definedName>
    <definedName name="FILTER" localSheetId="13">'Report_500'!#REF!</definedName>
    <definedName name="LN_1A4" localSheetId="13">'Report_500'!$E$14</definedName>
    <definedName name="LN_1D2">'Report_500'!$D$119</definedName>
    <definedName name="LN_IA1">'Report_500'!$D$15</definedName>
    <definedName name="LN_IA11">'Report_500'!$D$27</definedName>
    <definedName name="LN_IA12">'Report_500'!$D$28</definedName>
    <definedName name="LN_IA14">'Report_500'!$D$30</definedName>
    <definedName name="LN_IA15">'Report_500'!$D$31</definedName>
    <definedName name="LN_IA16">'Report_500'!$D$32</definedName>
    <definedName name="LN_IA17">'Report_500'!$D$35</definedName>
    <definedName name="LN_IA18">'Report_500'!$D$36</definedName>
    <definedName name="LN_IA2">'Report_500'!$D$16</definedName>
    <definedName name="LN_IA4">'Report_500'!$D$18</definedName>
    <definedName name="LN_IA5">'Report_500'!$D$19</definedName>
    <definedName name="LN_IA6">'Report_500'!$D$20</definedName>
    <definedName name="LN_IA7">'Report_500'!$D$21</definedName>
    <definedName name="LN_IA8">'Report_500'!$D$22</definedName>
    <definedName name="LN_IB1">'Report_500'!$D$42</definedName>
    <definedName name="LN_IB10">'Report_500'!$D$51</definedName>
    <definedName name="LN_IB13">'Report_500'!$D$56</definedName>
    <definedName name="LN_IB14">'Report_500'!$D$57</definedName>
    <definedName name="LN_IB16">'Report_500'!$D$59</definedName>
    <definedName name="LN_IB17">'Report_500'!$D$60</definedName>
    <definedName name="LN_IB18">'Report_500'!$D$61</definedName>
    <definedName name="LN_IB19">'Report_500'!$D$62</definedName>
    <definedName name="LN_IB2">'Report_500'!$D$43</definedName>
    <definedName name="LN_IB20">'Report_500'!$D$63</definedName>
    <definedName name="LN_IB21">'Report_500'!$D$66</definedName>
    <definedName name="LN_IB22">'Report_500'!$D$67</definedName>
    <definedName name="LN_IB32">'Report_500'!$D$73</definedName>
    <definedName name="LN_IB33">'Report_500'!$D$74</definedName>
    <definedName name="LN_IB34">'Report_500'!$D$76</definedName>
    <definedName name="LN_IB4">'Report_500'!$D$45</definedName>
    <definedName name="LN_IB5">'Report_500'!$D$46</definedName>
    <definedName name="LN_IB6">'Report_500'!$D$47</definedName>
    <definedName name="LN_IB7">'Report_500'!$D$48</definedName>
    <definedName name="LN_IB8">'Report_500'!$D$49</definedName>
    <definedName name="LN_IB9">'Report_500'!$D$50</definedName>
    <definedName name="LN_IC1">'Report_500'!$D$83</definedName>
    <definedName name="LN_IC10">'Report_500'!$D$92</definedName>
    <definedName name="LN_IC11">'Report_500'!$D$93</definedName>
    <definedName name="LN_IC14">'Report_500'!$D$98</definedName>
    <definedName name="LN_IC15">'Report_500'!$D$99</definedName>
    <definedName name="LN_IC17">'Report_500'!$D$101</definedName>
    <definedName name="LN_IC18">'Report_500'!$D$102</definedName>
    <definedName name="LN_IC19">'Report_500'!$D$103</definedName>
    <definedName name="LN_IC2">'Report_500'!$D$84</definedName>
    <definedName name="LN_IC21">'Report_500'!$D$105</definedName>
    <definedName name="LN_IC22">'Report_500'!$D$106</definedName>
    <definedName name="LN_IC23">'Report_500'!$D$109</definedName>
    <definedName name="LN_IC24">'Report_500'!$D$110</definedName>
    <definedName name="LN_IC4">'Report_500'!$D$86</definedName>
    <definedName name="LN_IC5">'Report_500'!$D$87</definedName>
    <definedName name="LN_IC6">'Report_500'!$D$88</definedName>
    <definedName name="LN_IC7">'Report_500'!$D$89</definedName>
    <definedName name="LN_IC9">'Report_500'!$D$91</definedName>
    <definedName name="LN_ID1">'Report_500'!$D$118</definedName>
    <definedName name="LN_ID10">'Report_500'!$D$127</definedName>
    <definedName name="LN_ID11">'Report_500'!$D$128</definedName>
    <definedName name="LN_ID14">'Report_500'!$D$133</definedName>
    <definedName name="LN_ID15">'Report_500'!$D$134</definedName>
    <definedName name="LN_ID17">'Report_500'!$D$136</definedName>
    <definedName name="LN_ID18">'Report_500'!$D$137</definedName>
    <definedName name="LN_ID19">'Report_500'!$D$138</definedName>
    <definedName name="LN_ID21">'Report_500'!$D$140</definedName>
    <definedName name="LN_ID22">'Report_500'!$D$141</definedName>
    <definedName name="LN_ID23">'Report_500'!$D$144</definedName>
    <definedName name="LN_ID24">'Report_500'!$D$145</definedName>
    <definedName name="LN_ID4">'Report_500'!$D$121</definedName>
    <definedName name="LN_ID5">'Report_500'!$D$122</definedName>
    <definedName name="LN_ID6">'Report_500'!$D$123</definedName>
    <definedName name="LN_ID7">'Report_500'!$D$124</definedName>
    <definedName name="LN_ID9">'Report_500'!$D$126</definedName>
    <definedName name="LN_IE1">'Report_500'!$D$153</definedName>
    <definedName name="LN_IE10">'Report_500'!$D$162</definedName>
    <definedName name="LN_IE11">'Report_500'!$D$163</definedName>
    <definedName name="LN_IE14">'Report_500'!$D$168</definedName>
    <definedName name="LN_IE15">'Report_500'!$D$169</definedName>
    <definedName name="LN_IE17">'Report_500'!$D$171</definedName>
    <definedName name="LN_IE18">'Report_500'!$D$172</definedName>
    <definedName name="LN_IE19">'Report_500'!$D$173</definedName>
    <definedName name="LN_IE2">'Report_500'!$D$154</definedName>
    <definedName name="LN_IE21">'Report_500'!$D$175</definedName>
    <definedName name="LN_IE22">'Report_500'!$D$176</definedName>
    <definedName name="LN_IE23">'Report_500'!$D$179</definedName>
    <definedName name="LN_IE24">'Report_500'!$D$180</definedName>
    <definedName name="LN_IE4">'Report_500'!$D$156</definedName>
    <definedName name="LN_IE5">'Report_500'!$D$157</definedName>
    <definedName name="LN_IE6">'Report_500'!$D$158</definedName>
    <definedName name="LN_IE7">'Report_500'!$D$159</definedName>
    <definedName name="LN_IE9">'Report_500'!$D$161</definedName>
    <definedName name="LN_IF1">'Report_500'!$D$188</definedName>
    <definedName name="LN_IF11">'Report_500'!$D$198</definedName>
    <definedName name="LN_IF14">'Report_500'!$D$203</definedName>
    <definedName name="LN_IF15">'Report_500'!$D$204</definedName>
    <definedName name="LN_IF18">'Report_500'!$D$207</definedName>
    <definedName name="LN_IF19">'Report_500'!$D$208</definedName>
    <definedName name="LN_IF2">'Report_500'!$D$189</definedName>
    <definedName name="LN_IF21">'Report_500'!$D$210</definedName>
    <definedName name="LN_IF23">'Report_500'!$D$214</definedName>
    <definedName name="LN_IF24">'Report_500'!$D$215</definedName>
    <definedName name="LN_IF4">'Report_500'!$D$191</definedName>
    <definedName name="LN_IF5">'Report_500'!$D$192</definedName>
    <definedName name="LN_IF6">'Report_500'!$D$193</definedName>
    <definedName name="LN_IF7">'Report_500'!$D$194</definedName>
    <definedName name="LN_IF9">'Report_500'!$D$196</definedName>
    <definedName name="LN_IG1">'Report_500'!$D$221</definedName>
    <definedName name="LN_IG10">'Report_500'!$D$234</definedName>
    <definedName name="LN_IG13">'Report_500'!$D$237</definedName>
    <definedName name="LN_IG14">'Report_500'!$D$238</definedName>
    <definedName name="LN_IG2">'Report_500'!$D$222</definedName>
    <definedName name="LN_IG3">'Report_500'!$D$224</definedName>
    <definedName name="LN_IG4">'Report_500'!$D$225</definedName>
    <definedName name="LN_IG5">'Report_500'!$D$226</definedName>
    <definedName name="LN_IG6">'Report_500'!$D$228</definedName>
    <definedName name="LN_IG9">'Report_500'!$D$233</definedName>
    <definedName name="LN_IH10">'Report_500'!$D$256</definedName>
    <definedName name="LN_IH3">'Report_500'!$D$245</definedName>
    <definedName name="LN_IH4">'Report_500'!$D$248</definedName>
    <definedName name="LN_IH5">'Report_500'!$D$249</definedName>
    <definedName name="LN_IH6">'Report_500'!$D$250</definedName>
    <definedName name="LN_IH8">'Report_500'!$D$254</definedName>
    <definedName name="LN_IH9">'Report_500'!$D$255</definedName>
    <definedName name="LN_IIA1">'Report_500'!$D$261</definedName>
    <definedName name="LN_IIA11">'Report_500'!$D$271</definedName>
    <definedName name="LN_IIA12">'Report_500'!$D$272</definedName>
    <definedName name="LN_IIA14">'Report_500'!$D$274</definedName>
    <definedName name="LN_IIA2">'Report_500'!$D$262</definedName>
    <definedName name="LN_IIA4">'Report_500'!$D$264</definedName>
    <definedName name="LN_IIA6">'Report_500'!$D$266</definedName>
    <definedName name="LN_IIA7">'Report_500'!$D$267</definedName>
    <definedName name="LN_IIA9">'Report_500'!$D$269</definedName>
    <definedName name="LN_IIB11">'Report_500'!$D$287</definedName>
    <definedName name="LN_IIB12">'Report_500'!$D$288</definedName>
    <definedName name="LN_IIB14">'Report_500'!$D$291</definedName>
    <definedName name="LN_IIB2">'Report_500'!$D$278</definedName>
    <definedName name="LN_IIB4">'Report_500'!$D$280</definedName>
    <definedName name="LN_IIB6">'Report_500'!$D$282</definedName>
    <definedName name="LN_IIB7">'Report_500'!$D$283</definedName>
    <definedName name="LN_IIB9">'Report_500'!$D$285</definedName>
    <definedName name="LN_III1">'Report_500'!$D$304</definedName>
    <definedName name="LN_III10">'Report_500'!$D$313</definedName>
    <definedName name="LN_III11">'Report_500'!$D$314</definedName>
    <definedName name="LN_III12">'Report_500'!$D$315</definedName>
    <definedName name="LN_III2">'Report_500'!$D$305</definedName>
    <definedName name="LN_III3">'Report_500'!$D$307</definedName>
    <definedName name="LN_III4">'Report_500'!$D$308</definedName>
    <definedName name="LN_III5">'Report_500'!$D$306</definedName>
    <definedName name="LN_III6">'Report_500'!$D$309</definedName>
    <definedName name="LN_III7">'Report_500'!$D$310</definedName>
    <definedName name="LN_III8">'Report_500'!$D$311</definedName>
    <definedName name="LN_III9">'Report_500'!$D$312</definedName>
    <definedName name="LN_IV1">'Report_500'!$D$324</definedName>
    <definedName name="LN_IV2">'Report_500'!$D$322</definedName>
    <definedName name="LN_IV3">'Report_500'!$D$323</definedName>
    <definedName name="LN_IV4">'Report_500'!$D$325</definedName>
    <definedName name="_xlnm.Print_Area" localSheetId="0">'Report_100'!$A$10:$F$80</definedName>
    <definedName name="_xlnm.Print_Area" localSheetId="1">'Report_150'!$A$10:$F$49</definedName>
    <definedName name="_xlnm.Print_Area" localSheetId="2">'Report_165'!$A$10:$F$179</definedName>
    <definedName name="_xlnm.Print_Area" localSheetId="3">'Report_175'!$A$12:$F$180</definedName>
    <definedName name="_xlnm.Print_Area" localSheetId="4">'Report_185'!$A$10:$E$191</definedName>
    <definedName name="_xlnm.Print_Area" localSheetId="5">'Report_200'!$A$10:$F$210</definedName>
    <definedName name="_xlnm.Print_Area" localSheetId="6">'Report_250'!$A$10:$F$124</definedName>
    <definedName name="_xlnm.Print_Area" localSheetId="7">'Report_300'!$A$10:$F$75</definedName>
    <definedName name="_xlnm.Print_Area" localSheetId="8">'Report_350'!$A$10:$F$48</definedName>
    <definedName name="_xlnm.Print_Area" localSheetId="9">'Report_385'!$A$10:$E$80</definedName>
    <definedName name="_xlnm.Print_Area" localSheetId="10">'Report_400'!$A$10:$G$45</definedName>
    <definedName name="_xlnm.Print_Area" localSheetId="11">'Report_450'!$A$11:$F$101</definedName>
    <definedName name="_xlnm.Print_Area" localSheetId="12">'Report_485'!$A$11:$F$32</definedName>
    <definedName name="_xlnm.Print_Area" localSheetId="13">'Report_500'!$A$10:$F$337</definedName>
    <definedName name="_xlnm.Print_Area" localSheetId="14">'Report_550'!$A$11:$E$335</definedName>
    <definedName name="_xlnm.Print_Area" localSheetId="15">'Report_600'!$A$11:$C$145</definedName>
    <definedName name="_xlnm.Print_Area" localSheetId="16">'Report_650'!$A$11:$F$49</definedName>
    <definedName name="_xlnm.Print_Area" localSheetId="17">'Report_685'!$A$13:$F$27</definedName>
    <definedName name="_xlnm.Print_Area" localSheetId="18">'Report_700'!$A$8:$E$113</definedName>
    <definedName name="_xlnm.Print_Titles" localSheetId="0">'Report_100'!$1:$9</definedName>
    <definedName name="_xlnm.Print_Titles" localSheetId="1">'Report_150'!$1:$9</definedName>
    <definedName name="_xlnm.Print_Titles" localSheetId="2">'Report_165'!$1:$9</definedName>
    <definedName name="_xlnm.Print_Titles" localSheetId="3">'Report_175'!$1:$11</definedName>
    <definedName name="_xlnm.Print_Titles" localSheetId="4">'Report_185'!$1:$9</definedName>
    <definedName name="_xlnm.Print_Titles" localSheetId="5">'Report_200'!$1:$9</definedName>
    <definedName name="_xlnm.Print_Titles" localSheetId="6">'Report_250'!$1:$9</definedName>
    <definedName name="_xlnm.Print_Titles" localSheetId="7">'Report_300'!$1:$9</definedName>
    <definedName name="_xlnm.Print_Titles" localSheetId="8">'Report_350'!$1:$9</definedName>
    <definedName name="_xlnm.Print_Titles" localSheetId="9">'Report_385'!$1:$9</definedName>
    <definedName name="_xlnm.Print_Titles" localSheetId="10">'Report_400'!$1:$9</definedName>
    <definedName name="_xlnm.Print_Titles" localSheetId="11">'Report_450'!$1:$10</definedName>
    <definedName name="_xlnm.Print_Titles" localSheetId="12">'Report_485'!$1:$10</definedName>
    <definedName name="_xlnm.Print_Titles" localSheetId="13">'Report_500'!$1:$9</definedName>
    <definedName name="_xlnm.Print_Titles" localSheetId="14">'Report_550'!$1:$10</definedName>
    <definedName name="_xlnm.Print_Titles" localSheetId="15">'Report_600'!$1:$10</definedName>
    <definedName name="_xlnm.Print_Titles" localSheetId="16">'Report_650'!$1:$10</definedName>
    <definedName name="_xlnm.Print_Titles" localSheetId="17">'Report_685'!$1:$12</definedName>
    <definedName name="_xlnm.Print_Titles" localSheetId="18">'Report_700'!$1:$7</definedName>
  </definedNames>
  <calcPr fullCalcOnLoad="1"/>
</workbook>
</file>

<file path=xl/sharedStrings.xml><?xml version="1.0" encoding="utf-8"?>
<sst xmlns="http://schemas.openxmlformats.org/spreadsheetml/2006/main" count="2302" uniqueCount="980">
  <si>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</si>
  <si>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</si>
  <si>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</si>
  <si>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</si>
  <si>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</si>
  <si>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</si>
  <si>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</si>
  <si>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</si>
  <si>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</si>
  <si>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</si>
  <si>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</si>
  <si>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</si>
  <si>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</si>
  <si>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</si>
  <si>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</si>
  <si>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</si>
  <si>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</si>
  <si>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</si>
  <si>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</si>
  <si>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</si>
  <si>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</si>
  <si>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 val="single"/>
        <sz val="12"/>
        <rFont val="Arial"/>
        <family val="2"/>
      </rPr>
      <t xml:space="preserve">        FY 2009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</si>
  <si>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</si>
  <si>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</si>
  <si>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</si>
  <si>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</si>
  <si>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</si>
  <si>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</si>
  <si>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</si>
  <si>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</si>
  <si>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</si>
  <si>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</si>
  <si>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</si>
  <si>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</si>
  <si>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</si>
  <si>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</si>
  <si>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</si>
  <si>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</si>
  <si>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</si>
  <si>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</si>
  <si>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</si>
  <si>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</si>
  <si>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</si>
  <si>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</si>
  <si>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</si>
  <si>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</si>
  <si>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</si>
  <si>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</si>
  <si>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</si>
  <si>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</si>
  <si>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</si>
  <si>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</si>
  <si>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</si>
  <si>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</si>
  <si>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</si>
  <si>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</si>
  <si>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</si>
  <si>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</si>
  <si>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</si>
  <si>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</si>
  <si>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</si>
  <si>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</si>
  <si>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</si>
  <si>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</si>
  <si>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</si>
  <si>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</si>
  <si>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</si>
  <si>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</si>
  <si>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</si>
  <si>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</si>
  <si>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</si>
  <si>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</si>
  <si>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</si>
  <si>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</si>
  <si>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</si>
  <si>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</si>
  <si>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</si>
  <si>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2007</t>
    </r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</si>
  <si>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2008</t>
    </r>
  </si>
  <si>
    <r>
      <t xml:space="preserve">       ACTUAL                                      </t>
    </r>
    <r>
      <rPr>
        <b/>
        <u val="single"/>
        <sz val="14"/>
        <rFont val="Arial"/>
        <family val="2"/>
      </rPr>
      <t xml:space="preserve">        FY 2009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</si>
  <si>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</si>
  <si>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</si>
  <si>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</si>
  <si>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</si>
  <si>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</si>
  <si>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</si>
  <si>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</si>
  <si>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</si>
  <si>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</si>
  <si>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</si>
  <si>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</si>
  <si>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</si>
  <si>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</si>
  <si>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</si>
  <si>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</si>
  <si>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</si>
  <si>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</si>
  <si>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</si>
  <si>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</si>
  <si>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</si>
  <si>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</si>
  <si>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</si>
  <si>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</si>
  <si>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</si>
  <si>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</si>
  <si>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</si>
  <si>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</si>
  <si>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</si>
  <si>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</si>
  <si>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</si>
  <si>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</si>
  <si>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</si>
  <si>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</si>
  <si>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</si>
  <si>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</si>
  <si>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</si>
  <si>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</si>
  <si>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</si>
  <si>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</si>
  <si>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</si>
  <si>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</si>
  <si>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</si>
  <si>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</si>
  <si>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</si>
  <si>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</si>
  <si>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</si>
  <si>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</si>
  <si>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</si>
  <si>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</si>
  <si>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</si>
  <si>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</si>
  <si>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</si>
  <si>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</si>
  <si>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</si>
  <si>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</si>
  <si>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</si>
  <si>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</si>
  <si>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</si>
  <si>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</si>
  <si>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</si>
  <si>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</si>
  <si>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</si>
  <si>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</si>
  <si>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</si>
  <si>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</si>
  <si>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</si>
  <si>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</si>
  <si>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</si>
  <si>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</si>
  <si>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</si>
  <si>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</si>
  <si>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</si>
  <si>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</si>
  <si>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</si>
  <si>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</si>
  <si>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</si>
  <si>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</si>
  <si>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</si>
  <si>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>MIDSTATE MEDICAL CENTER</t>
  </si>
  <si>
    <t>TWELVE MONTHS ACTUAL FILING</t>
  </si>
  <si>
    <t xml:space="preserve">      FISCAL YEAR 2009</t>
  </si>
  <si>
    <t>REPORT 100 - HOSPITAL BALANCE SHEET INFORMATION</t>
  </si>
  <si>
    <t xml:space="preserve">      FY 2008</t>
  </si>
  <si>
    <t xml:space="preserve">      FY 2009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</si>
  <si>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</si>
  <si>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</si>
  <si>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</si>
  <si>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</si>
  <si>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</si>
  <si>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</si>
  <si>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</si>
  <si>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</si>
  <si>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</si>
  <si>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</si>
  <si>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</si>
  <si>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</si>
  <si>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</si>
  <si>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</si>
  <si>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</si>
  <si>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</si>
  <si>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</si>
  <si>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</si>
  <si>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</si>
  <si>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</si>
  <si>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</si>
  <si>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</si>
  <si>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</si>
  <si>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</si>
  <si>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</si>
  <si>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</si>
  <si>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</si>
  <si>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</si>
  <si>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</si>
  <si>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</si>
  <si>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</si>
  <si>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</si>
  <si>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</si>
  <si>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</si>
  <si>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</si>
  <si>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</si>
  <si>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</si>
  <si>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</si>
  <si>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</si>
  <si>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</si>
  <si>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</si>
  <si>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</si>
  <si>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</si>
  <si>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</si>
  <si>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</si>
  <si>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</si>
  <si>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</si>
  <si>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</si>
  <si>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</si>
  <si>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</si>
  <si>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</si>
  <si>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</si>
  <si>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</si>
  <si>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</si>
  <si>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</si>
  <si>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</si>
  <si>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</si>
  <si>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</si>
  <si>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</si>
  <si>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</si>
  <si>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</si>
  <si>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</si>
  <si>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</si>
  <si>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</si>
  <si>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</si>
  <si>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</si>
  <si>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</si>
  <si>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</si>
  <si>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</si>
  <si>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</si>
  <si>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</si>
  <si>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</si>
  <si>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</si>
  <si>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</si>
  <si>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</si>
  <si>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</si>
  <si>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</si>
  <si>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</si>
  <si>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</si>
  <si>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</si>
  <si>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</si>
  <si>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</si>
  <si>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</si>
  <si>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</si>
  <si>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</si>
  <si>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</si>
  <si>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</si>
  <si>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</si>
  <si>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</si>
  <si>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</si>
  <si>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</si>
  <si>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</si>
  <si>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</si>
  <si>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</si>
  <si>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</si>
  <si>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</si>
  <si>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</si>
  <si>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</si>
  <si>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</si>
  <si>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2008                ACTUAL     </t>
  </si>
  <si>
    <t xml:space="preserve">      FY 2009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</si>
  <si>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</si>
  <si>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</si>
  <si>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</si>
  <si>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</si>
  <si>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</si>
  <si>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</si>
  <si>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</si>
  <si>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</si>
  <si>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</si>
  <si>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</si>
  <si>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</si>
  <si>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</si>
  <si>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</si>
  <si>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</si>
  <si>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</si>
  <si>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</si>
  <si>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</si>
  <si>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</si>
  <si>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</si>
  <si>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</si>
  <si>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</si>
  <si>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</si>
  <si>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</si>
  <si>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</si>
  <si>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</si>
  <si>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</si>
  <si>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</si>
  <si>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</si>
  <si>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</si>
  <si>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</si>
  <si>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</si>
  <si>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</si>
  <si>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</si>
  <si>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</si>
  <si>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</si>
  <si>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</si>
  <si>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</si>
  <si>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</si>
  <si>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</si>
  <si>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</si>
  <si>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</si>
  <si>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</si>
  <si>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</si>
  <si>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</si>
  <si>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</si>
  <si>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</si>
  <si>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</si>
  <si>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</si>
  <si>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</si>
  <si>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</si>
  <si>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</si>
  <si>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</si>
  <si>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</si>
  <si>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</si>
  <si>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</si>
  <si>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</si>
  <si>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</si>
  <si>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</si>
  <si>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</si>
  <si>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</si>
  <si>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</si>
  <si>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</si>
  <si>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</si>
  <si>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</si>
  <si>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</si>
  <si>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</si>
  <si>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</si>
  <si>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</si>
  <si>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</si>
  <si>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</si>
  <si>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</si>
  <si>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</si>
  <si>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</si>
  <si>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</si>
  <si>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</si>
  <si>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</si>
  <si>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</si>
  <si>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</si>
  <si>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</si>
  <si>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</si>
  <si>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</si>
  <si>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</si>
  <si>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</si>
  <si>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</si>
  <si>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</si>
  <si>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</si>
  <si>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</si>
  <si>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</si>
  <si>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</si>
  <si>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</si>
  <si>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</si>
  <si>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</si>
  <si>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</si>
  <si>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</si>
  <si>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</si>
  <si>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</si>
  <si>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</si>
  <si>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</si>
  <si>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</si>
  <si>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</si>
  <si>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</si>
  <si>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</si>
  <si>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</si>
  <si>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</si>
  <si>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</si>
  <si>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</si>
  <si>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</si>
  <si>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</si>
  <si>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</si>
  <si>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</si>
  <si>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</si>
  <si>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</si>
  <si>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</si>
  <si>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</si>
  <si>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</si>
  <si>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</si>
  <si>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</si>
  <si>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</si>
  <si>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</si>
  <si>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</si>
  <si>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</si>
  <si>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</si>
  <si>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</si>
  <si>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</si>
  <si>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</si>
  <si>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</si>
  <si>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</si>
  <si>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</si>
  <si>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</si>
  <si>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</si>
  <si>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</si>
  <si>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</si>
  <si>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</si>
  <si>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</si>
  <si>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</si>
  <si>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</si>
  <si>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</si>
  <si>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</si>
  <si>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</si>
  <si>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</si>
  <si>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</si>
  <si>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</si>
  <si>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</si>
  <si>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</si>
  <si>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</si>
  <si>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</si>
  <si>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</si>
  <si>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</si>
  <si>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</si>
  <si>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</si>
  <si>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</si>
  <si>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</si>
  <si>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</si>
  <si>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</si>
  <si>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</si>
  <si>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</si>
  <si>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</si>
  <si>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</si>
  <si>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</si>
  <si>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</si>
  <si>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</si>
  <si>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</si>
  <si>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</si>
  <si>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</si>
  <si>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</si>
  <si>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</si>
  <si>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</si>
  <si>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</si>
  <si>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</si>
  <si>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</si>
  <si>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</si>
  <si>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</si>
  <si>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</si>
  <si>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</si>
  <si>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</si>
  <si>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</si>
  <si>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</si>
  <si>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</si>
  <si>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</si>
  <si>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</si>
  <si>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</si>
  <si>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</si>
  <si>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</si>
  <si>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</si>
  <si>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</si>
  <si>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</si>
  <si>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</si>
  <si>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</si>
  <si>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</si>
  <si>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</si>
  <si>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</si>
  <si>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</si>
  <si>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</si>
  <si>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</si>
  <si>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</si>
  <si>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</si>
  <si>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</si>
  <si>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</si>
  <si>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</si>
  <si>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</si>
  <si>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2007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</si>
  <si>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</si>
  <si>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</si>
  <si>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</si>
  <si>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</si>
  <si>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</si>
  <si>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</si>
  <si>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</si>
  <si>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</si>
  <si>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</si>
  <si>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</si>
  <si>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</si>
  <si>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</si>
  <si>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</si>
  <si>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</si>
  <si>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</si>
  <si>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</si>
  <si>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</si>
  <si>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</si>
  <si>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</si>
  <si>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</si>
  <si>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</si>
  <si>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</si>
  <si>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</si>
  <si>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</si>
  <si>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</si>
  <si>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</si>
  <si>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</si>
  <si>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</si>
  <si>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</si>
  <si>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</si>
  <si>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</si>
  <si>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</si>
  <si>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</si>
  <si>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</si>
  <si>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</si>
  <si>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</si>
  <si>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</si>
  <si>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</si>
  <si>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</si>
  <si>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</si>
  <si>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</si>
  <si>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</si>
  <si>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</si>
  <si>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</si>
  <si>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</si>
  <si>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</si>
  <si>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</si>
  <si>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</si>
  <si>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</si>
  <si>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</si>
  <si>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</si>
  <si>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</si>
  <si>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</si>
  <si>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</si>
  <si>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</si>
  <si>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</si>
  <si>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</si>
  <si>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</si>
  <si>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</si>
  <si>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</si>
  <si>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</si>
  <si>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</si>
  <si>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</si>
  <si>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</si>
  <si>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</si>
  <si>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</si>
  <si>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</si>
  <si>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</si>
  <si>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</si>
  <si>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</si>
  <si>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</si>
  <si>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</si>
  <si>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</si>
  <si>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</si>
  <si>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</si>
  <si>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</si>
  <si>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</si>
  <si>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</si>
  <si>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</si>
  <si>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</si>
  <si>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</si>
  <si>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</si>
  <si>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</si>
  <si>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</si>
  <si>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</si>
  <si>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</si>
  <si>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</si>
  <si>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</si>
  <si>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</si>
  <si>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</si>
  <si>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</si>
  <si>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</si>
  <si>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</si>
  <si>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</si>
  <si>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</si>
  <si>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</si>
  <si>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</si>
  <si>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</si>
  <si>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</si>
  <si>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</si>
  <si>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</si>
  <si>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</si>
  <si>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</si>
  <si>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</si>
  <si>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</si>
  <si>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</si>
  <si>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</si>
  <si>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</si>
  <si>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</si>
  <si>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</si>
  <si>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</si>
  <si>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</si>
  <si>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</si>
  <si>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</si>
  <si>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</si>
  <si>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</si>
  <si>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</si>
  <si>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</si>
  <si>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</si>
  <si>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</si>
  <si>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</si>
  <si>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</si>
  <si>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2008 ACTUAL     </t>
  </si>
  <si>
    <t xml:space="preserve">      FY 2009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</si>
  <si>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</si>
  <si>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</si>
  <si>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</si>
  <si>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</si>
  <si>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</si>
  <si>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</si>
  <si>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</si>
  <si>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</si>
  <si>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</si>
  <si>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</si>
  <si>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</si>
  <si>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</si>
  <si>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</si>
  <si>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</si>
  <si>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</si>
  <si>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</si>
  <si>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</si>
  <si>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</si>
  <si>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</si>
  <si>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</si>
  <si>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</si>
  <si>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</si>
  <si>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</si>
  <si>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</si>
  <si>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</si>
  <si>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</si>
  <si>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</si>
  <si>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</si>
  <si>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</si>
  <si>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</si>
  <si>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</si>
  <si>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</si>
  <si>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</si>
  <si>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</si>
  <si>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</si>
  <si>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</si>
  <si>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</si>
  <si>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</si>
  <si>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</si>
  <si>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</si>
  <si>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</si>
  <si>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</si>
  <si>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</si>
  <si>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</si>
  <si>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</si>
  <si>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</si>
  <si>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</si>
  <si>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MIDSTATE MEDICAL CENTER AND SUBSIDIARIES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</si>
  <si>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</si>
  <si>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</si>
  <si>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</si>
  <si>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</si>
  <si>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</si>
  <si>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</si>
  <si>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</si>
  <si>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</si>
  <si>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</si>
  <si>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</si>
  <si>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</si>
  <si>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</si>
  <si>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</si>
  <si>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</si>
  <si>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</si>
  <si>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</si>
  <si>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</si>
  <si>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</si>
  <si>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</si>
  <si>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</si>
  <si>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</si>
  <si>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</si>
  <si>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</si>
  <si>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</si>
  <si>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</si>
  <si>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</si>
  <si>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</si>
  <si>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</si>
  <si>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</si>
  <si>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</si>
  <si>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</si>
  <si>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</si>
  <si>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</si>
  <si>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</si>
  <si>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</si>
  <si>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</si>
  <si>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</si>
  <si>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</si>
  <si>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</si>
  <si>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</si>
  <si>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</si>
  <si>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</si>
  <si>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</si>
  <si>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</si>
  <si>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</si>
  <si>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</si>
  <si>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</si>
  <si>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</si>
  <si>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</si>
  <si>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</si>
  <si>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</si>
  <si>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</si>
  <si>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</si>
  <si>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</si>
  <si>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</si>
  <si>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</si>
  <si>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</si>
  <si>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</si>
  <si>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</si>
  <si>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</si>
  <si>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</si>
  <si>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</si>
  <si>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</si>
  <si>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</si>
  <si>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</si>
  <si>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</si>
  <si>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</si>
  <si>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</si>
  <si>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</si>
  <si>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</si>
  <si>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</si>
  <si>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</si>
  <si>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</si>
  <si>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</si>
  <si>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</si>
  <si>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</si>
  <si>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</si>
  <si>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</si>
  <si>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</si>
  <si>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</si>
  <si>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</si>
  <si>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</si>
  <si>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</si>
  <si>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</si>
  <si>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</si>
  <si>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</si>
  <si>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</si>
  <si>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</si>
  <si>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</si>
  <si>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</si>
  <si>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</si>
  <si>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</si>
  <si>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</si>
  <si>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</si>
  <si>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</si>
  <si>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</si>
  <si>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</si>
  <si>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</si>
  <si>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</si>
  <si>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</si>
  <si>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</si>
  <si>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</si>
  <si>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</si>
  <si>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Main hospital campus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</si>
  <si>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</si>
  <si>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</si>
  <si>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</si>
  <si>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>883 Paddock Ave</t>
  </si>
  <si>
    <t>61 Pomeroy Ave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</si>
  <si>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</si>
  <si>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</si>
  <si>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</si>
  <si>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</si>
  <si>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</si>
  <si>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2009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</si>
  <si>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</si>
  <si>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</si>
  <si>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</si>
  <si>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</si>
  <si>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2008</t>
  </si>
  <si>
    <t xml:space="preserve">         FY 2009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</si>
  <si>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</si>
  <si>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</si>
  <si>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</si>
  <si>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</si>
  <si>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</si>
  <si>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</si>
  <si>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</si>
  <si>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</si>
  <si>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</si>
  <si>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</si>
  <si>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</si>
  <si>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</si>
  <si>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</si>
  <si>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</si>
  <si>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</si>
  <si>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</si>
  <si>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</si>
  <si>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</si>
  <si>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</si>
  <si>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</si>
  <si>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</si>
  <si>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</si>
  <si>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</si>
  <si>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</si>
  <si>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</si>
  <si>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</si>
  <si>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</si>
  <si>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</si>
  <si>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</si>
  <si>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</si>
  <si>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</si>
  <si>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</si>
  <si>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</si>
  <si>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</si>
  <si>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</si>
  <si>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</si>
  <si>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</si>
  <si>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</si>
  <si>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</si>
  <si>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</si>
  <si>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</si>
  <si>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</si>
  <si>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</si>
  <si>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</si>
  <si>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</si>
  <si>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</si>
  <si>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</si>
  <si>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</si>
  <si>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</si>
  <si>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</si>
  <si>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</si>
  <si>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</si>
  <si>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</si>
  <si>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</si>
  <si>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</si>
  <si>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</si>
  <si>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</si>
  <si>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</si>
  <si>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</si>
  <si>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</si>
  <si>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</si>
  <si>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</si>
  <si>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</si>
  <si>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</si>
  <si>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</si>
  <si>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</si>
  <si>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</si>
  <si>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</si>
  <si>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</si>
  <si>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</si>
  <si>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</si>
  <si>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</si>
  <si>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</si>
  <si>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</si>
  <si>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</si>
  <si>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</si>
  <si>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</si>
  <si>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</si>
  <si>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</si>
  <si>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</si>
  <si>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</si>
  <si>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</si>
  <si>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</si>
  <si>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</si>
  <si>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</si>
  <si>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</si>
  <si>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</si>
  <si>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</si>
  <si>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</si>
  <si>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</si>
  <si>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</si>
  <si>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</si>
  <si>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</si>
  <si>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</si>
  <si>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</si>
  <si>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</si>
  <si>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</si>
  <si>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</si>
  <si>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</si>
  <si>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</si>
  <si>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</si>
  <si>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</si>
  <si>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</si>
  <si>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</si>
  <si>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</si>
  <si>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</si>
  <si>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</si>
  <si>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</si>
  <si>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</si>
  <si>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</si>
  <si>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</si>
  <si>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</si>
  <si>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</si>
  <si>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</si>
  <si>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</si>
  <si>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</si>
  <si>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</si>
  <si>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</si>
  <si>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</si>
  <si>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</si>
  <si>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</si>
  <si>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</si>
  <si>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</si>
  <si>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</si>
  <si>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</si>
  <si>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</si>
  <si>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</si>
  <si>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</si>
  <si>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</si>
  <si>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</si>
  <si>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</si>
  <si>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</si>
  <si>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</si>
  <si>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</si>
  <si>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</si>
  <si>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</si>
  <si>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</si>
  <si>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</si>
  <si>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</si>
  <si>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</si>
  <si>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</si>
  <si>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</si>
  <si>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2008</t>
    </r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</si>
  <si>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2009</t>
    </r>
  </si>
  <si>
    <r>
      <t xml:space="preserve">       AMOUNT  </t>
    </r>
    <r>
      <rPr>
        <b/>
        <u val="single"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</si>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</sst>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0"/>
    </font>
    <font>
      <sz val="11"/>
      <name val="Arial"/>
      <family val="2"/>
    </font>
    <font>
      <u val="single"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0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19"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5" fillId="0" borderId="7" xfId="0" applyFont="1" applyBorder="1" applyAlignment="1">
      <alignment horizontal="centerContinuous"/>
    </xf>
    <xf numFmtId="0" fontId="25" fillId="0" borderId="7" xfId="0" applyFont="1" applyBorder="1" applyAlignment="1">
      <alignment/>
    </xf>
    <xf numFmtId="0" fontId="0" fillId="0" borderId="7" xfId="0" applyFill="1" applyBorder="1" applyAlignment="1">
      <alignment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centerContinuous"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168" fontId="26" fillId="0" borderId="7" xfId="0" applyNumberFormat="1" applyFont="1" applyBorder="1" applyAlignment="1">
      <alignment horizontal="center" wrapText="1"/>
    </xf>
    <xf numFmtId="0" fontId="26" fillId="0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/>
    </xf>
    <xf numFmtId="0" fontId="25" fillId="0" borderId="7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9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center"/>
    </xf>
    <xf numFmtId="0" fontId="24" fillId="0" borderId="7" xfId="0" applyFont="1" applyBorder="1" applyAlignment="1">
      <alignment horizontal="left" wrapText="1"/>
    </xf>
    <xf numFmtId="5" fontId="24" fillId="0" borderId="7" xfId="0" applyNumberFormat="1" applyFont="1" applyBorder="1" applyAlignment="1">
      <alignment horizontal="right"/>
    </xf>
    <xf numFmtId="9" fontId="24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0" fontId="0" fillId="0" borderId="7" xfId="0" applyBorder="1" applyAlignment="1">
      <alignment horizontal="left"/>
    </xf>
    <xf numFmtId="6" fontId="0" fillId="0" borderId="7" xfId="0" applyNumberFormat="1" applyBorder="1" applyAlignment="1">
      <alignment horizontal="right"/>
    </xf>
    <xf numFmtId="9" fontId="0" fillId="0" borderId="7" xfId="0" applyNumberFormat="1" applyBorder="1" applyAlignment="1">
      <alignment horizontal="right"/>
    </xf>
    <xf numFmtId="0" fontId="24" fillId="0" borderId="7" xfId="0" applyFont="1" applyBorder="1" applyAlignment="1">
      <alignment horizontal="center"/>
    </xf>
    <xf numFmtId="37" fontId="24" fillId="0" borderId="7" xfId="0" applyNumberFormat="1" applyFont="1" applyBorder="1" applyAlignment="1">
      <alignment horizontal="centerContinuous"/>
    </xf>
    <xf numFmtId="37" fontId="25" fillId="0" borderId="7" xfId="0" applyNumberFormat="1" applyFont="1" applyBorder="1" applyAlignment="1">
      <alignment horizontal="centerContinuous"/>
    </xf>
    <xf numFmtId="37" fontId="26" fillId="0" borderId="7" xfId="0" applyNumberFormat="1" applyFont="1" applyFill="1" applyBorder="1" applyAlignment="1">
      <alignment horizontal="center"/>
    </xf>
    <xf numFmtId="37" fontId="25" fillId="0" borderId="7" xfId="0" applyNumberFormat="1" applyFont="1" applyFill="1" applyBorder="1" applyAlignment="1">
      <alignment/>
    </xf>
    <xf numFmtId="37" fontId="25" fillId="0" borderId="7" xfId="0" applyNumberFormat="1" applyFont="1" applyFill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4" fillId="0" borderId="7" xfId="0" applyNumberFormat="1" applyFont="1" applyBorder="1" applyAlignment="1">
      <alignment horizontal="right"/>
    </xf>
    <xf numFmtId="0" fontId="27" fillId="0" borderId="7" xfId="0" applyFont="1" applyBorder="1" applyAlignment="1">
      <alignment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left" wrapText="1"/>
    </xf>
    <xf numFmtId="9" fontId="25" fillId="0" borderId="7" xfId="0" applyNumberFormat="1" applyFont="1" applyFill="1" applyBorder="1" applyAlignment="1">
      <alignment horizontal="right"/>
    </xf>
    <xf numFmtId="0" fontId="24" fillId="0" borderId="7" xfId="0" applyFont="1" applyBorder="1" applyAlignment="1">
      <alignment/>
    </xf>
    <xf numFmtId="0" fontId="25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 horizontal="right"/>
    </xf>
    <xf numFmtId="169" fontId="24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4" fillId="0" borderId="7" xfId="0" applyFont="1" applyBorder="1" applyAlignment="1">
      <alignment/>
    </xf>
    <xf numFmtId="168" fontId="24" fillId="0" borderId="7" xfId="0" applyNumberFormat="1" applyFont="1" applyFill="1" applyBorder="1" applyAlignment="1">
      <alignment horizontal="center"/>
    </xf>
    <xf numFmtId="0" fontId="24" fillId="0" borderId="7" xfId="0" applyFont="1" applyBorder="1" applyAlignment="1">
      <alignment horizontal="right"/>
    </xf>
    <xf numFmtId="0" fontId="26" fillId="0" borderId="7" xfId="0" applyFont="1" applyBorder="1" applyAlignment="1">
      <alignment horizontal="right"/>
    </xf>
    <xf numFmtId="0" fontId="26" fillId="0" borderId="7" xfId="0" applyFont="1" applyBorder="1" applyAlignment="1">
      <alignment/>
    </xf>
    <xf numFmtId="6" fontId="26" fillId="0" borderId="7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5" fillId="0" borderId="7" xfId="0" applyFont="1" applyBorder="1" applyAlignment="1">
      <alignment/>
    </xf>
    <xf numFmtId="168" fontId="25" fillId="0" borderId="7" xfId="0" applyNumberFormat="1" applyFont="1" applyFill="1" applyBorder="1" applyAlignment="1">
      <alignment horizontal="center"/>
    </xf>
    <xf numFmtId="6" fontId="24" fillId="0" borderId="7" xfId="0" applyNumberFormat="1" applyFont="1" applyBorder="1" applyAlignment="1">
      <alignment horizontal="center"/>
    </xf>
    <xf numFmtId="6" fontId="25" fillId="0" borderId="7" xfId="0" applyNumberFormat="1" applyFont="1" applyBorder="1" applyAlignment="1">
      <alignment horizontal="center"/>
    </xf>
    <xf numFmtId="9" fontId="25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left" wrapText="1"/>
    </xf>
    <xf numFmtId="0" fontId="25" fillId="0" borderId="7" xfId="0" applyFont="1" applyBorder="1" applyAlignment="1">
      <alignment horizontal="right"/>
    </xf>
    <xf numFmtId="0" fontId="24" fillId="0" borderId="7" xfId="0" applyFont="1" applyFill="1" applyBorder="1" applyAlignment="1">
      <alignment horizontal="left" wrapText="1"/>
    </xf>
    <xf numFmtId="0" fontId="24" fillId="0" borderId="7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168" fontId="18" fillId="0" borderId="0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left"/>
    </xf>
    <xf numFmtId="5" fontId="18" fillId="0" borderId="0" xfId="0" applyNumberFormat="1" applyFont="1" applyBorder="1" applyAlignment="1">
      <alignment horizontal="right"/>
    </xf>
    <xf numFmtId="9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168" fontId="18" fillId="0" borderId="0" xfId="0" applyNumberFormat="1" applyFont="1" applyBorder="1" applyAlignment="1">
      <alignment horizontal="left"/>
    </xf>
    <xf numFmtId="168" fontId="18" fillId="0" borderId="11" xfId="0" applyNumberFormat="1" applyFont="1" applyBorder="1" applyAlignment="1">
      <alignment horizontal="center"/>
    </xf>
    <xf numFmtId="168" fontId="18" fillId="0" borderId="12" xfId="0" applyNumberFormat="1" applyFont="1" applyBorder="1" applyAlignment="1">
      <alignment horizontal="center"/>
    </xf>
    <xf numFmtId="168" fontId="18" fillId="0" borderId="13" xfId="0" applyNumberFormat="1" applyFont="1" applyBorder="1" applyAlignment="1">
      <alignment horizontal="center"/>
    </xf>
    <xf numFmtId="168" fontId="18" fillId="0" borderId="14" xfId="0" applyNumberFormat="1" applyFont="1" applyBorder="1" applyAlignment="1">
      <alignment/>
    </xf>
    <xf numFmtId="168" fontId="18" fillId="0" borderId="15" xfId="0" applyNumberFormat="1" applyFont="1" applyBorder="1" applyAlignment="1">
      <alignment horizontal="left"/>
    </xf>
    <xf numFmtId="168" fontId="18" fillId="0" borderId="16" xfId="0" applyNumberFormat="1" applyFont="1" applyBorder="1" applyAlignment="1">
      <alignment horizontal="center" wrapText="1"/>
    </xf>
    <xf numFmtId="168" fontId="18" fillId="0" borderId="15" xfId="0" applyNumberFormat="1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168" fontId="18" fillId="0" borderId="17" xfId="0" applyNumberFormat="1" applyFont="1" applyBorder="1" applyAlignment="1">
      <alignment horizontal="center" wrapText="1"/>
    </xf>
    <xf numFmtId="168" fontId="18" fillId="20" borderId="18" xfId="0" applyNumberFormat="1" applyFont="1" applyFill="1" applyBorder="1" applyAlignment="1">
      <alignment/>
    </xf>
    <xf numFmtId="168" fontId="18" fillId="20" borderId="18" xfId="0" applyNumberFormat="1" applyFont="1" applyFill="1" applyBorder="1" applyAlignment="1">
      <alignment horizontal="left"/>
    </xf>
    <xf numFmtId="168" fontId="18" fillId="0" borderId="8" xfId="0" applyNumberFormat="1" applyFont="1" applyBorder="1" applyAlignment="1">
      <alignment horizontal="center"/>
    </xf>
    <xf numFmtId="168" fontId="19" fillId="0" borderId="8" xfId="0" applyNumberFormat="1" applyFont="1" applyBorder="1" applyAlignment="1">
      <alignment horizontal="left"/>
    </xf>
    <xf numFmtId="5" fontId="20" fillId="0" borderId="8" xfId="0" applyNumberFormat="1" applyFont="1" applyBorder="1" applyAlignment="1">
      <alignment horizontal="center"/>
    </xf>
    <xf numFmtId="5" fontId="20" fillId="0" borderId="18" xfId="0" applyNumberFormat="1" applyFont="1" applyBorder="1" applyAlignment="1">
      <alignment horizontal="right"/>
    </xf>
    <xf numFmtId="9" fontId="20" fillId="0" borderId="18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center" vertical="center"/>
    </xf>
    <xf numFmtId="43" fontId="20" fillId="0" borderId="8" xfId="42" applyFont="1" applyBorder="1" applyAlignment="1" applyProtection="1">
      <alignment/>
      <protection locked="0"/>
    </xf>
    <xf numFmtId="168" fontId="18" fillId="0" borderId="8" xfId="0" applyNumberFormat="1" applyFont="1" applyBorder="1" applyAlignment="1">
      <alignment horizontal="center" vertical="center"/>
    </xf>
    <xf numFmtId="168" fontId="18" fillId="0" borderId="8" xfId="0" applyNumberFormat="1" applyFont="1" applyBorder="1" applyAlignment="1">
      <alignment horizontal="left" wrapText="1"/>
    </xf>
    <xf numFmtId="5" fontId="18" fillId="0" borderId="8" xfId="0" applyNumberFormat="1" applyFont="1" applyBorder="1" applyAlignment="1">
      <alignment horizontal="right"/>
    </xf>
    <xf numFmtId="9" fontId="18" fillId="0" borderId="8" xfId="0" applyNumberFormat="1" applyFont="1" applyBorder="1" applyAlignment="1">
      <alignment horizontal="right"/>
    </xf>
    <xf numFmtId="168" fontId="18" fillId="0" borderId="8" xfId="0" applyNumberFormat="1" applyFont="1" applyBorder="1" applyAlignment="1">
      <alignment horizontal="right"/>
    </xf>
    <xf numFmtId="43" fontId="18" fillId="0" borderId="8" xfId="42" applyFont="1" applyBorder="1" applyAlignment="1" applyProtection="1">
      <alignment/>
      <protection locked="0"/>
    </xf>
    <xf numFmtId="5" fontId="18" fillId="0" borderId="18" xfId="0" applyNumberFormat="1" applyFont="1" applyBorder="1" applyAlignment="1">
      <alignment horizontal="right"/>
    </xf>
    <xf numFmtId="9" fontId="18" fillId="0" borderId="18" xfId="0" applyNumberFormat="1" applyFont="1" applyBorder="1" applyAlignment="1">
      <alignment horizontal="right"/>
    </xf>
    <xf numFmtId="168" fontId="18" fillId="0" borderId="19" xfId="0" applyNumberFormat="1" applyFont="1" applyFill="1" applyBorder="1" applyAlignment="1">
      <alignment horizontal="center"/>
    </xf>
    <xf numFmtId="168" fontId="18" fillId="0" borderId="20" xfId="0" applyNumberFormat="1" applyFont="1" applyBorder="1" applyAlignment="1">
      <alignment horizontal="left"/>
    </xf>
    <xf numFmtId="5" fontId="18" fillId="0" borderId="19" xfId="0" applyNumberFormat="1" applyFont="1" applyBorder="1" applyAlignment="1">
      <alignment horizontal="right"/>
    </xf>
    <xf numFmtId="5" fontId="18" fillId="0" borderId="21" xfId="0" applyNumberFormat="1" applyFont="1" applyBorder="1" applyAlignment="1">
      <alignment horizontal="right"/>
    </xf>
    <xf numFmtId="9" fontId="18" fillId="0" borderId="21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right"/>
    </xf>
    <xf numFmtId="168" fontId="18" fillId="0" borderId="21" xfId="0" applyNumberFormat="1" applyFont="1" applyFill="1" applyBorder="1" applyAlignment="1">
      <alignment horizontal="center"/>
    </xf>
    <xf numFmtId="168" fontId="18" fillId="0" borderId="19" xfId="0" applyNumberFormat="1" applyFont="1" applyBorder="1" applyAlignment="1">
      <alignment horizontal="left"/>
    </xf>
    <xf numFmtId="37" fontId="20" fillId="0" borderId="18" xfId="0" applyNumberFormat="1" applyFont="1" applyBorder="1" applyAlignment="1">
      <alignment horizontal="right"/>
    </xf>
    <xf numFmtId="37" fontId="18" fillId="0" borderId="8" xfId="42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5" fillId="0" borderId="22" xfId="0" applyFont="1" applyBorder="1" applyAlignment="1">
      <alignment/>
    </xf>
    <xf numFmtId="168" fontId="25" fillId="0" borderId="0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/>
    </xf>
    <xf numFmtId="0" fontId="24" fillId="0" borderId="23" xfId="0" applyFont="1" applyBorder="1" applyAlignment="1">
      <alignment horizontal="center" wrapText="1"/>
    </xf>
    <xf numFmtId="168" fontId="24" fillId="0" borderId="23" xfId="0" applyNumberFormat="1" applyFont="1" applyBorder="1" applyAlignment="1">
      <alignment horizontal="center" wrapText="1"/>
    </xf>
    <xf numFmtId="168" fontId="26" fillId="0" borderId="23" xfId="0" applyNumberFormat="1" applyFont="1" applyBorder="1" applyAlignment="1">
      <alignment horizontal="center"/>
    </xf>
    <xf numFmtId="168" fontId="26" fillId="0" borderId="23" xfId="0" applyNumberFormat="1" applyFont="1" applyBorder="1" applyAlignment="1">
      <alignment horizontal="left"/>
    </xf>
    <xf numFmtId="168" fontId="26" fillId="0" borderId="23" xfId="0" applyNumberFormat="1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168" fontId="24" fillId="0" borderId="8" xfId="0" applyNumberFormat="1" applyFont="1" applyBorder="1" applyAlignment="1">
      <alignment/>
    </xf>
    <xf numFmtId="168" fontId="24" fillId="0" borderId="8" xfId="0" applyNumberFormat="1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168" fontId="28" fillId="0" borderId="18" xfId="0" applyNumberFormat="1" applyFont="1" applyBorder="1" applyAlignment="1">
      <alignment horizontal="center"/>
    </xf>
    <xf numFmtId="0" fontId="26" fillId="0" borderId="18" xfId="0" applyNumberFormat="1" applyFont="1" applyBorder="1" applyAlignment="1">
      <alignment horizontal="left" wrapText="1"/>
    </xf>
    <xf numFmtId="168" fontId="25" fillId="0" borderId="18" xfId="0" applyNumberFormat="1" applyFont="1" applyBorder="1" applyAlignment="1">
      <alignment horizontal="right"/>
    </xf>
    <xf numFmtId="168" fontId="25" fillId="0" borderId="8" xfId="0" applyNumberFormat="1" applyFont="1" applyBorder="1" applyAlignment="1">
      <alignment horizontal="center"/>
    </xf>
    <xf numFmtId="0" fontId="26" fillId="0" borderId="8" xfId="0" applyNumberFormat="1" applyFont="1" applyBorder="1" applyAlignment="1">
      <alignment horizontal="left" wrapText="1"/>
    </xf>
    <xf numFmtId="168" fontId="25" fillId="0" borderId="8" xfId="0" applyNumberFormat="1" applyFont="1" applyBorder="1" applyAlignment="1">
      <alignment horizontal="right"/>
    </xf>
    <xf numFmtId="0" fontId="24" fillId="0" borderId="8" xfId="0" applyFont="1" applyBorder="1" applyAlignment="1">
      <alignment horizontal="center"/>
    </xf>
    <xf numFmtId="0" fontId="26" fillId="0" borderId="8" xfId="0" applyNumberFormat="1" applyFont="1" applyBorder="1" applyAlignment="1">
      <alignment/>
    </xf>
    <xf numFmtId="5" fontId="25" fillId="0" borderId="8" xfId="0" applyNumberFormat="1" applyFont="1" applyBorder="1" applyAlignment="1">
      <alignment horizontal="right"/>
    </xf>
    <xf numFmtId="5" fontId="24" fillId="0" borderId="8" xfId="0" applyNumberFormat="1" applyFont="1" applyBorder="1" applyAlignment="1">
      <alignment horizontal="right"/>
    </xf>
    <xf numFmtId="9" fontId="24" fillId="0" borderId="8" xfId="0" applyNumberFormat="1" applyFont="1" applyBorder="1" applyAlignment="1">
      <alignment horizontal="right"/>
    </xf>
    <xf numFmtId="0" fontId="25" fillId="0" borderId="8" xfId="42" applyNumberFormat="1" applyFont="1" applyBorder="1" applyAlignment="1" applyProtection="1">
      <alignment/>
      <protection locked="0"/>
    </xf>
    <xf numFmtId="9" fontId="25" fillId="0" borderId="8" xfId="0" applyNumberFormat="1" applyFont="1" applyBorder="1" applyAlignment="1">
      <alignment horizontal="right"/>
    </xf>
    <xf numFmtId="0" fontId="24" fillId="0" borderId="8" xfId="0" applyNumberFormat="1" applyFont="1" applyBorder="1" applyAlignment="1">
      <alignment/>
    </xf>
    <xf numFmtId="43" fontId="25" fillId="0" borderId="8" xfId="42" applyFont="1" applyBorder="1" applyAlignment="1" applyProtection="1">
      <alignment/>
      <protection locked="0"/>
    </xf>
    <xf numFmtId="168" fontId="25" fillId="0" borderId="8" xfId="0" applyNumberFormat="1" applyFont="1" applyFill="1" applyBorder="1" applyAlignment="1">
      <alignment horizontal="center"/>
    </xf>
    <xf numFmtId="3" fontId="24" fillId="0" borderId="8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9" fontId="25" fillId="0" borderId="8" xfId="57" applyFont="1" applyBorder="1" applyAlignment="1">
      <alignment horizontal="right"/>
    </xf>
    <xf numFmtId="0" fontId="24" fillId="0" borderId="8" xfId="0" applyNumberFormat="1" applyFont="1" applyBorder="1" applyAlignment="1">
      <alignment horizontal="left"/>
    </xf>
    <xf numFmtId="168" fontId="28" fillId="0" borderId="8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right"/>
    </xf>
    <xf numFmtId="0" fontId="25" fillId="0" borderId="8" xfId="0" applyFont="1" applyBorder="1" applyAlignment="1">
      <alignment horizontal="right"/>
    </xf>
    <xf numFmtId="0" fontId="25" fillId="0" borderId="8" xfId="0" applyFont="1" applyBorder="1" applyAlignment="1">
      <alignment/>
    </xf>
    <xf numFmtId="3" fontId="25" fillId="0" borderId="8" xfId="0" applyNumberFormat="1" applyFont="1" applyBorder="1" applyAlignment="1" applyProtection="1">
      <alignment/>
      <protection/>
    </xf>
    <xf numFmtId="0" fontId="0" fillId="0" borderId="8" xfId="0" applyBorder="1" applyAlignment="1">
      <alignment/>
    </xf>
    <xf numFmtId="42" fontId="25" fillId="0" borderId="7" xfId="0" applyNumberFormat="1" applyFont="1" applyBorder="1" applyAlignment="1">
      <alignment horizontal="right"/>
    </xf>
    <xf numFmtId="0" fontId="25" fillId="0" borderId="24" xfId="0" applyFont="1" applyFill="1" applyBorder="1" applyAlignment="1">
      <alignment horizontal="left"/>
    </xf>
    <xf numFmtId="0" fontId="25" fillId="0" borderId="24" xfId="0" applyFont="1" applyBorder="1" applyAlignment="1">
      <alignment horizontal="left"/>
    </xf>
    <xf numFmtId="183" fontId="25" fillId="0" borderId="7" xfId="0" applyNumberFormat="1" applyFont="1" applyBorder="1" applyAlignment="1">
      <alignment horizontal="right"/>
    </xf>
    <xf numFmtId="183" fontId="24" fillId="0" borderId="7" xfId="0" applyNumberFormat="1" applyFont="1" applyBorder="1" applyAlignment="1">
      <alignment horizontal="right"/>
    </xf>
    <xf numFmtId="10" fontId="25" fillId="0" borderId="7" xfId="0" applyNumberFormat="1" applyFont="1" applyBorder="1" applyAlignment="1">
      <alignment horizontal="right"/>
    </xf>
    <xf numFmtId="0" fontId="0" fillId="0" borderId="7" xfId="0" applyBorder="1" applyAlignment="1">
      <alignment/>
    </xf>
    <xf numFmtId="176" fontId="25" fillId="0" borderId="7" xfId="0" applyNumberFormat="1" applyFont="1" applyBorder="1" applyAlignment="1">
      <alignment horizontal="right"/>
    </xf>
    <xf numFmtId="43" fontId="24" fillId="0" borderId="7" xfId="0" applyNumberFormat="1" applyFont="1" applyBorder="1" applyAlignment="1">
      <alignment horizontal="centerContinuous"/>
    </xf>
    <xf numFmtId="39" fontId="24" fillId="0" borderId="7" xfId="0" applyNumberFormat="1" applyFont="1" applyBorder="1" applyAlignment="1">
      <alignment horizontal="right"/>
    </xf>
    <xf numFmtId="5" fontId="25" fillId="0" borderId="7" xfId="0" applyNumberFormat="1" applyFont="1" applyFill="1" applyBorder="1" applyAlignment="1">
      <alignment horizontal="right"/>
    </xf>
    <xf numFmtId="4" fontId="24" fillId="0" borderId="7" xfId="0" applyNumberFormat="1" applyFont="1" applyBorder="1" applyAlignment="1">
      <alignment horizontal="right"/>
    </xf>
    <xf numFmtId="169" fontId="25" fillId="0" borderId="7" xfId="0" applyNumberFormat="1" applyFont="1" applyFill="1" applyBorder="1" applyAlignment="1">
      <alignment horizontal="right"/>
    </xf>
    <xf numFmtId="0" fontId="43" fillId="0" borderId="7" xfId="0" applyFont="1" applyBorder="1" applyAlignment="1">
      <alignment horizontal="left"/>
    </xf>
    <xf numFmtId="176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168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0" fontId="25" fillId="0" borderId="24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5" fontId="24" fillId="0" borderId="7" xfId="0" applyNumberFormat="1" applyFont="1" applyBorder="1" applyAlignment="1">
      <alignment/>
    </xf>
    <xf numFmtId="169" fontId="24" fillId="0" borderId="7" xfId="0" applyNumberFormat="1" applyFont="1" applyBorder="1" applyAlignment="1">
      <alignment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/>
    </xf>
    <xf numFmtId="42" fontId="25" fillId="0" borderId="7" xfId="0" applyNumberFormat="1" applyFont="1" applyBorder="1" applyAlignment="1">
      <alignment/>
    </xf>
    <xf numFmtId="169" fontId="25" fillId="0" borderId="7" xfId="0" applyNumberFormat="1" applyFont="1" applyBorder="1" applyAlignment="1">
      <alignment/>
    </xf>
    <xf numFmtId="42" fontId="25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 horizontal="right"/>
    </xf>
    <xf numFmtId="1" fontId="24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/>
    </xf>
    <xf numFmtId="0" fontId="25" fillId="0" borderId="0" xfId="0" applyFont="1" applyBorder="1" applyAlignment="1">
      <alignment/>
    </xf>
    <xf numFmtId="1" fontId="24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/>
    </xf>
    <xf numFmtId="41" fontId="25" fillId="0" borderId="7" xfId="0" applyNumberFormat="1" applyFont="1" applyBorder="1" applyAlignment="1">
      <alignment horizontal="right"/>
    </xf>
    <xf numFmtId="184" fontId="25" fillId="0" borderId="7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176" fontId="25" fillId="0" borderId="0" xfId="0" applyNumberFormat="1" applyFont="1" applyBorder="1" applyAlignment="1">
      <alignment/>
    </xf>
    <xf numFmtId="169" fontId="25" fillId="0" borderId="0" xfId="0" applyNumberFormat="1" applyFont="1" applyFill="1" applyBorder="1" applyAlignment="1">
      <alignment/>
    </xf>
    <xf numFmtId="5" fontId="25" fillId="0" borderId="0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169" fontId="25" fillId="0" borderId="0" xfId="0" applyNumberFormat="1" applyFont="1" applyBorder="1" applyAlignment="1">
      <alignment/>
    </xf>
    <xf numFmtId="5" fontId="25" fillId="0" borderId="0" xfId="0" applyNumberFormat="1" applyFont="1" applyBorder="1" applyAlignment="1">
      <alignment/>
    </xf>
    <xf numFmtId="169" fontId="25" fillId="0" borderId="0" xfId="0" applyNumberFormat="1" applyFont="1" applyBorder="1" applyAlignment="1">
      <alignment/>
    </xf>
    <xf numFmtId="182" fontId="25" fillId="0" borderId="7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Continuous"/>
    </xf>
    <xf numFmtId="168" fontId="23" fillId="0" borderId="25" xfId="0" applyNumberFormat="1" applyFont="1" applyBorder="1" applyAlignment="1">
      <alignment horizontal="center"/>
    </xf>
    <xf numFmtId="168" fontId="23" fillId="0" borderId="12" xfId="0" applyNumberFormat="1" applyFont="1" applyBorder="1" applyAlignment="1">
      <alignment horizontal="center"/>
    </xf>
    <xf numFmtId="168" fontId="23" fillId="0" borderId="13" xfId="0" applyNumberFormat="1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168" fontId="23" fillId="0" borderId="26" xfId="0" applyNumberFormat="1" applyFont="1" applyBorder="1" applyAlignment="1">
      <alignment horizontal="center" wrapText="1"/>
    </xf>
    <xf numFmtId="168" fontId="23" fillId="0" borderId="16" xfId="0" applyNumberFormat="1" applyFont="1" applyBorder="1" applyAlignment="1">
      <alignment horizontal="left" wrapText="1"/>
    </xf>
    <xf numFmtId="168" fontId="23" fillId="0" borderId="16" xfId="0" applyNumberFormat="1" applyFont="1" applyBorder="1" applyAlignment="1">
      <alignment horizontal="center" wrapText="1"/>
    </xf>
    <xf numFmtId="168" fontId="23" fillId="0" borderId="15" xfId="0" applyNumberFormat="1" applyFont="1" applyBorder="1" applyAlignment="1">
      <alignment horizontal="center" wrapText="1"/>
    </xf>
    <xf numFmtId="9" fontId="23" fillId="0" borderId="27" xfId="57" applyFont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left" wrapText="1"/>
    </xf>
    <xf numFmtId="168" fontId="23" fillId="0" borderId="18" xfId="0" applyNumberFormat="1" applyFont="1" applyBorder="1" applyAlignment="1">
      <alignment horizontal="center" wrapText="1"/>
    </xf>
    <xf numFmtId="0" fontId="21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168" fontId="23" fillId="0" borderId="8" xfId="0" applyNumberFormat="1" applyFont="1" applyBorder="1" applyAlignment="1">
      <alignment horizontal="center" wrapText="1"/>
    </xf>
    <xf numFmtId="43" fontId="23" fillId="0" borderId="28" xfId="42" applyFont="1" applyBorder="1" applyAlignment="1" applyProtection="1">
      <alignment/>
      <protection locked="0"/>
    </xf>
    <xf numFmtId="168" fontId="23" fillId="0" borderId="18" xfId="0" applyNumberFormat="1" applyFont="1" applyBorder="1" applyAlignment="1">
      <alignment horizontal="right" wrapText="1"/>
    </xf>
    <xf numFmtId="168" fontId="23" fillId="0" borderId="18" xfId="0" applyNumberFormat="1" applyFont="1" applyBorder="1" applyAlignment="1">
      <alignment horizontal="right"/>
    </xf>
    <xf numFmtId="9" fontId="23" fillId="0" borderId="18" xfId="57" applyFont="1" applyBorder="1" applyAlignment="1">
      <alignment horizontal="center"/>
    </xf>
    <xf numFmtId="168" fontId="29" fillId="0" borderId="8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5" fontId="29" fillId="0" borderId="8" xfId="0" applyNumberFormat="1" applyFont="1" applyBorder="1" applyAlignment="1">
      <alignment horizontal="right"/>
    </xf>
    <xf numFmtId="9" fontId="29" fillId="0" borderId="8" xfId="57" applyNumberFormat="1" applyFont="1" applyBorder="1" applyAlignment="1">
      <alignment horizontal="right"/>
    </xf>
    <xf numFmtId="37" fontId="29" fillId="0" borderId="8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68" fontId="23" fillId="0" borderId="8" xfId="0" applyNumberFormat="1" applyFont="1" applyFill="1" applyBorder="1" applyAlignment="1">
      <alignment horizontal="right"/>
    </xf>
    <xf numFmtId="168" fontId="23" fillId="0" borderId="8" xfId="0" applyNumberFormat="1" applyFont="1" applyFill="1" applyBorder="1" applyAlignment="1">
      <alignment horizontal="left" wrapText="1"/>
    </xf>
    <xf numFmtId="5" fontId="23" fillId="0" borderId="8" xfId="0" applyNumberFormat="1" applyFont="1" applyBorder="1" applyAlignment="1">
      <alignment horizontal="right"/>
    </xf>
    <xf numFmtId="9" fontId="23" fillId="0" borderId="8" xfId="57" applyNumberFormat="1" applyFont="1" applyBorder="1" applyAlignment="1">
      <alignment horizontal="right"/>
    </xf>
    <xf numFmtId="168" fontId="23" fillId="0" borderId="8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8" xfId="0" applyFont="1" applyBorder="1" applyAlignment="1">
      <alignment horizontal="center"/>
    </xf>
    <xf numFmtId="0" fontId="23" fillId="0" borderId="8" xfId="0" applyFont="1" applyBorder="1" applyAlignment="1">
      <alignment wrapText="1"/>
    </xf>
    <xf numFmtId="9" fontId="23" fillId="0" borderId="8" xfId="57" applyFont="1" applyBorder="1" applyAlignment="1">
      <alignment horizontal="right"/>
    </xf>
    <xf numFmtId="37" fontId="23" fillId="0" borderId="8" xfId="0" applyNumberFormat="1" applyFont="1" applyFill="1" applyBorder="1" applyAlignment="1">
      <alignment horizontal="right"/>
    </xf>
    <xf numFmtId="168" fontId="23" fillId="0" borderId="26" xfId="0" applyNumberFormat="1" applyFont="1" applyBorder="1" applyAlignment="1">
      <alignment horizontal="center"/>
    </xf>
    <xf numFmtId="168" fontId="23" fillId="0" borderId="16" xfId="0" applyNumberFormat="1" applyFont="1" applyBorder="1" applyAlignment="1">
      <alignment horizontal="left"/>
    </xf>
    <xf numFmtId="168" fontId="23" fillId="20" borderId="18" xfId="0" applyNumberFormat="1" applyFont="1" applyFill="1" applyBorder="1" applyAlignment="1">
      <alignment horizontal="center"/>
    </xf>
    <xf numFmtId="168" fontId="23" fillId="20" borderId="29" xfId="0" applyNumberFormat="1" applyFont="1" applyFill="1" applyBorder="1" applyAlignment="1">
      <alignment horizontal="left"/>
    </xf>
    <xf numFmtId="168" fontId="23" fillId="20" borderId="30" xfId="0" applyNumberFormat="1" applyFont="1" applyFill="1" applyBorder="1" applyAlignment="1">
      <alignment horizontal="center" wrapText="1"/>
    </xf>
    <xf numFmtId="168" fontId="23" fillId="20" borderId="31" xfId="0" applyNumberFormat="1" applyFont="1" applyFill="1" applyBorder="1" applyAlignment="1">
      <alignment horizontal="center" wrapText="1"/>
    </xf>
    <xf numFmtId="9" fontId="23" fillId="20" borderId="29" xfId="57" applyFont="1" applyFill="1" applyBorder="1" applyAlignment="1">
      <alignment horizontal="center" wrapText="1"/>
    </xf>
    <xf numFmtId="0" fontId="22" fillId="0" borderId="8" xfId="0" applyFont="1" applyBorder="1" applyAlignment="1">
      <alignment horizontal="center" vertical="center"/>
    </xf>
    <xf numFmtId="43" fontId="23" fillId="0" borderId="18" xfId="42" applyFont="1" applyBorder="1" applyAlignment="1" applyProtection="1">
      <alignment horizontal="left" wrapText="1"/>
      <protection locked="0"/>
    </xf>
    <xf numFmtId="0" fontId="23" fillId="0" borderId="8" xfId="0" applyFont="1" applyBorder="1" applyAlignment="1">
      <alignment horizontal="center" vertical="center"/>
    </xf>
    <xf numFmtId="37" fontId="25" fillId="0" borderId="7" xfId="0" applyNumberFormat="1" applyFont="1" applyBorder="1" applyAlignment="1">
      <alignment horizontal="right"/>
    </xf>
    <xf numFmtId="168" fontId="26" fillId="0" borderId="7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32" xfId="0" applyFont="1" applyFill="1" applyBorder="1" applyAlignment="1">
      <alignment horizontal="center"/>
    </xf>
    <xf numFmtId="5" fontId="24" fillId="0" borderId="7" xfId="0" applyNumberFormat="1" applyFont="1" applyFill="1" applyBorder="1" applyAlignment="1">
      <alignment horizontal="right"/>
    </xf>
    <xf numFmtId="169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168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0" fontId="25" fillId="0" borderId="24" xfId="0" applyFont="1" applyFill="1" applyBorder="1" applyAlignment="1">
      <alignment horizontal="left"/>
    </xf>
    <xf numFmtId="37" fontId="25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5" fontId="24" fillId="0" borderId="7" xfId="0" applyNumberFormat="1" applyFont="1" applyFill="1" applyBorder="1" applyAlignment="1">
      <alignment/>
    </xf>
    <xf numFmtId="169" fontId="24" fillId="0" borderId="7" xfId="0" applyNumberFormat="1" applyFont="1" applyFill="1" applyBorder="1" applyAlignment="1">
      <alignment/>
    </xf>
    <xf numFmtId="1" fontId="24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5" fontId="25" fillId="0" borderId="7" xfId="0" applyNumberFormat="1" applyFont="1" applyFill="1" applyBorder="1" applyAlignment="1">
      <alignment horizontal="right"/>
    </xf>
    <xf numFmtId="42" fontId="25" fillId="0" borderId="7" xfId="0" applyNumberFormat="1" applyFont="1" applyFill="1" applyBorder="1" applyAlignment="1">
      <alignment horizontal="right"/>
    </xf>
    <xf numFmtId="1" fontId="24" fillId="0" borderId="7" xfId="0" applyNumberFormat="1" applyFont="1" applyFill="1" applyBorder="1" applyAlignment="1">
      <alignment horizontal="right"/>
    </xf>
    <xf numFmtId="184" fontId="24" fillId="0" borderId="7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184" fontId="24" fillId="0" borderId="7" xfId="0" applyNumberFormat="1" applyFont="1" applyFill="1" applyBorder="1" applyAlignment="1">
      <alignment/>
    </xf>
    <xf numFmtId="0" fontId="25" fillId="0" borderId="3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9" fontId="0" fillId="0" borderId="0" xfId="57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168" fontId="26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168" fontId="25" fillId="0" borderId="8" xfId="0" applyNumberFormat="1" applyFont="1" applyBorder="1" applyAlignment="1">
      <alignment wrapText="1"/>
    </xf>
    <xf numFmtId="3" fontId="25" fillId="0" borderId="8" xfId="42" applyNumberFormat="1" applyFont="1" applyBorder="1" applyAlignment="1">
      <alignment horizontal="right"/>
    </xf>
    <xf numFmtId="1" fontId="25" fillId="0" borderId="8" xfId="0" applyNumberFormat="1" applyFont="1" applyBorder="1" applyAlignment="1">
      <alignment horizontal="right"/>
    </xf>
    <xf numFmtId="176" fontId="25" fillId="0" borderId="8" xfId="57" applyNumberFormat="1" applyFont="1" applyBorder="1" applyAlignment="1">
      <alignment horizontal="right"/>
    </xf>
    <xf numFmtId="5" fontId="0" fillId="0" borderId="0" xfId="0" applyNumberFormat="1" applyFont="1" applyBorder="1" applyAlignment="1">
      <alignment/>
    </xf>
    <xf numFmtId="3" fontId="24" fillId="0" borderId="8" xfId="42" applyNumberFormat="1" applyFont="1" applyBorder="1" applyAlignment="1">
      <alignment horizontal="right"/>
    </xf>
    <xf numFmtId="176" fontId="24" fillId="0" borderId="8" xfId="57" applyNumberFormat="1" applyFont="1" applyBorder="1" applyAlignment="1">
      <alignment horizontal="right"/>
    </xf>
    <xf numFmtId="1" fontId="24" fillId="0" borderId="8" xfId="0" applyNumberFormat="1" applyFont="1" applyBorder="1" applyAlignment="1">
      <alignment horizontal="right"/>
    </xf>
    <xf numFmtId="37" fontId="24" fillId="0" borderId="8" xfId="42" applyNumberFormat="1" applyFont="1" applyBorder="1" applyAlignment="1">
      <alignment horizontal="right"/>
    </xf>
    <xf numFmtId="168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68" fontId="2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24" fillId="0" borderId="8" xfId="42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168" fontId="24" fillId="0" borderId="8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168" fontId="24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9" fontId="25" fillId="0" borderId="8" xfId="42" applyNumberFormat="1" applyFont="1" applyBorder="1" applyAlignment="1">
      <alignment horizontal="right"/>
    </xf>
    <xf numFmtId="3" fontId="25" fillId="0" borderId="0" xfId="42" applyNumberFormat="1" applyFont="1" applyBorder="1" applyAlignment="1">
      <alignment horizontal="right"/>
    </xf>
    <xf numFmtId="9" fontId="25" fillId="0" borderId="8" xfId="42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5" fillId="0" borderId="0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5" fillId="0" borderId="8" xfId="42" applyNumberFormat="1" applyFont="1" applyBorder="1" applyAlignment="1">
      <alignment horizontal="right"/>
    </xf>
    <xf numFmtId="168" fontId="25" fillId="0" borderId="8" xfId="0" applyNumberFormat="1" applyFont="1" applyBorder="1" applyAlignment="1">
      <alignment/>
    </xf>
    <xf numFmtId="170" fontId="25" fillId="0" borderId="8" xfId="0" applyNumberFormat="1" applyFont="1" applyBorder="1" applyAlignment="1">
      <alignment horizontal="right"/>
    </xf>
    <xf numFmtId="170" fontId="25" fillId="0" borderId="8" xfId="42" applyNumberFormat="1" applyFont="1" applyBorder="1" applyAlignment="1">
      <alignment horizontal="right"/>
    </xf>
    <xf numFmtId="170" fontId="24" fillId="0" borderId="8" xfId="42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168" fontId="30" fillId="0" borderId="0" xfId="0" applyNumberFormat="1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left"/>
      <protection locked="0"/>
    </xf>
    <xf numFmtId="0" fontId="30" fillId="0" borderId="34" xfId="0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left"/>
      <protection locked="0"/>
    </xf>
    <xf numFmtId="0" fontId="33" fillId="0" borderId="18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center"/>
      <protection locked="0"/>
    </xf>
    <xf numFmtId="9" fontId="30" fillId="0" borderId="0" xfId="57" applyNumberFormat="1" applyFont="1" applyFill="1" applyBorder="1" applyAlignment="1" applyProtection="1">
      <alignment horizontal="center"/>
      <protection locked="0"/>
    </xf>
    <xf numFmtId="5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 quotePrefix="1">
      <alignment horizontal="left"/>
      <protection locked="0"/>
    </xf>
    <xf numFmtId="0" fontId="30" fillId="0" borderId="0" xfId="0" applyFont="1" applyFill="1" applyBorder="1" applyAlignment="1" applyProtection="1">
      <alignment horizontal="left" wrapText="1"/>
      <protection locked="0"/>
    </xf>
    <xf numFmtId="5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/>
      <protection locked="0"/>
    </xf>
    <xf numFmtId="5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 quotePrefix="1">
      <alignment horizontal="left" wrapText="1"/>
      <protection locked="0"/>
    </xf>
    <xf numFmtId="10" fontId="30" fillId="0" borderId="0" xfId="57" applyNumberFormat="1" applyFont="1" applyFill="1" applyBorder="1" applyAlignment="1" applyProtection="1">
      <alignment horizontal="right"/>
      <protection locked="0"/>
    </xf>
    <xf numFmtId="10" fontId="30" fillId="0" borderId="0" xfId="57" applyNumberFormat="1" applyFont="1" applyFill="1" applyBorder="1" applyAlignment="1" applyProtection="1">
      <alignment/>
      <protection locked="0"/>
    </xf>
    <xf numFmtId="9" fontId="31" fillId="0" borderId="0" xfId="57" applyFont="1" applyFill="1" applyBorder="1" applyAlignment="1" applyProtection="1">
      <alignment horizontal="right"/>
      <protection locked="0"/>
    </xf>
    <xf numFmtId="37" fontId="30" fillId="0" borderId="0" xfId="0" applyNumberFormat="1" applyFont="1" applyFill="1" applyBorder="1" applyAlignment="1" applyProtection="1">
      <alignment/>
      <protection locked="0"/>
    </xf>
    <xf numFmtId="37" fontId="31" fillId="0" borderId="0" xfId="0" applyNumberFormat="1" applyFont="1" applyFill="1" applyBorder="1" applyAlignment="1" applyProtection="1">
      <alignment/>
      <protection locked="0"/>
    </xf>
    <xf numFmtId="9" fontId="30" fillId="0" borderId="0" xfId="57" applyFont="1" applyFill="1" applyBorder="1" applyAlignment="1" applyProtection="1">
      <alignment horizontal="right"/>
      <protection locked="0"/>
    </xf>
    <xf numFmtId="171" fontId="30" fillId="0" borderId="0" xfId="0" applyNumberFormat="1" applyFont="1" applyFill="1" applyBorder="1" applyAlignment="1" applyProtection="1">
      <alignment/>
      <protection locked="0"/>
    </xf>
    <xf numFmtId="172" fontId="30" fillId="0" borderId="0" xfId="0" applyNumberFormat="1" applyFont="1" applyFill="1" applyBorder="1" applyAlignment="1" applyProtection="1">
      <alignment/>
      <protection locked="0"/>
    </xf>
    <xf numFmtId="173" fontId="31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right"/>
      <protection locked="0"/>
    </xf>
    <xf numFmtId="174" fontId="30" fillId="0" borderId="0" xfId="0" applyNumberFormat="1" applyFont="1" applyFill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right"/>
      <protection locked="0"/>
    </xf>
    <xf numFmtId="7" fontId="30" fillId="0" borderId="0" xfId="0" applyNumberFormat="1" applyFont="1" applyFill="1" applyBorder="1" applyAlignment="1" applyProtection="1">
      <alignment/>
      <protection locked="0"/>
    </xf>
    <xf numFmtId="175" fontId="30" fillId="0" borderId="0" xfId="42" applyNumberFormat="1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/>
      <protection locked="0"/>
    </xf>
    <xf numFmtId="169" fontId="31" fillId="0" borderId="0" xfId="0" applyNumberFormat="1" applyFont="1" applyFill="1" applyBorder="1" applyAlignment="1" applyProtection="1">
      <alignment/>
      <protection locked="0"/>
    </xf>
    <xf numFmtId="43" fontId="30" fillId="0" borderId="0" xfId="42" applyFont="1" applyFill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right"/>
      <protection locked="0"/>
    </xf>
    <xf numFmtId="9" fontId="31" fillId="0" borderId="0" xfId="57" applyFont="1" applyFill="1" applyBorder="1" applyAlignment="1" applyProtection="1">
      <alignment/>
      <protection locked="0"/>
    </xf>
    <xf numFmtId="0" fontId="30" fillId="0" borderId="28" xfId="0" applyFont="1" applyFill="1" applyBorder="1" applyAlignment="1" applyProtection="1">
      <alignment horizontal="center"/>
      <protection locked="0"/>
    </xf>
    <xf numFmtId="176" fontId="30" fillId="0" borderId="0" xfId="57" applyNumberFormat="1" applyFont="1" applyFill="1" applyBorder="1" applyAlignment="1" applyProtection="1">
      <alignment/>
      <protection locked="0"/>
    </xf>
    <xf numFmtId="176" fontId="31" fillId="0" borderId="0" xfId="57" applyNumberFormat="1" applyFont="1" applyFill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right"/>
      <protection locked="0"/>
    </xf>
    <xf numFmtId="5" fontId="31" fillId="0" borderId="0" xfId="0" applyNumberFormat="1" applyFont="1" applyFill="1" applyBorder="1" applyAlignment="1" applyProtection="1">
      <alignment horizontal="right"/>
      <protection locked="0"/>
    </xf>
    <xf numFmtId="37" fontId="31" fillId="0" borderId="0" xfId="0" applyNumberFormat="1" applyFont="1" applyFill="1" applyBorder="1" applyAlignment="1" applyProtection="1">
      <alignment horizontal="right"/>
      <protection locked="0"/>
    </xf>
    <xf numFmtId="5" fontId="30" fillId="0" borderId="0" xfId="57" applyNumberFormat="1" applyFont="1" applyFill="1" applyBorder="1" applyAlignment="1" applyProtection="1">
      <alignment/>
      <protection locked="0"/>
    </xf>
    <xf numFmtId="5" fontId="31" fillId="0" borderId="0" xfId="57" applyNumberFormat="1" applyFont="1" applyFill="1" applyBorder="1" applyAlignment="1" applyProtection="1">
      <alignment/>
      <protection locked="0"/>
    </xf>
    <xf numFmtId="5" fontId="30" fillId="0" borderId="0" xfId="57" applyNumberFormat="1" applyFont="1" applyFill="1" applyBorder="1" applyAlignment="1" applyProtection="1">
      <alignment horizontal="right"/>
      <protection locked="0"/>
    </xf>
    <xf numFmtId="39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/>
      <protection locked="0"/>
    </xf>
    <xf numFmtId="0" fontId="36" fillId="0" borderId="0" xfId="0" applyFont="1" applyBorder="1" applyAlignment="1" applyProtection="1">
      <alignment horizontal="left"/>
      <protection locked="0"/>
    </xf>
    <xf numFmtId="6" fontId="30" fillId="0" borderId="0" xfId="44" applyNumberFormat="1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/>
      <protection locked="0"/>
    </xf>
    <xf numFmtId="9" fontId="30" fillId="0" borderId="0" xfId="57" applyNumberFormat="1" applyFont="1" applyBorder="1" applyAlignment="1" applyProtection="1">
      <alignment/>
      <protection locked="0"/>
    </xf>
    <xf numFmtId="5" fontId="37" fillId="0" borderId="0" xfId="44" applyNumberFormat="1" applyFont="1" applyBorder="1" applyAlignment="1" applyProtection="1">
      <alignment/>
      <protection locked="0"/>
    </xf>
    <xf numFmtId="6" fontId="30" fillId="0" borderId="0" xfId="44" applyNumberFormat="1" applyFont="1" applyBorder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 horizontal="right"/>
      <protection locked="0"/>
    </xf>
    <xf numFmtId="10" fontId="30" fillId="0" borderId="0" xfId="57" applyNumberFormat="1" applyFont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/>
      <protection locked="0"/>
    </xf>
    <xf numFmtId="9" fontId="30" fillId="0" borderId="0" xfId="0" applyNumberFormat="1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right"/>
      <protection locked="0"/>
    </xf>
    <xf numFmtId="169" fontId="31" fillId="0" borderId="0" xfId="0" applyNumberFormat="1" applyFont="1" applyFill="1" applyBorder="1" applyAlignment="1" applyProtection="1">
      <alignment horizontal="right"/>
      <protection locked="0"/>
    </xf>
    <xf numFmtId="7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 horizontal="center"/>
      <protection locked="0"/>
    </xf>
    <xf numFmtId="9" fontId="30" fillId="0" borderId="0" xfId="57" applyFont="1" applyFill="1" applyBorder="1" applyAlignment="1" applyProtection="1">
      <alignment/>
      <protection locked="0"/>
    </xf>
    <xf numFmtId="177" fontId="31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78" fontId="30" fillId="0" borderId="0" xfId="42" applyNumberFormat="1" applyFont="1" applyFill="1" applyBorder="1" applyAlignment="1" applyProtection="1">
      <alignment/>
      <protection locked="0"/>
    </xf>
    <xf numFmtId="178" fontId="31" fillId="0" borderId="0" xfId="42" applyNumberFormat="1" applyFont="1" applyFill="1" applyBorder="1" applyAlignment="1" applyProtection="1">
      <alignment/>
      <protection locked="0"/>
    </xf>
    <xf numFmtId="178" fontId="30" fillId="0" borderId="0" xfId="42" applyNumberFormat="1" applyFont="1" applyFill="1" applyBorder="1" applyAlignment="1" applyProtection="1">
      <alignment horizontal="right"/>
      <protection locked="0"/>
    </xf>
    <xf numFmtId="37" fontId="39" fillId="0" borderId="0" xfId="0" applyNumberFormat="1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44" applyNumberFormat="1" applyFont="1" applyFill="1" applyBorder="1" applyAlignment="1" applyProtection="1">
      <alignment/>
      <protection locked="0"/>
    </xf>
    <xf numFmtId="5" fontId="31" fillId="0" borderId="0" xfId="44" applyNumberFormat="1" applyFont="1" applyFill="1" applyBorder="1" applyAlignment="1" applyProtection="1">
      <alignment/>
      <protection locked="0"/>
    </xf>
    <xf numFmtId="5" fontId="30" fillId="0" borderId="0" xfId="44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 horizontal="left"/>
      <protection locked="0"/>
    </xf>
    <xf numFmtId="5" fontId="30" fillId="0" borderId="0" xfId="0" applyNumberFormat="1" applyFont="1" applyBorder="1" applyAlignment="1" applyProtection="1">
      <alignment/>
      <protection locked="0"/>
    </xf>
    <xf numFmtId="5" fontId="31" fillId="0" borderId="0" xfId="0" applyNumberFormat="1" applyFont="1" applyBorder="1" applyAlignment="1" applyProtection="1">
      <alignment/>
      <protection locked="0"/>
    </xf>
    <xf numFmtId="5" fontId="30" fillId="0" borderId="0" xfId="0" applyNumberFormat="1" applyFont="1" applyBorder="1" applyAlignment="1" applyProtection="1">
      <alignment horizontal="right"/>
      <protection locked="0"/>
    </xf>
    <xf numFmtId="7" fontId="30" fillId="0" borderId="0" xfId="57" applyNumberFormat="1" applyFont="1" applyFill="1" applyBorder="1" applyAlignment="1" applyProtection="1">
      <alignment/>
      <protection locked="0"/>
    </xf>
    <xf numFmtId="43" fontId="31" fillId="0" borderId="0" xfId="42" applyFont="1" applyFill="1" applyBorder="1" applyAlignment="1" applyProtection="1">
      <alignment horizontal="right"/>
      <protection locked="0"/>
    </xf>
    <xf numFmtId="2" fontId="30" fillId="0" borderId="0" xfId="0" applyNumberFormat="1" applyFont="1" applyAlignment="1" applyProtection="1">
      <alignment horizontal="right"/>
      <protection locked="0"/>
    </xf>
    <xf numFmtId="5" fontId="40" fillId="0" borderId="0" xfId="44" applyNumberFormat="1" applyFont="1" applyBorder="1" applyAlignment="1" applyProtection="1">
      <alignment/>
      <protection locked="0"/>
    </xf>
    <xf numFmtId="0" fontId="30" fillId="0" borderId="0" xfId="0" applyFont="1" applyBorder="1" applyAlignment="1" applyProtection="1" quotePrefix="1">
      <alignment horizontal="left"/>
      <protection locked="0"/>
    </xf>
    <xf numFmtId="0" fontId="38" fillId="0" borderId="0" xfId="0" applyFont="1" applyAlignment="1" applyProtection="1">
      <alignment horizontal="center"/>
      <protection locked="0"/>
    </xf>
    <xf numFmtId="37" fontId="37" fillId="0" borderId="0" xfId="0" applyNumberFormat="1" applyFont="1" applyFill="1" applyBorder="1" applyAlignment="1" applyProtection="1">
      <alignment/>
      <protection locked="0"/>
    </xf>
    <xf numFmtId="172" fontId="30" fillId="0" borderId="0" xfId="42" applyNumberFormat="1" applyFont="1" applyFill="1" applyBorder="1" applyAlignment="1" applyProtection="1">
      <alignment/>
      <protection locked="0"/>
    </xf>
    <xf numFmtId="179" fontId="31" fillId="0" borderId="0" xfId="42" applyNumberFormat="1" applyFont="1" applyFill="1" applyBorder="1" applyAlignment="1" applyProtection="1">
      <alignment/>
      <protection locked="0"/>
    </xf>
    <xf numFmtId="179" fontId="30" fillId="0" borderId="0" xfId="42" applyNumberFormat="1" applyFont="1" applyFill="1" applyBorder="1" applyAlignment="1" applyProtection="1">
      <alignment horizontal="right"/>
      <protection locked="0"/>
    </xf>
    <xf numFmtId="178" fontId="30" fillId="0" borderId="0" xfId="57" applyNumberFormat="1" applyFont="1" applyFill="1" applyBorder="1" applyAlignment="1" applyProtection="1">
      <alignment horizontal="right"/>
      <protection locked="0"/>
    </xf>
    <xf numFmtId="178" fontId="37" fillId="0" borderId="0" xfId="42" applyNumberFormat="1" applyFont="1" applyBorder="1" applyAlignment="1" applyProtection="1">
      <alignment/>
      <protection locked="0"/>
    </xf>
    <xf numFmtId="0" fontId="34" fillId="0" borderId="0" xfId="0" applyFont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 quotePrefix="1">
      <alignment horizontal="left"/>
      <protection locked="0"/>
    </xf>
    <xf numFmtId="5" fontId="37" fillId="0" borderId="0" xfId="0" applyNumberFormat="1" applyFont="1" applyFill="1" applyBorder="1" applyAlignment="1" applyProtection="1">
      <alignment horizontal="right"/>
      <protection locked="0"/>
    </xf>
    <xf numFmtId="180" fontId="30" fillId="0" borderId="0" xfId="42" applyNumberFormat="1" applyFont="1" applyFill="1" applyBorder="1" applyAlignment="1" applyProtection="1">
      <alignment horizontal="right"/>
      <protection locked="0"/>
    </xf>
    <xf numFmtId="181" fontId="31" fillId="0" borderId="0" xfId="42" applyNumberFormat="1" applyFont="1" applyFill="1" applyBorder="1" applyAlignment="1" applyProtection="1">
      <alignment horizontal="right"/>
      <protection locked="0"/>
    </xf>
    <xf numFmtId="181" fontId="30" fillId="0" borderId="0" xfId="42" applyNumberFormat="1" applyFont="1" applyFill="1" applyBorder="1" applyAlignment="1" applyProtection="1">
      <alignment horizontal="right"/>
      <protection locked="0"/>
    </xf>
    <xf numFmtId="0" fontId="41" fillId="0" borderId="0" xfId="0" applyNumberFormat="1" applyFont="1" applyFill="1" applyBorder="1" applyAlignment="1" applyProtection="1">
      <alignment/>
      <protection/>
    </xf>
    <xf numFmtId="5" fontId="38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Border="1" applyAlignment="1" applyProtection="1">
      <alignment/>
      <protection locked="0"/>
    </xf>
    <xf numFmtId="5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Border="1" applyAlignment="1">
      <alignment vertical="top"/>
    </xf>
    <xf numFmtId="0" fontId="38" fillId="0" borderId="0" xfId="0" applyFont="1" applyBorder="1" applyAlignment="1" applyProtection="1">
      <alignment horizontal="left"/>
      <protection locked="0"/>
    </xf>
    <xf numFmtId="9" fontId="30" fillId="0" borderId="0" xfId="57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center"/>
      <protection locked="0"/>
    </xf>
    <xf numFmtId="168" fontId="30" fillId="0" borderId="0" xfId="0" applyNumberFormat="1" applyFont="1" applyBorder="1" applyAlignment="1" applyProtection="1">
      <alignment horizontal="left"/>
      <protection locked="0"/>
    </xf>
    <xf numFmtId="10" fontId="30" fillId="0" borderId="0" xfId="0" applyNumberFormat="1" applyFont="1" applyBorder="1" applyAlignment="1">
      <alignment horizontal="center"/>
    </xf>
    <xf numFmtId="10" fontId="30" fillId="0" borderId="0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 horizontal="righ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locked="0"/>
    </xf>
    <xf numFmtId="5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left"/>
      <protection locked="0"/>
    </xf>
    <xf numFmtId="173" fontId="30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 horizontal="left"/>
      <protection locked="0"/>
    </xf>
    <xf numFmtId="168" fontId="30" fillId="0" borderId="0" xfId="42" applyNumberFormat="1" applyFont="1" applyBorder="1" applyAlignment="1" applyProtection="1">
      <alignment horizontal="left"/>
      <protection locked="0"/>
    </xf>
    <xf numFmtId="37" fontId="30" fillId="0" borderId="0" xfId="42" applyNumberFormat="1" applyFont="1" applyBorder="1" applyAlignment="1" applyProtection="1">
      <alignment/>
      <protection locked="0"/>
    </xf>
    <xf numFmtId="37" fontId="37" fillId="0" borderId="0" xfId="42" applyNumberFormat="1" applyFont="1" applyBorder="1" applyAlignment="1" applyProtection="1">
      <alignment/>
      <protection locked="0"/>
    </xf>
    <xf numFmtId="177" fontId="30" fillId="0" borderId="0" xfId="42" applyNumberFormat="1" applyFont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left"/>
      <protection locked="0"/>
    </xf>
    <xf numFmtId="168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57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centerContinuous"/>
      <protection locked="0"/>
    </xf>
    <xf numFmtId="0" fontId="24" fillId="0" borderId="0" xfId="0" applyFont="1" applyBorder="1" applyAlignment="1">
      <alignment horizontal="centerContinuous"/>
    </xf>
    <xf numFmtId="168" fontId="32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18" xfId="0" applyFont="1" applyBorder="1" applyAlignment="1">
      <alignment horizontal="left"/>
    </xf>
    <xf numFmtId="0" fontId="24" fillId="0" borderId="18" xfId="0" applyFont="1" applyBorder="1" applyAlignment="1" applyProtection="1">
      <alignment horizontal="center" wrapText="1"/>
      <protection locked="0"/>
    </xf>
    <xf numFmtId="0" fontId="32" fillId="0" borderId="18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 applyProtection="1">
      <alignment horizontal="center"/>
      <protection locked="0"/>
    </xf>
    <xf numFmtId="0" fontId="33" fillId="0" borderId="18" xfId="0" applyFont="1" applyBorder="1" applyAlignment="1">
      <alignment horizontal="left"/>
    </xf>
    <xf numFmtId="0" fontId="32" fillId="0" borderId="18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/>
    </xf>
    <xf numFmtId="0" fontId="28" fillId="0" borderId="8" xfId="0" applyFont="1" applyBorder="1" applyAlignment="1">
      <alignment horizontal="center" vertical="top"/>
    </xf>
    <xf numFmtId="0" fontId="26" fillId="0" borderId="8" xfId="0" applyFont="1" applyBorder="1" applyAlignment="1">
      <alignment/>
    </xf>
    <xf numFmtId="0" fontId="3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32" fillId="0" borderId="8" xfId="0" applyFont="1" applyBorder="1" applyAlignment="1">
      <alignment horizontal="center" vertical="top"/>
    </xf>
    <xf numFmtId="0" fontId="33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/>
      <protection locked="0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top"/>
    </xf>
    <xf numFmtId="6" fontId="0" fillId="0" borderId="8" xfId="0" applyNumberFormat="1" applyFont="1" applyBorder="1" applyAlignment="1">
      <alignment horizontal="right" vertical="top"/>
    </xf>
    <xf numFmtId="6" fontId="0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horizontal="right" vertical="top"/>
    </xf>
    <xf numFmtId="0" fontId="32" fillId="0" borderId="8" xfId="0" applyFont="1" applyBorder="1" applyAlignment="1">
      <alignment vertical="top" wrapText="1"/>
    </xf>
    <xf numFmtId="6" fontId="32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vertical="top"/>
    </xf>
    <xf numFmtId="0" fontId="30" fillId="0" borderId="8" xfId="0" applyFont="1" applyBorder="1" applyAlignment="1" applyProtection="1">
      <alignment horizontal="left"/>
      <protection locked="0"/>
    </xf>
    <xf numFmtId="0" fontId="30" fillId="0" borderId="8" xfId="0" applyFont="1" applyBorder="1" applyAlignment="1" applyProtection="1">
      <alignment/>
      <protection locked="0"/>
    </xf>
    <xf numFmtId="0" fontId="33" fillId="0" borderId="8" xfId="0" applyFont="1" applyBorder="1" applyAlignment="1" applyProtection="1">
      <alignment/>
      <protection locked="0"/>
    </xf>
    <xf numFmtId="0" fontId="33" fillId="0" borderId="8" xfId="0" applyFont="1" applyBorder="1" applyAlignment="1">
      <alignment/>
    </xf>
    <xf numFmtId="10" fontId="0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>
      <alignment vertical="top"/>
    </xf>
    <xf numFmtId="10" fontId="32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/>
      <protection locked="0"/>
    </xf>
    <xf numFmtId="176" fontId="0" fillId="0" borderId="8" xfId="57" applyNumberFormat="1" applyFont="1" applyBorder="1" applyAlignment="1">
      <alignment vertical="top"/>
    </xf>
    <xf numFmtId="0" fontId="28" fillId="0" borderId="8" xfId="0" applyFont="1" applyBorder="1" applyAlignment="1" applyProtection="1">
      <alignment horizontal="center"/>
      <protection locked="0"/>
    </xf>
    <xf numFmtId="3" fontId="0" fillId="0" borderId="8" xfId="0" applyNumberFormat="1" applyFont="1" applyBorder="1" applyAlignment="1">
      <alignment horizontal="right" vertical="top"/>
    </xf>
    <xf numFmtId="178" fontId="0" fillId="0" borderId="8" xfId="42" applyNumberFormat="1" applyFont="1" applyBorder="1" applyAlignment="1">
      <alignment vertical="top"/>
    </xf>
    <xf numFmtId="3" fontId="32" fillId="0" borderId="8" xfId="0" applyNumberFormat="1" applyFont="1" applyBorder="1" applyAlignment="1">
      <alignment vertical="top"/>
    </xf>
    <xf numFmtId="178" fontId="32" fillId="0" borderId="8" xfId="42" applyNumberFormat="1" applyFont="1" applyBorder="1" applyAlignment="1">
      <alignment vertical="top"/>
    </xf>
    <xf numFmtId="3" fontId="0" fillId="0" borderId="8" xfId="0" applyNumberFormat="1" applyFont="1" applyBorder="1" applyAlignment="1">
      <alignment vertical="top"/>
    </xf>
    <xf numFmtId="3" fontId="0" fillId="0" borderId="8" xfId="0" applyNumberFormat="1" applyFont="1" applyFill="1" applyBorder="1" applyAlignment="1">
      <alignment vertical="top"/>
    </xf>
    <xf numFmtId="170" fontId="0" fillId="0" borderId="8" xfId="0" applyNumberFormat="1" applyFont="1" applyBorder="1" applyAlignment="1">
      <alignment vertical="top"/>
    </xf>
    <xf numFmtId="175" fontId="0" fillId="0" borderId="8" xfId="42" applyNumberFormat="1" applyFont="1" applyBorder="1" applyAlignment="1">
      <alignment vertical="top"/>
    </xf>
    <xf numFmtId="170" fontId="32" fillId="0" borderId="8" xfId="0" applyNumberFormat="1" applyFont="1" applyBorder="1" applyAlignment="1">
      <alignment vertical="top"/>
    </xf>
    <xf numFmtId="175" fontId="32" fillId="0" borderId="8" xfId="42" applyNumberFormat="1" applyFont="1" applyBorder="1" applyAlignment="1">
      <alignment vertical="top"/>
    </xf>
    <xf numFmtId="175" fontId="0" fillId="0" borderId="8" xfId="0" applyNumberFormat="1" applyFont="1" applyBorder="1" applyAlignment="1">
      <alignment vertical="top"/>
    </xf>
    <xf numFmtId="185" fontId="0" fillId="0" borderId="8" xfId="0" applyNumberFormat="1" applyFont="1" applyBorder="1" applyAlignment="1">
      <alignment horizontal="right" vertical="top"/>
    </xf>
    <xf numFmtId="172" fontId="0" fillId="0" borderId="8" xfId="42" applyNumberFormat="1" applyFont="1" applyBorder="1" applyAlignment="1">
      <alignment vertical="top"/>
    </xf>
    <xf numFmtId="185" fontId="32" fillId="0" borderId="8" xfId="0" applyNumberFormat="1" applyFont="1" applyBorder="1" applyAlignment="1">
      <alignment horizontal="right" vertical="top"/>
    </xf>
    <xf numFmtId="172" fontId="32" fillId="0" borderId="8" xfId="42" applyNumberFormat="1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6" fontId="0" fillId="0" borderId="8" xfId="0" applyNumberFormat="1" applyFont="1" applyBorder="1" applyAlignment="1" applyProtection="1">
      <alignment/>
      <protection locked="0"/>
    </xf>
    <xf numFmtId="10" fontId="0" fillId="0" borderId="8" xfId="57" applyNumberFormat="1" applyFont="1" applyBorder="1" applyAlignment="1" applyProtection="1">
      <alignment/>
      <protection locked="0"/>
    </xf>
    <xf numFmtId="0" fontId="42" fillId="0" borderId="8" xfId="0" applyFont="1" applyFill="1" applyBorder="1" applyAlignment="1">
      <alignment vertical="top" wrapText="1"/>
    </xf>
    <xf numFmtId="6" fontId="0" fillId="0" borderId="8" xfId="0" applyNumberFormat="1" applyFont="1" applyFill="1" applyBorder="1" applyAlignment="1" applyProtection="1">
      <alignment/>
      <protection locked="0"/>
    </xf>
    <xf numFmtId="0" fontId="26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 horizontal="left"/>
      <protection locked="0"/>
    </xf>
    <xf numFmtId="0" fontId="32" fillId="0" borderId="8" xfId="0" applyFont="1" applyBorder="1" applyAlignment="1" applyProtection="1">
      <alignment horizontal="left"/>
      <protection locked="0"/>
    </xf>
    <xf numFmtId="174" fontId="0" fillId="0" borderId="8" xfId="42" applyNumberFormat="1" applyFont="1" applyBorder="1" applyAlignment="1" applyProtection="1">
      <alignment/>
      <protection locked="0"/>
    </xf>
    <xf numFmtId="174" fontId="0" fillId="0" borderId="8" xfId="0" applyNumberFormat="1" applyFont="1" applyBorder="1" applyAlignment="1" applyProtection="1">
      <alignment/>
      <protection locked="0"/>
    </xf>
    <xf numFmtId="174" fontId="32" fillId="0" borderId="8" xfId="42" applyNumberFormat="1" applyFont="1" applyBorder="1" applyAlignment="1" applyProtection="1">
      <alignment/>
      <protection locked="0"/>
    </xf>
    <xf numFmtId="174" fontId="32" fillId="0" borderId="8" xfId="0" applyNumberFormat="1" applyFont="1" applyBorder="1" applyAlignment="1" applyProtection="1">
      <alignment/>
      <protection locked="0"/>
    </xf>
    <xf numFmtId="186" fontId="0" fillId="0" borderId="8" xfId="0" applyNumberFormat="1" applyFont="1" applyBorder="1" applyAlignment="1" applyProtection="1">
      <alignment/>
      <protection locked="0"/>
    </xf>
    <xf numFmtId="186" fontId="32" fillId="0" borderId="8" xfId="0" applyNumberFormat="1" applyFont="1" applyBorder="1" applyAlignment="1" applyProtection="1">
      <alignment/>
      <protection locked="0"/>
    </xf>
    <xf numFmtId="187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/>
      <protection locked="0"/>
    </xf>
    <xf numFmtId="8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 horizontal="right"/>
      <protection locked="0"/>
    </xf>
    <xf numFmtId="8" fontId="32" fillId="0" borderId="8" xfId="0" applyNumberFormat="1" applyFont="1" applyBorder="1" applyAlignment="1" applyProtection="1">
      <alignment horizontal="right"/>
      <protection locked="0"/>
    </xf>
    <xf numFmtId="6" fontId="32" fillId="0" borderId="8" xfId="0" applyNumberFormat="1" applyFont="1" applyBorder="1" applyAlignment="1" applyProtection="1">
      <alignment/>
      <protection locked="0"/>
    </xf>
    <xf numFmtId="6" fontId="44" fillId="0" borderId="8" xfId="0" applyNumberFormat="1" applyFont="1" applyBorder="1" applyAlignment="1" applyProtection="1">
      <alignment/>
      <protection locked="0"/>
    </xf>
    <xf numFmtId="188" fontId="0" fillId="0" borderId="8" xfId="42" applyNumberFormat="1" applyFont="1" applyBorder="1" applyAlignment="1" applyProtection="1">
      <alignment/>
      <protection locked="0"/>
    </xf>
    <xf numFmtId="189" fontId="0" fillId="0" borderId="8" xfId="0" applyNumberFormat="1" applyFont="1" applyBorder="1" applyAlignment="1" applyProtection="1">
      <alignment/>
      <protection locked="0"/>
    </xf>
    <xf numFmtId="6" fontId="0" fillId="0" borderId="23" xfId="0" applyNumberFormat="1" applyFont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0" fillId="0" borderId="8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vertical="top"/>
    </xf>
    <xf numFmtId="6" fontId="44" fillId="0" borderId="8" xfId="0" applyNumberFormat="1" applyFont="1" applyFill="1" applyBorder="1" applyAlignment="1" applyProtection="1">
      <alignment/>
      <protection locked="0"/>
    </xf>
    <xf numFmtId="0" fontId="24" fillId="0" borderId="8" xfId="0" applyFont="1" applyBorder="1" applyAlignment="1">
      <alignment vertical="top"/>
    </xf>
    <xf numFmtId="10" fontId="0" fillId="0" borderId="8" xfId="0" applyNumberFormat="1" applyFont="1" applyBorder="1" applyAlignment="1" applyProtection="1">
      <alignment/>
      <protection locked="0"/>
    </xf>
    <xf numFmtId="10" fontId="32" fillId="0" borderId="8" xfId="57" applyNumberFormat="1" applyFont="1" applyBorder="1" applyAlignment="1" applyProtection="1">
      <alignment/>
      <protection locked="0"/>
    </xf>
    <xf numFmtId="10" fontId="32" fillId="0" borderId="8" xfId="0" applyNumberFormat="1" applyFont="1" applyBorder="1" applyAlignment="1" applyProtection="1">
      <alignment/>
      <protection locked="0"/>
    </xf>
    <xf numFmtId="0" fontId="24" fillId="0" borderId="8" xfId="0" applyFont="1" applyBorder="1" applyAlignment="1">
      <alignment/>
    </xf>
    <xf numFmtId="6" fontId="0" fillId="0" borderId="8" xfId="0" applyNumberFormat="1" applyFont="1" applyFill="1" applyBorder="1" applyAlignment="1">
      <alignment horizontal="right" vertical="top"/>
    </xf>
    <xf numFmtId="6" fontId="0" fillId="0" borderId="8" xfId="0" applyNumberFormat="1" applyFont="1" applyFill="1" applyBorder="1" applyAlignment="1">
      <alignment vertical="top"/>
    </xf>
    <xf numFmtId="6" fontId="32" fillId="0" borderId="8" xfId="0" applyNumberFormat="1" applyFont="1" applyFill="1" applyBorder="1" applyAlignment="1">
      <alignment vertical="top"/>
    </xf>
    <xf numFmtId="6" fontId="32" fillId="0" borderId="8" xfId="0" applyNumberFormat="1" applyFont="1" applyBorder="1" applyAlignment="1">
      <alignment horizontal="right" vertical="top"/>
    </xf>
    <xf numFmtId="6" fontId="32" fillId="0" borderId="8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 applyProtection="1">
      <alignment horizontal="left"/>
      <protection locked="0"/>
    </xf>
    <xf numFmtId="6" fontId="0" fillId="0" borderId="0" xfId="0" applyNumberFormat="1" applyFont="1" applyAlignment="1" applyProtection="1">
      <alignment vertical="top"/>
      <protection locked="0"/>
    </xf>
    <xf numFmtId="6" fontId="30" fillId="0" borderId="0" xfId="0" applyNumberFormat="1" applyFont="1" applyAlignment="1" applyProtection="1">
      <alignment horizontal="center"/>
      <protection locked="0"/>
    </xf>
    <xf numFmtId="168" fontId="24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left"/>
      <protection locked="0"/>
    </xf>
    <xf numFmtId="6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24" fillId="0" borderId="18" xfId="0" applyFont="1" applyBorder="1" applyAlignment="1">
      <alignment horizontal="centerContinuous"/>
    </xf>
    <xf numFmtId="0" fontId="0" fillId="0" borderId="0" xfId="0" applyFont="1" applyAlignment="1">
      <alignment vertical="top"/>
    </xf>
    <xf numFmtId="6" fontId="0" fillId="0" borderId="0" xfId="0" applyNumberFormat="1" applyFont="1" applyAlignment="1">
      <alignment horizontal="right" vertical="top"/>
    </xf>
    <xf numFmtId="0" fontId="32" fillId="0" borderId="0" xfId="0" applyFont="1" applyAlignment="1">
      <alignment vertical="top"/>
    </xf>
    <xf numFmtId="3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top"/>
    </xf>
    <xf numFmtId="3" fontId="32" fillId="0" borderId="8" xfId="0" applyNumberFormat="1" applyFont="1" applyBorder="1" applyAlignment="1">
      <alignment horizontal="right" vertical="top"/>
    </xf>
    <xf numFmtId="10" fontId="0" fillId="0" borderId="8" xfId="0" applyNumberFormat="1" applyFont="1" applyBorder="1" applyAlignment="1">
      <alignment horizontal="right" vertical="top"/>
    </xf>
    <xf numFmtId="190" fontId="0" fillId="0" borderId="8" xfId="0" applyNumberFormat="1" applyFont="1" applyBorder="1" applyAlignment="1" applyProtection="1">
      <alignment/>
      <protection locked="0"/>
    </xf>
    <xf numFmtId="6" fontId="0" fillId="0" borderId="28" xfId="0" applyNumberFormat="1" applyFont="1" applyBorder="1" applyAlignment="1">
      <alignment horizontal="right" vertical="top"/>
    </xf>
    <xf numFmtId="6" fontId="0" fillId="0" borderId="28" xfId="0" applyNumberFormat="1" applyFont="1" applyBorder="1" applyAlignment="1">
      <alignment vertical="top"/>
    </xf>
    <xf numFmtId="6" fontId="32" fillId="0" borderId="28" xfId="0" applyNumberFormat="1" applyFont="1" applyBorder="1" applyAlignment="1">
      <alignment horizontal="right" vertical="top"/>
    </xf>
    <xf numFmtId="0" fontId="25" fillId="0" borderId="7" xfId="0" applyFont="1" applyBorder="1" applyAlignment="1">
      <alignment/>
    </xf>
    <xf numFmtId="37" fontId="24" fillId="0" borderId="7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7" xfId="0" applyFont="1" applyBorder="1" applyAlignment="1">
      <alignment/>
    </xf>
    <xf numFmtId="0" fontId="26" fillId="0" borderId="7" xfId="0" applyFont="1" applyBorder="1" applyAlignment="1">
      <alignment horizontal="center"/>
    </xf>
    <xf numFmtId="178" fontId="32" fillId="0" borderId="0" xfId="42" applyNumberFormat="1" applyFont="1" applyBorder="1" applyAlignment="1">
      <alignment horizontal="center"/>
    </xf>
    <xf numFmtId="43" fontId="25" fillId="0" borderId="7" xfId="42" applyFont="1" applyBorder="1" applyAlignment="1" applyProtection="1">
      <alignment horizontal="left"/>
      <protection locked="0"/>
    </xf>
    <xf numFmtId="5" fontId="0" fillId="0" borderId="0" xfId="44" applyNumberFormat="1" applyFont="1" applyBorder="1" applyAlignment="1" applyProtection="1">
      <alignment/>
      <protection locked="0"/>
    </xf>
    <xf numFmtId="37" fontId="0" fillId="0" borderId="0" xfId="44" applyNumberFormat="1" applyFont="1" applyBorder="1" applyAlignment="1" applyProtection="1">
      <alignment/>
      <protection locked="0"/>
    </xf>
    <xf numFmtId="3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 horizontal="left" wrapText="1"/>
    </xf>
    <xf numFmtId="43" fontId="24" fillId="0" borderId="7" xfId="42" applyFont="1" applyFill="1" applyBorder="1" applyAlignment="1" applyProtection="1">
      <alignment wrapText="1"/>
      <protection locked="0"/>
    </xf>
    <xf numFmtId="43" fontId="25" fillId="0" borderId="7" xfId="42" applyFont="1" applyFill="1" applyBorder="1" applyAlignment="1" applyProtection="1">
      <alignment wrapText="1"/>
      <protection locked="0"/>
    </xf>
    <xf numFmtId="43" fontId="24" fillId="0" borderId="0" xfId="42" applyFont="1" applyFill="1" applyBorder="1" applyAlignment="1" applyProtection="1">
      <alignment wrapText="1"/>
      <protection locked="0"/>
    </xf>
    <xf numFmtId="43" fontId="24" fillId="0" borderId="7" xfId="42" applyFont="1" applyFill="1" applyBorder="1" applyAlignment="1" applyProtection="1">
      <alignment horizontal="left" wrapText="1"/>
      <protection locked="0"/>
    </xf>
    <xf numFmtId="0" fontId="25" fillId="0" borderId="7" xfId="0" applyFont="1" applyBorder="1" applyAlignment="1">
      <alignment/>
    </xf>
    <xf numFmtId="43" fontId="24" fillId="0" borderId="7" xfId="42" applyFont="1" applyBorder="1" applyAlignment="1" applyProtection="1">
      <alignment horizontal="left"/>
      <protection locked="0"/>
    </xf>
    <xf numFmtId="37" fontId="43" fillId="0" borderId="7" xfId="0" applyNumberFormat="1" applyFont="1" applyBorder="1" applyAlignment="1">
      <alignment horizontal="right"/>
    </xf>
    <xf numFmtId="9" fontId="43" fillId="0" borderId="7" xfId="0" applyNumberFormat="1" applyFont="1" applyBorder="1" applyAlignment="1">
      <alignment horizontal="right"/>
    </xf>
    <xf numFmtId="0" fontId="45" fillId="0" borderId="7" xfId="0" applyFont="1" applyBorder="1" applyAlignment="1">
      <alignment horizontal="center"/>
    </xf>
    <xf numFmtId="9" fontId="30" fillId="0" borderId="0" xfId="57" applyFont="1" applyBorder="1" applyAlignment="1">
      <alignment horizontal="center"/>
    </xf>
    <xf numFmtId="176" fontId="24" fillId="0" borderId="7" xfId="0" applyNumberFormat="1" applyFont="1" applyBorder="1" applyAlignment="1">
      <alignment horizontal="right"/>
    </xf>
    <xf numFmtId="5" fontId="0" fillId="0" borderId="0" xfId="0" applyNumberFormat="1" applyBorder="1" applyAlignment="1">
      <alignment/>
    </xf>
    <xf numFmtId="9" fontId="0" fillId="0" borderId="0" xfId="57" applyBorder="1" applyAlignment="1">
      <alignment/>
    </xf>
    <xf numFmtId="0" fontId="0" fillId="0" borderId="0" xfId="0" applyBorder="1" applyAlignment="1">
      <alignment horizontal="right"/>
    </xf>
    <xf numFmtId="10" fontId="24" fillId="0" borderId="7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 quotePrefix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 wrapText="1"/>
    </xf>
    <xf numFmtId="0" fontId="46" fillId="0" borderId="0" xfId="0" applyFont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34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 wrapText="1"/>
    </xf>
    <xf numFmtId="6" fontId="47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3" fontId="47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 wrapText="1"/>
    </xf>
    <xf numFmtId="191" fontId="47" fillId="0" borderId="0" xfId="0" applyNumberFormat="1" applyFont="1" applyBorder="1" applyAlignment="1">
      <alignment horizontal="right" wrapText="1"/>
    </xf>
    <xf numFmtId="172" fontId="47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47" fillId="0" borderId="0" xfId="0" applyNumberFormat="1" applyFont="1" applyBorder="1" applyAlignment="1">
      <alignment horizontal="right"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169" fontId="46" fillId="0" borderId="0" xfId="0" applyNumberFormat="1" applyFont="1" applyBorder="1" applyAlignment="1">
      <alignment horizontal="right" wrapText="1"/>
    </xf>
    <xf numFmtId="9" fontId="47" fillId="0" borderId="0" xfId="57" applyFont="1" applyBorder="1" applyAlignment="1">
      <alignment/>
    </xf>
    <xf numFmtId="6" fontId="46" fillId="0" borderId="0" xfId="0" applyNumberFormat="1" applyFont="1" applyBorder="1" applyAlignment="1">
      <alignment horizontal="right" wrapText="1"/>
    </xf>
    <xf numFmtId="9" fontId="46" fillId="0" borderId="0" xfId="57" applyFont="1" applyBorder="1" applyAlignment="1">
      <alignment/>
    </xf>
    <xf numFmtId="192" fontId="46" fillId="0" borderId="0" xfId="0" applyNumberFormat="1" applyFont="1" applyBorder="1" applyAlignment="1">
      <alignment horizontal="right" wrapText="1"/>
    </xf>
    <xf numFmtId="192" fontId="47" fillId="0" borderId="0" xfId="0" applyNumberFormat="1" applyFont="1" applyBorder="1" applyAlignment="1">
      <alignment horizontal="right" wrapText="1"/>
    </xf>
    <xf numFmtId="169" fontId="47" fillId="0" borderId="0" xfId="44" applyNumberFormat="1" applyFont="1" applyBorder="1" applyAlignment="1">
      <alignment horizontal="right" wrapText="1"/>
    </xf>
    <xf numFmtId="6" fontId="20" fillId="0" borderId="0" xfId="0" applyNumberFormat="1" applyFont="1" applyBorder="1" applyAlignment="1">
      <alignment horizontal="right" wrapText="1"/>
    </xf>
    <xf numFmtId="0" fontId="23" fillId="0" borderId="0" xfId="0" applyFont="1" applyBorder="1" applyAlignment="1">
      <alignment horizontal="center"/>
    </xf>
    <xf numFmtId="168" fontId="23" fillId="20" borderId="35" xfId="0" applyNumberFormat="1" applyFont="1" applyFill="1" applyBorder="1" applyAlignment="1">
      <alignment horizontal="center" wrapText="1"/>
    </xf>
    <xf numFmtId="168" fontId="18" fillId="0" borderId="34" xfId="0" applyNumberFormat="1" applyFont="1" applyBorder="1" applyAlignment="1">
      <alignment horizontal="center"/>
    </xf>
    <xf numFmtId="168" fontId="18" fillId="0" borderId="18" xfId="0" applyNumberFormat="1" applyFont="1" applyBorder="1" applyAlignment="1">
      <alignment horizontal="center"/>
    </xf>
    <xf numFmtId="168" fontId="19" fillId="0" borderId="34" xfId="0" applyNumberFormat="1" applyFont="1" applyBorder="1" applyAlignment="1">
      <alignment horizontal="left"/>
    </xf>
    <xf numFmtId="168" fontId="19" fillId="0" borderId="18" xfId="0" applyNumberFormat="1" applyFont="1" applyBorder="1" applyAlignment="1">
      <alignment horizontal="left"/>
    </xf>
    <xf numFmtId="5" fontId="20" fillId="0" borderId="36" xfId="0" applyNumberFormat="1" applyFont="1" applyBorder="1" applyAlignment="1">
      <alignment horizontal="center"/>
    </xf>
    <xf numFmtId="5" fontId="20" fillId="0" borderId="37" xfId="0" applyNumberFormat="1" applyFont="1" applyBorder="1" applyAlignment="1">
      <alignment horizontal="center"/>
    </xf>
    <xf numFmtId="5" fontId="20" fillId="0" borderId="38" xfId="0" applyNumberFormat="1" applyFont="1" applyBorder="1" applyAlignment="1">
      <alignment horizontal="center"/>
    </xf>
    <xf numFmtId="5" fontId="20" fillId="0" borderId="30" xfId="0" applyNumberFormat="1" applyFont="1" applyBorder="1" applyAlignment="1">
      <alignment horizontal="center"/>
    </xf>
    <xf numFmtId="5" fontId="20" fillId="0" borderId="31" xfId="0" applyNumberFormat="1" applyFont="1" applyBorder="1" applyAlignment="1">
      <alignment horizontal="center"/>
    </xf>
    <xf numFmtId="5" fontId="20" fillId="0" borderId="29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8" fontId="18" fillId="20" borderId="30" xfId="0" applyNumberFormat="1" applyFont="1" applyFill="1" applyBorder="1" applyAlignment="1">
      <alignment/>
    </xf>
    <xf numFmtId="168" fontId="18" fillId="20" borderId="31" xfId="0" applyNumberFormat="1" applyFont="1" applyFill="1" applyBorder="1" applyAlignment="1">
      <alignment/>
    </xf>
    <xf numFmtId="168" fontId="18" fillId="20" borderId="29" xfId="0" applyNumberFormat="1" applyFont="1" applyFill="1" applyBorder="1" applyAlignment="1">
      <alignment/>
    </xf>
    <xf numFmtId="0" fontId="21" fillId="0" borderId="34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34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168" fontId="23" fillId="0" borderId="36" xfId="0" applyNumberFormat="1" applyFont="1" applyBorder="1" applyAlignment="1">
      <alignment horizontal="center" wrapText="1"/>
    </xf>
    <xf numFmtId="168" fontId="23" fillId="0" borderId="37" xfId="0" applyNumberFormat="1" applyFont="1" applyBorder="1" applyAlignment="1">
      <alignment horizontal="center" wrapText="1"/>
    </xf>
    <xf numFmtId="168" fontId="23" fillId="0" borderId="38" xfId="0" applyNumberFormat="1" applyFont="1" applyBorder="1" applyAlignment="1">
      <alignment horizontal="center" wrapText="1"/>
    </xf>
    <xf numFmtId="168" fontId="23" fillId="0" borderId="30" xfId="0" applyNumberFormat="1" applyFont="1" applyBorder="1" applyAlignment="1">
      <alignment horizontal="center" wrapText="1"/>
    </xf>
    <xf numFmtId="168" fontId="23" fillId="0" borderId="31" xfId="0" applyNumberFormat="1" applyFont="1" applyBorder="1" applyAlignment="1">
      <alignment horizontal="center" wrapText="1"/>
    </xf>
    <xf numFmtId="168" fontId="23" fillId="0" borderId="29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168" fontId="23" fillId="20" borderId="39" xfId="0" applyNumberFormat="1" applyFont="1" applyFill="1" applyBorder="1" applyAlignment="1">
      <alignment horizontal="center" wrapText="1"/>
    </xf>
    <xf numFmtId="168" fontId="23" fillId="20" borderId="40" xfId="0" applyNumberFormat="1" applyFont="1" applyFill="1" applyBorder="1" applyAlignment="1">
      <alignment horizontal="center" wrapText="1"/>
    </xf>
    <xf numFmtId="0" fontId="21" fillId="0" borderId="23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18" xfId="0" applyFont="1" applyBorder="1" applyAlignment="1">
      <alignment/>
    </xf>
    <xf numFmtId="168" fontId="23" fillId="0" borderId="28" xfId="0" applyNumberFormat="1" applyFont="1" applyBorder="1" applyAlignment="1">
      <alignment horizontal="center" wrapText="1"/>
    </xf>
    <xf numFmtId="168" fontId="23" fillId="0" borderId="0" xfId="0" applyNumberFormat="1" applyFont="1" applyBorder="1" applyAlignment="1">
      <alignment horizontal="center" wrapText="1"/>
    </xf>
    <xf numFmtId="168" fontId="23" fillId="0" borderId="41" xfId="0" applyNumberFormat="1" applyFont="1" applyBorder="1" applyAlignment="1">
      <alignment horizontal="center" wrapText="1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8" fontId="24" fillId="0" borderId="33" xfId="0" applyNumberFormat="1" applyFont="1" applyBorder="1" applyAlignment="1">
      <alignment/>
    </xf>
    <xf numFmtId="168" fontId="24" fillId="0" borderId="43" xfId="0" applyNumberFormat="1" applyFont="1" applyBorder="1" applyAlignment="1">
      <alignment/>
    </xf>
    <xf numFmtId="168" fontId="24" fillId="0" borderId="44" xfId="0" applyNumberFormat="1" applyFont="1" applyBorder="1" applyAlignment="1">
      <alignment/>
    </xf>
    <xf numFmtId="0" fontId="24" fillId="0" borderId="33" xfId="0" applyFont="1" applyBorder="1" applyAlignment="1" applyProtection="1">
      <alignment horizontal="center"/>
      <protection locked="0"/>
    </xf>
    <xf numFmtId="0" fontId="24" fillId="0" borderId="43" xfId="0" applyFont="1" applyBorder="1" applyAlignment="1" applyProtection="1">
      <alignment horizontal="center"/>
      <protection locked="0"/>
    </xf>
    <xf numFmtId="0" fontId="24" fillId="0" borderId="44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4" fillId="0" borderId="42" xfId="0" applyFont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24" xfId="0" applyFont="1" applyBorder="1" applyAlignment="1">
      <alignment horizontal="left" wrapText="1"/>
    </xf>
    <xf numFmtId="0" fontId="24" fillId="0" borderId="42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5.7109375" style="1" customWidth="1"/>
    <col min="2" max="2" width="64.140625" style="1" customWidth="1"/>
    <col min="3" max="4" width="16.140625" style="1" bestFit="1" customWidth="1"/>
    <col min="5" max="5" width="16.28125" style="2" customWidth="1"/>
    <col min="6" max="6" width="16.140625" style="2" customWidth="1"/>
    <col min="7" max="7" width="11.57421875" style="1" customWidth="1"/>
    <col min="8" max="16384" width="9.140625" style="1" customWidth="1"/>
  </cols>
  <sheetData>
    <row r="1" spans="1:6" ht="24" customHeight="1">
      <c r="A1" s="3"/>
      <c r="B1" s="3" t="s">
        <v>158</v>
      </c>
      <c r="C1" s="3"/>
      <c r="D1" s="3"/>
      <c r="E1" s="4"/>
      <c r="F1" s="5"/>
    </row>
    <row r="2" spans="1:6" ht="24" customHeight="1">
      <c r="A2" s="3"/>
      <c r="B2" s="3" t="s">
        <v>159</v>
      </c>
      <c r="C2" s="3"/>
      <c r="D2" s="3"/>
      <c r="E2" s="4"/>
      <c r="F2" s="5"/>
    </row>
    <row r="3" spans="1:6" ht="24" customHeight="1">
      <c r="A3" s="3"/>
      <c r="B3" s="3" t="s">
        <v>160</v>
      </c>
      <c r="C3" s="3"/>
      <c r="D3" s="3"/>
      <c r="E3" s="4"/>
      <c r="F3" s="5"/>
    </row>
    <row r="4" spans="1:6" ht="24" customHeight="1">
      <c r="A4" s="3"/>
      <c r="B4" s="3" t="s">
        <v>161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162</v>
      </c>
      <c r="D7" s="10" t="s">
        <v>163</v>
      </c>
      <c r="E7" s="11" t="s">
        <v>164</v>
      </c>
      <c r="F7" s="11" t="s">
        <v>165</v>
      </c>
      <c r="H7" s="12"/>
    </row>
    <row r="8" spans="1:6" s="6" customFormat="1" ht="15.75" customHeight="1">
      <c r="A8" s="13" t="s">
        <v>166</v>
      </c>
      <c r="B8" s="13" t="s">
        <v>167</v>
      </c>
      <c r="C8" s="14" t="s">
        <v>168</v>
      </c>
      <c r="D8" s="14" t="s">
        <v>168</v>
      </c>
      <c r="E8" s="15" t="s">
        <v>169</v>
      </c>
      <c r="F8" s="15" t="s">
        <v>169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170</v>
      </c>
      <c r="B10" s="16" t="s">
        <v>171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172</v>
      </c>
      <c r="B12" s="16" t="s">
        <v>173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174</v>
      </c>
      <c r="C13" s="23">
        <v>43912798</v>
      </c>
      <c r="D13" s="23">
        <v>41146505</v>
      </c>
      <c r="E13" s="23">
        <f aca="true" t="shared" si="0" ref="E13:E22">D13-C13</f>
        <v>-2766293</v>
      </c>
      <c r="F13" s="24">
        <f aca="true" t="shared" si="1" ref="F13:F22">IF(C13=0,0,E13/C13)</f>
        <v>-0.06299514323819676</v>
      </c>
    </row>
    <row r="14" spans="1:6" ht="24" customHeight="1">
      <c r="A14" s="21">
        <v>2</v>
      </c>
      <c r="B14" s="22" t="s">
        <v>175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6" ht="35.25" customHeight="1">
      <c r="A15" s="21">
        <v>3</v>
      </c>
      <c r="B15" s="22" t="s">
        <v>176</v>
      </c>
      <c r="C15" s="23">
        <v>18867122</v>
      </c>
      <c r="D15" s="23">
        <v>19523079</v>
      </c>
      <c r="E15" s="23">
        <f t="shared" si="0"/>
        <v>655957</v>
      </c>
      <c r="F15" s="24">
        <f t="shared" si="1"/>
        <v>0.034767199788075784</v>
      </c>
    </row>
    <row r="16" spans="1:6" ht="24" customHeight="1">
      <c r="A16" s="21">
        <v>4</v>
      </c>
      <c r="B16" s="22" t="s">
        <v>177</v>
      </c>
      <c r="C16" s="23">
        <v>1168505</v>
      </c>
      <c r="D16" s="23">
        <v>1168505</v>
      </c>
      <c r="E16" s="23">
        <f t="shared" si="0"/>
        <v>0</v>
      </c>
      <c r="F16" s="24">
        <f t="shared" si="1"/>
        <v>0</v>
      </c>
    </row>
    <row r="17" spans="1:6" ht="24" customHeight="1">
      <c r="A17" s="21">
        <v>5</v>
      </c>
      <c r="B17" s="22" t="s">
        <v>178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6" ht="24" customHeight="1">
      <c r="A18" s="21">
        <v>6</v>
      </c>
      <c r="B18" s="22" t="s">
        <v>179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6" ht="24" customHeight="1">
      <c r="A19" s="21">
        <v>7</v>
      </c>
      <c r="B19" s="22" t="s">
        <v>180</v>
      </c>
      <c r="C19" s="23">
        <v>1334511</v>
      </c>
      <c r="D19" s="23">
        <v>1420160</v>
      </c>
      <c r="E19" s="23">
        <f t="shared" si="0"/>
        <v>85649</v>
      </c>
      <c r="F19" s="24">
        <f t="shared" si="1"/>
        <v>0.06418006295939112</v>
      </c>
    </row>
    <row r="20" spans="1:6" ht="24" customHeight="1">
      <c r="A20" s="21">
        <v>8</v>
      </c>
      <c r="B20" s="22" t="s">
        <v>181</v>
      </c>
      <c r="C20" s="23">
        <v>844480</v>
      </c>
      <c r="D20" s="23">
        <v>1064220</v>
      </c>
      <c r="E20" s="23">
        <f t="shared" si="0"/>
        <v>219740</v>
      </c>
      <c r="F20" s="24">
        <f t="shared" si="1"/>
        <v>0.2602074649488443</v>
      </c>
    </row>
    <row r="21" spans="1:6" ht="24" customHeight="1">
      <c r="A21" s="21">
        <v>9</v>
      </c>
      <c r="B21" s="22" t="s">
        <v>182</v>
      </c>
      <c r="C21" s="23">
        <v>722514</v>
      </c>
      <c r="D21" s="23">
        <v>1198551</v>
      </c>
      <c r="E21" s="23">
        <f t="shared" si="0"/>
        <v>476037</v>
      </c>
      <c r="F21" s="24">
        <f t="shared" si="1"/>
        <v>0.6588619736088159</v>
      </c>
    </row>
    <row r="22" spans="1:6" ht="24" customHeight="1">
      <c r="A22" s="25"/>
      <c r="B22" s="26" t="s">
        <v>183</v>
      </c>
      <c r="C22" s="27">
        <f>SUM(C13:C21)</f>
        <v>66849930</v>
      </c>
      <c r="D22" s="27">
        <f>SUM(D13:D21)</f>
        <v>65521020</v>
      </c>
      <c r="E22" s="27">
        <f t="shared" si="0"/>
        <v>-1328910</v>
      </c>
      <c r="F22" s="28">
        <f t="shared" si="1"/>
        <v>-0.019879003613017993</v>
      </c>
    </row>
    <row r="23" spans="1:6" ht="15" customHeight="1">
      <c r="A23" s="21"/>
      <c r="B23" s="5"/>
      <c r="C23" s="23"/>
      <c r="D23" s="23"/>
      <c r="E23" s="23"/>
      <c r="F23" s="24"/>
    </row>
    <row r="24" spans="1:6" ht="24" customHeight="1">
      <c r="A24" s="29" t="s">
        <v>184</v>
      </c>
      <c r="B24" s="30" t="s">
        <v>185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186</v>
      </c>
      <c r="C25" s="23">
        <v>4307571</v>
      </c>
      <c r="D25" s="23">
        <v>4011143</v>
      </c>
      <c r="E25" s="23">
        <f>D25-C25</f>
        <v>-296428</v>
      </c>
      <c r="F25" s="24">
        <f>IF(C25=0,0,E25/C25)</f>
        <v>-0.06881558075305085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187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188</v>
      </c>
      <c r="C27" s="23">
        <v>29467813</v>
      </c>
      <c r="D27" s="23">
        <v>10167560</v>
      </c>
      <c r="E27" s="23">
        <f>D27-C27</f>
        <v>-19300253</v>
      </c>
      <c r="F27" s="24">
        <f>IF(C27=0,0,E27/C27)</f>
        <v>-0.6549604817975464</v>
      </c>
    </row>
    <row r="28" spans="1:6" ht="24" customHeight="1">
      <c r="A28" s="21">
        <v>4</v>
      </c>
      <c r="B28" s="22" t="s">
        <v>189</v>
      </c>
      <c r="C28" s="23">
        <v>345625</v>
      </c>
      <c r="D28" s="23">
        <v>165433</v>
      </c>
      <c r="E28" s="23">
        <f>D28-C28</f>
        <v>-180192</v>
      </c>
      <c r="F28" s="24">
        <f>IF(C28=0,0,E28/C28)</f>
        <v>-0.5213511754068716</v>
      </c>
    </row>
    <row r="29" spans="1:6" ht="24" customHeight="1">
      <c r="A29" s="25"/>
      <c r="B29" s="26" t="s">
        <v>190</v>
      </c>
      <c r="C29" s="27">
        <f>SUM(C25:C28)</f>
        <v>34121009</v>
      </c>
      <c r="D29" s="27">
        <f>SUM(D25:D28)</f>
        <v>14344136</v>
      </c>
      <c r="E29" s="27">
        <f>D29-C29</f>
        <v>-19776873</v>
      </c>
      <c r="F29" s="28">
        <f>IF(C29=0,0,E29/C29)</f>
        <v>-0.5796098526863611</v>
      </c>
    </row>
    <row r="30" spans="1:6" ht="15" customHeight="1">
      <c r="A30" s="21"/>
      <c r="B30" s="5"/>
      <c r="C30" s="23"/>
      <c r="D30" s="23"/>
      <c r="E30" s="23"/>
      <c r="F30" s="24"/>
    </row>
    <row r="31" spans="1:6" ht="15" customHeight="1">
      <c r="A31" s="21">
        <v>5</v>
      </c>
      <c r="B31" s="22" t="s">
        <v>191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192</v>
      </c>
      <c r="C32" s="23">
        <v>8917138</v>
      </c>
      <c r="D32" s="23">
        <v>11876168</v>
      </c>
      <c r="E32" s="23">
        <f>D32-C32</f>
        <v>2959030</v>
      </c>
      <c r="F32" s="24">
        <f>IF(C32=0,0,E32/C32)</f>
        <v>0.3318362909713857</v>
      </c>
    </row>
    <row r="33" spans="1:6" ht="24" customHeight="1">
      <c r="A33" s="21">
        <v>7</v>
      </c>
      <c r="B33" s="22" t="s">
        <v>193</v>
      </c>
      <c r="C33" s="23">
        <v>6651916</v>
      </c>
      <c r="D33" s="23">
        <v>10632628</v>
      </c>
      <c r="E33" s="23">
        <f>D33-C33</f>
        <v>3980712</v>
      </c>
      <c r="F33" s="24">
        <f>IF(C33=0,0,E33/C33)</f>
        <v>0.5984308881831941</v>
      </c>
    </row>
    <row r="34" spans="1:6" ht="15" customHeight="1">
      <c r="A34" s="21"/>
      <c r="B34" s="5"/>
      <c r="C34" s="23"/>
      <c r="D34" s="23"/>
      <c r="E34" s="23"/>
      <c r="F34" s="24"/>
    </row>
    <row r="35" spans="1:6" ht="24" customHeight="1">
      <c r="A35" s="29" t="s">
        <v>194</v>
      </c>
      <c r="B35" s="30" t="s">
        <v>195</v>
      </c>
      <c r="C35" s="23"/>
      <c r="D35" s="23"/>
      <c r="E35" s="23"/>
      <c r="F35" s="24"/>
    </row>
    <row r="36" spans="1:6" ht="24" customHeight="1">
      <c r="A36" s="21">
        <v>1</v>
      </c>
      <c r="B36" s="22" t="s">
        <v>196</v>
      </c>
      <c r="C36" s="23">
        <v>164114389</v>
      </c>
      <c r="D36" s="23">
        <v>176407097</v>
      </c>
      <c r="E36" s="23">
        <f>D36-C36</f>
        <v>12292708</v>
      </c>
      <c r="F36" s="24">
        <f>IF(C36=0,0,E36/C36)</f>
        <v>0.07490329199592609</v>
      </c>
    </row>
    <row r="37" spans="1:6" ht="24" customHeight="1">
      <c r="A37" s="21">
        <v>2</v>
      </c>
      <c r="B37" s="22" t="s">
        <v>197</v>
      </c>
      <c r="C37" s="23">
        <v>81325824</v>
      </c>
      <c r="D37" s="23">
        <v>89995490</v>
      </c>
      <c r="E37" s="23">
        <f>D37-C37</f>
        <v>8669666</v>
      </c>
      <c r="F37" s="24">
        <f>IF(C37=0,0,E37/C37)</f>
        <v>0.1066040966274132</v>
      </c>
    </row>
    <row r="38" spans="1:6" ht="24" customHeight="1">
      <c r="A38" s="25"/>
      <c r="B38" s="26" t="s">
        <v>198</v>
      </c>
      <c r="C38" s="27">
        <f>C36-C37</f>
        <v>82788565</v>
      </c>
      <c r="D38" s="27">
        <f>D36-D37</f>
        <v>86411607</v>
      </c>
      <c r="E38" s="27">
        <f>D38-C38</f>
        <v>3623042</v>
      </c>
      <c r="F38" s="28">
        <f>IF(C38=0,0,E38/C38)</f>
        <v>0.04376258967648491</v>
      </c>
    </row>
    <row r="39" spans="1:6" ht="15" customHeight="1">
      <c r="A39" s="21"/>
      <c r="B39" s="5"/>
      <c r="C39" s="23"/>
      <c r="D39" s="23"/>
      <c r="E39" s="23"/>
      <c r="F39" s="24"/>
    </row>
    <row r="40" spans="1:6" ht="24" customHeight="1">
      <c r="A40" s="21">
        <v>3</v>
      </c>
      <c r="B40" s="22" t="s">
        <v>199</v>
      </c>
      <c r="C40" s="23">
        <v>8576054</v>
      </c>
      <c r="D40" s="23">
        <v>30689886</v>
      </c>
      <c r="E40" s="23">
        <f>D40-C40</f>
        <v>22113832</v>
      </c>
      <c r="F40" s="24">
        <f>IF(C40=0,0,E40/C40)</f>
        <v>2.578555592117307</v>
      </c>
    </row>
    <row r="41" spans="1:6" ht="24" customHeight="1">
      <c r="A41" s="25"/>
      <c r="B41" s="26" t="s">
        <v>200</v>
      </c>
      <c r="C41" s="27">
        <f>+C38+C40</f>
        <v>91364619</v>
      </c>
      <c r="D41" s="27">
        <f>+D38+D40</f>
        <v>117101493</v>
      </c>
      <c r="E41" s="27">
        <f>D41-C41</f>
        <v>25736874</v>
      </c>
      <c r="F41" s="28">
        <f>IF(C41=0,0,E41/C41)</f>
        <v>0.28169409867511186</v>
      </c>
    </row>
    <row r="42" spans="1:6" ht="24" customHeight="1">
      <c r="A42" s="21"/>
      <c r="B42" s="22"/>
      <c r="C42" s="23"/>
      <c r="D42" s="23"/>
      <c r="E42" s="23"/>
      <c r="F42" s="24"/>
    </row>
    <row r="43" spans="1:6" ht="24" customHeight="1">
      <c r="A43" s="25"/>
      <c r="B43" s="26" t="s">
        <v>201</v>
      </c>
      <c r="C43" s="27">
        <f>C22+C29+C31+C32+C33+C41</f>
        <v>207904612</v>
      </c>
      <c r="D43" s="27">
        <f>D22+D29+D31+D32+D33+D41</f>
        <v>219475445</v>
      </c>
      <c r="E43" s="27">
        <f>D43-C43</f>
        <v>11570833</v>
      </c>
      <c r="F43" s="28">
        <f>IF(C43=0,0,E43/C43)</f>
        <v>0.0556545277600672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202</v>
      </c>
      <c r="B46" s="16" t="s">
        <v>203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172</v>
      </c>
      <c r="B48" s="41" t="s">
        <v>204</v>
      </c>
      <c r="C48" s="23"/>
      <c r="D48" s="23"/>
      <c r="E48" s="23"/>
      <c r="F48" s="24"/>
    </row>
    <row r="49" spans="1:6" ht="24" customHeight="1">
      <c r="A49" s="21">
        <v>1</v>
      </c>
      <c r="B49" s="22" t="s">
        <v>205</v>
      </c>
      <c r="C49" s="23">
        <v>6372719</v>
      </c>
      <c r="D49" s="23">
        <v>8052494</v>
      </c>
      <c r="E49" s="23">
        <f aca="true" t="shared" si="2" ref="E49:E56">D49-C49</f>
        <v>1679775</v>
      </c>
      <c r="F49" s="24">
        <f aca="true" t="shared" si="3" ref="F49:F56">IF(C49=0,0,E49/C49)</f>
        <v>0.26358843062121523</v>
      </c>
    </row>
    <row r="50" spans="1:6" ht="24" customHeight="1">
      <c r="A50" s="21">
        <f aca="true" t="shared" si="4" ref="A50:A55">1+A49</f>
        <v>2</v>
      </c>
      <c r="B50" s="22" t="s">
        <v>206</v>
      </c>
      <c r="C50" s="23">
        <v>8407726</v>
      </c>
      <c r="D50" s="23">
        <v>9287548</v>
      </c>
      <c r="E50" s="23">
        <f t="shared" si="2"/>
        <v>879822</v>
      </c>
      <c r="F50" s="24">
        <f t="shared" si="3"/>
        <v>0.10464446629207469</v>
      </c>
    </row>
    <row r="51" spans="1:6" ht="24" customHeight="1">
      <c r="A51" s="21">
        <f t="shared" si="4"/>
        <v>3</v>
      </c>
      <c r="B51" s="22" t="s">
        <v>207</v>
      </c>
      <c r="C51" s="23">
        <v>437607</v>
      </c>
      <c r="D51" s="23">
        <v>885467</v>
      </c>
      <c r="E51" s="23">
        <f t="shared" si="2"/>
        <v>447860</v>
      </c>
      <c r="F51" s="24">
        <f t="shared" si="3"/>
        <v>1.0234296983366353</v>
      </c>
    </row>
    <row r="52" spans="1:6" ht="24" customHeight="1">
      <c r="A52" s="21">
        <f t="shared" si="4"/>
        <v>4</v>
      </c>
      <c r="B52" s="22" t="s">
        <v>208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209</v>
      </c>
      <c r="C53" s="23">
        <v>2460000</v>
      </c>
      <c r="D53" s="23">
        <v>2390000</v>
      </c>
      <c r="E53" s="23">
        <f t="shared" si="2"/>
        <v>-70000</v>
      </c>
      <c r="F53" s="24">
        <f t="shared" si="3"/>
        <v>-0.028455284552845527</v>
      </c>
    </row>
    <row r="54" spans="1:6" ht="24" customHeight="1">
      <c r="A54" s="21">
        <f t="shared" si="4"/>
        <v>6</v>
      </c>
      <c r="B54" s="22" t="s">
        <v>210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>
      <c r="A55" s="21">
        <f t="shared" si="4"/>
        <v>7</v>
      </c>
      <c r="B55" s="22" t="s">
        <v>211</v>
      </c>
      <c r="C55" s="23">
        <v>0</v>
      </c>
      <c r="D55" s="23">
        <v>6956870</v>
      </c>
      <c r="E55" s="23">
        <f t="shared" si="2"/>
        <v>6956870</v>
      </c>
      <c r="F55" s="24">
        <f t="shared" si="3"/>
        <v>0</v>
      </c>
    </row>
    <row r="56" spans="1:6" ht="24" customHeight="1">
      <c r="A56" s="25"/>
      <c r="B56" s="26" t="s">
        <v>212</v>
      </c>
      <c r="C56" s="27">
        <f>SUM(C49:C55)</f>
        <v>17678052</v>
      </c>
      <c r="D56" s="27">
        <f>SUM(D49:D55)</f>
        <v>27572379</v>
      </c>
      <c r="E56" s="27">
        <f t="shared" si="2"/>
        <v>9894327</v>
      </c>
      <c r="F56" s="28">
        <f t="shared" si="3"/>
        <v>0.5596955479031287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184</v>
      </c>
      <c r="B58" s="41" t="s">
        <v>213</v>
      </c>
      <c r="C58" s="23"/>
      <c r="D58" s="23"/>
      <c r="E58" s="23"/>
      <c r="F58" s="24"/>
    </row>
    <row r="59" spans="1:6" ht="24" customHeight="1">
      <c r="A59" s="21">
        <v>1</v>
      </c>
      <c r="B59" s="22" t="s">
        <v>214</v>
      </c>
      <c r="C59" s="23">
        <v>85305000</v>
      </c>
      <c r="D59" s="23">
        <v>82915000</v>
      </c>
      <c r="E59" s="23">
        <f>D59-C59</f>
        <v>-2390000</v>
      </c>
      <c r="F59" s="24">
        <f>IF(C59=0,0,E59/C59)</f>
        <v>-0.028017115057734014</v>
      </c>
    </row>
    <row r="60" spans="1:6" ht="24" customHeight="1">
      <c r="A60" s="21">
        <v>2</v>
      </c>
      <c r="B60" s="22" t="s">
        <v>215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>
      <c r="A61" s="25"/>
      <c r="B61" s="26" t="s">
        <v>216</v>
      </c>
      <c r="C61" s="27">
        <f>SUM(C59:C60)</f>
        <v>85305000</v>
      </c>
      <c r="D61" s="27">
        <f>SUM(D59:D60)</f>
        <v>82915000</v>
      </c>
      <c r="E61" s="27">
        <f>D61-C61</f>
        <v>-2390000</v>
      </c>
      <c r="F61" s="28">
        <f>IF(C61=0,0,E61/C61)</f>
        <v>-0.028017115057734014</v>
      </c>
    </row>
    <row r="62" spans="1:6" ht="15" customHeight="1">
      <c r="A62" s="21"/>
      <c r="B62" s="5"/>
      <c r="C62" s="23"/>
      <c r="D62" s="23"/>
      <c r="E62" s="23"/>
      <c r="F62" s="24"/>
    </row>
    <row r="63" spans="1:6" ht="24" customHeight="1">
      <c r="A63" s="21">
        <v>3</v>
      </c>
      <c r="B63" s="22" t="s">
        <v>217</v>
      </c>
      <c r="C63" s="23">
        <v>26949323</v>
      </c>
      <c r="D63" s="23">
        <v>49059528</v>
      </c>
      <c r="E63" s="23">
        <f>D63-C63</f>
        <v>22110205</v>
      </c>
      <c r="F63" s="24">
        <f>IF(C63=0,0,E63/C63)</f>
        <v>0.8204363797932883</v>
      </c>
    </row>
    <row r="64" spans="1:6" ht="24" customHeight="1">
      <c r="A64" s="21">
        <v>4</v>
      </c>
      <c r="B64" s="22" t="s">
        <v>218</v>
      </c>
      <c r="C64" s="23">
        <v>6662299</v>
      </c>
      <c r="D64" s="23">
        <v>5021141</v>
      </c>
      <c r="E64" s="23">
        <f>D64-C64</f>
        <v>-1641158</v>
      </c>
      <c r="F64" s="24">
        <f>IF(C64=0,0,E64/C64)</f>
        <v>-0.24633508643187585</v>
      </c>
    </row>
    <row r="65" spans="1:6" ht="24" customHeight="1">
      <c r="A65" s="25"/>
      <c r="B65" s="26" t="s">
        <v>219</v>
      </c>
      <c r="C65" s="27">
        <f>SUM(C61:C64)</f>
        <v>118916622</v>
      </c>
      <c r="D65" s="27">
        <f>SUM(D61:D64)</f>
        <v>136995669</v>
      </c>
      <c r="E65" s="27">
        <f>D65-C65</f>
        <v>18079047</v>
      </c>
      <c r="F65" s="28">
        <f>IF(C65=0,0,E65/C65)</f>
        <v>0.15203128625702134</v>
      </c>
    </row>
    <row r="66" spans="2:6" ht="24" customHeight="1">
      <c r="B66" s="5"/>
      <c r="C66" s="23"/>
      <c r="D66" s="23"/>
      <c r="E66" s="23"/>
      <c r="F66" s="24"/>
    </row>
    <row r="67" spans="1:6" s="43" customFormat="1" ht="15" customHeight="1">
      <c r="A67" s="44">
        <v>5</v>
      </c>
      <c r="B67" s="45" t="s">
        <v>220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3"/>
      <c r="D68" s="23"/>
      <c r="E68" s="23"/>
      <c r="F68" s="24"/>
    </row>
    <row r="69" spans="1:6" ht="15.75" customHeight="1">
      <c r="A69" s="29" t="s">
        <v>194</v>
      </c>
      <c r="B69" s="41" t="s">
        <v>221</v>
      </c>
      <c r="C69" s="23"/>
      <c r="D69" s="23"/>
      <c r="E69" s="23"/>
      <c r="F69" s="24"/>
    </row>
    <row r="70" spans="1:6" ht="24" customHeight="1">
      <c r="A70" s="21">
        <v>1</v>
      </c>
      <c r="B70" s="22" t="s">
        <v>222</v>
      </c>
      <c r="C70" s="23">
        <v>63218152</v>
      </c>
      <c r="D70" s="23">
        <v>48490546</v>
      </c>
      <c r="E70" s="23">
        <f>D70-C70</f>
        <v>-14727606</v>
      </c>
      <c r="F70" s="24">
        <f>IF(C70=0,0,E70/C70)</f>
        <v>-0.23296482946859945</v>
      </c>
    </row>
    <row r="71" spans="1:6" ht="24" customHeight="1">
      <c r="A71" s="21">
        <v>2</v>
      </c>
      <c r="B71" s="22" t="s">
        <v>223</v>
      </c>
      <c r="C71" s="23">
        <v>2746781</v>
      </c>
      <c r="D71" s="23">
        <v>1630516</v>
      </c>
      <c r="E71" s="23">
        <f>D71-C71</f>
        <v>-1116265</v>
      </c>
      <c r="F71" s="24">
        <f>IF(C71=0,0,E71/C71)</f>
        <v>-0.4063902437070884</v>
      </c>
    </row>
    <row r="72" spans="1:6" ht="24" customHeight="1">
      <c r="A72" s="21">
        <v>3</v>
      </c>
      <c r="B72" s="22" t="s">
        <v>224</v>
      </c>
      <c r="C72" s="23">
        <v>5345005</v>
      </c>
      <c r="D72" s="23">
        <v>4786335</v>
      </c>
      <c r="E72" s="23">
        <f>D72-C72</f>
        <v>-558670</v>
      </c>
      <c r="F72" s="24">
        <f>IF(C72=0,0,E72/C72)</f>
        <v>-0.10452188538644959</v>
      </c>
    </row>
    <row r="73" spans="1:6" ht="24" customHeight="1">
      <c r="A73" s="21"/>
      <c r="B73" s="26" t="s">
        <v>225</v>
      </c>
      <c r="C73" s="27">
        <f>SUM(C70:C72)</f>
        <v>71309938</v>
      </c>
      <c r="D73" s="27">
        <f>SUM(D70:D72)</f>
        <v>54907397</v>
      </c>
      <c r="E73" s="27">
        <f>D73-C73</f>
        <v>-16402541</v>
      </c>
      <c r="F73" s="28">
        <f>IF(C73=0,0,E73/C73)</f>
        <v>-0.23001760287605355</v>
      </c>
    </row>
    <row r="74" spans="2:6" ht="24" customHeight="1">
      <c r="B74" s="26"/>
      <c r="C74" s="23"/>
      <c r="D74" s="23"/>
      <c r="E74" s="23"/>
      <c r="F74" s="24"/>
    </row>
    <row r="75" spans="1:6" ht="15.75" customHeight="1">
      <c r="A75" s="21"/>
      <c r="B75" s="26" t="s">
        <v>226</v>
      </c>
      <c r="C75" s="27">
        <f>C56+C65+C67+C73</f>
        <v>207904612</v>
      </c>
      <c r="D75" s="27">
        <f>D56+D65+D67+D73</f>
        <v>219475445</v>
      </c>
      <c r="E75" s="27">
        <f>D75-C75</f>
        <v>11570833</v>
      </c>
      <c r="F75" s="28">
        <f>IF(C75=0,0,E75/C75)</f>
        <v>0.0556545277600672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FILING&amp;RMIDSTATE MEDICAL CENTER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80"/>
  <sheetViews>
    <sheetView zoomScale="70" zoomScaleNormal="70" zoomScaleSheetLayoutView="75" zoomScalePageLayoutView="0" workbookViewId="0" topLeftCell="A1">
      <selection activeCell="E80" sqref="E80"/>
    </sheetView>
  </sheetViews>
  <sheetFormatPr defaultColWidth="9.140625" defaultRowHeight="24" customHeight="1"/>
  <cols>
    <col min="1" max="1" width="5.7109375" style="55" customWidth="1"/>
    <col min="2" max="2" width="66.421875" style="55" customWidth="1"/>
    <col min="3" max="3" width="20.42187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 customWidth="1"/>
  </cols>
  <sheetData>
    <row r="1" spans="1:5" ht="24" customHeight="1">
      <c r="A1" s="695" t="s">
        <v>637</v>
      </c>
      <c r="B1" s="696"/>
      <c r="C1" s="696"/>
      <c r="D1" s="696"/>
      <c r="E1" s="697"/>
    </row>
    <row r="2" spans="1:5" ht="24" customHeight="1">
      <c r="A2" s="695" t="s">
        <v>159</v>
      </c>
      <c r="B2" s="696"/>
      <c r="C2" s="696"/>
      <c r="D2" s="696"/>
      <c r="E2" s="697"/>
    </row>
    <row r="3" spans="1:5" ht="24" customHeight="1">
      <c r="A3" s="695" t="s">
        <v>160</v>
      </c>
      <c r="B3" s="696"/>
      <c r="C3" s="696"/>
      <c r="D3" s="696"/>
      <c r="E3" s="697"/>
    </row>
    <row r="4" spans="1:5" ht="24" customHeight="1">
      <c r="A4" s="695" t="s">
        <v>640</v>
      </c>
      <c r="B4" s="696"/>
      <c r="C4" s="696"/>
      <c r="D4" s="696"/>
      <c r="E4" s="697"/>
    </row>
    <row r="5" spans="1:6" ht="24" customHeight="1">
      <c r="A5" s="695"/>
      <c r="B5" s="696"/>
      <c r="C5" s="696"/>
      <c r="D5" s="696"/>
      <c r="E5" s="697"/>
      <c r="F5" s="57"/>
    </row>
    <row r="6" spans="1:6" ht="24" customHeight="1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>
      <c r="A7" s="60"/>
      <c r="B7" s="58"/>
      <c r="C7" s="59" t="s">
        <v>168</v>
      </c>
      <c r="D7" s="59" t="s">
        <v>168</v>
      </c>
      <c r="E7" s="59" t="s">
        <v>168</v>
      </c>
      <c r="F7" s="59"/>
    </row>
    <row r="8" spans="1:6" ht="24" customHeight="1">
      <c r="A8" s="61" t="s">
        <v>166</v>
      </c>
      <c r="B8" s="62" t="s">
        <v>167</v>
      </c>
      <c r="C8" s="264" t="s">
        <v>465</v>
      </c>
      <c r="D8" s="264" t="s">
        <v>162</v>
      </c>
      <c r="E8" s="264" t="s">
        <v>163</v>
      </c>
      <c r="F8" s="63"/>
    </row>
    <row r="9" spans="2:6" ht="24" customHeight="1">
      <c r="B9" s="62"/>
      <c r="C9" s="67"/>
      <c r="D9" s="67"/>
      <c r="E9" s="69"/>
      <c r="F9" s="69"/>
    </row>
    <row r="10" spans="1:6" ht="24" customHeight="1">
      <c r="A10" s="123" t="s">
        <v>172</v>
      </c>
      <c r="B10" s="187" t="s">
        <v>641</v>
      </c>
      <c r="C10" s="27"/>
      <c r="D10" s="27"/>
      <c r="E10" s="53"/>
      <c r="F10" s="28"/>
    </row>
    <row r="11" spans="1:6" ht="24" customHeight="1">
      <c r="A11" s="44">
        <v>1</v>
      </c>
      <c r="B11" s="48" t="s">
        <v>642</v>
      </c>
      <c r="C11" s="51">
        <v>159523384</v>
      </c>
      <c r="D11" s="51">
        <v>172229520</v>
      </c>
      <c r="E11" s="51">
        <v>172470335</v>
      </c>
      <c r="F11" s="28"/>
    </row>
    <row r="12" spans="1:6" ht="24" customHeight="1">
      <c r="A12" s="44">
        <v>2</v>
      </c>
      <c r="B12" s="48" t="s">
        <v>234</v>
      </c>
      <c r="C12" s="49">
        <v>14783706</v>
      </c>
      <c r="D12" s="49">
        <v>15610124</v>
      </c>
      <c r="E12" s="49">
        <v>18721299</v>
      </c>
      <c r="F12" s="28"/>
    </row>
    <row r="13" spans="1:6" s="56" customFormat="1" ht="24" customHeight="1">
      <c r="A13" s="44">
        <v>3</v>
      </c>
      <c r="B13" s="48" t="s">
        <v>236</v>
      </c>
      <c r="C13" s="51">
        <f>+C11+C12</f>
        <v>174307090</v>
      </c>
      <c r="D13" s="51">
        <f>+D11+D12</f>
        <v>187839644</v>
      </c>
      <c r="E13" s="51">
        <f>+E11+E12</f>
        <v>191191634</v>
      </c>
      <c r="F13" s="70"/>
    </row>
    <row r="14" spans="1:6" s="56" customFormat="1" ht="24" customHeight="1">
      <c r="A14" s="44">
        <v>4</v>
      </c>
      <c r="B14" s="48" t="s">
        <v>247</v>
      </c>
      <c r="C14" s="49">
        <v>168826496</v>
      </c>
      <c r="D14" s="49">
        <v>183146626</v>
      </c>
      <c r="E14" s="49">
        <v>185252485</v>
      </c>
      <c r="F14" s="70"/>
    </row>
    <row r="15" spans="1:6" s="56" customFormat="1" ht="24" customHeight="1">
      <c r="A15" s="44">
        <v>5</v>
      </c>
      <c r="B15" s="48" t="s">
        <v>248</v>
      </c>
      <c r="C15" s="51">
        <f>+C13-C14</f>
        <v>5480594</v>
      </c>
      <c r="D15" s="51">
        <f>+D13-D14</f>
        <v>4693018</v>
      </c>
      <c r="E15" s="51">
        <f>+E13-E14</f>
        <v>5939149</v>
      </c>
      <c r="F15" s="70"/>
    </row>
    <row r="16" spans="1:6" s="56" customFormat="1" ht="24" customHeight="1">
      <c r="A16" s="44">
        <v>6</v>
      </c>
      <c r="B16" s="48" t="s">
        <v>253</v>
      </c>
      <c r="C16" s="49">
        <v>3102031</v>
      </c>
      <c r="D16" s="49">
        <v>-695599</v>
      </c>
      <c r="E16" s="49">
        <v>-1244067</v>
      </c>
      <c r="F16" s="70"/>
    </row>
    <row r="17" spans="1:6" s="56" customFormat="1" ht="24" customHeight="1">
      <c r="A17" s="44">
        <v>7</v>
      </c>
      <c r="B17" s="45" t="s">
        <v>468</v>
      </c>
      <c r="C17" s="51">
        <f>C15+C16</f>
        <v>8582625</v>
      </c>
      <c r="D17" s="51">
        <f>D15+D16</f>
        <v>3997419</v>
      </c>
      <c r="E17" s="51">
        <f>E15+E16</f>
        <v>4695082</v>
      </c>
      <c r="F17" s="70"/>
    </row>
    <row r="18" spans="1:6" ht="24" customHeight="1">
      <c r="A18" s="44"/>
      <c r="B18" s="45"/>
      <c r="C18" s="167"/>
      <c r="D18" s="167"/>
      <c r="E18" s="168"/>
      <c r="F18" s="28"/>
    </row>
    <row r="19" spans="1:14" ht="24" customHeight="1">
      <c r="A19" s="123" t="s">
        <v>184</v>
      </c>
      <c r="B19" s="30" t="s">
        <v>643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>
      <c r="A20" s="266">
        <v>1</v>
      </c>
      <c r="B20" s="45" t="s">
        <v>644</v>
      </c>
      <c r="C20" s="169">
        <f>IF(+C27=0,0,+C24/+C27)</f>
        <v>0.030892402651608877</v>
      </c>
      <c r="D20" s="169">
        <f>IF(+D27=0,0,+D24/+D27)</f>
        <v>0.02507703624766687</v>
      </c>
      <c r="E20" s="169">
        <f>IF(+E27=0,0,+E24/+E27)</f>
        <v>0.03126730757230494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>
      <c r="A21" s="266">
        <v>2</v>
      </c>
      <c r="B21" s="45" t="s">
        <v>645</v>
      </c>
      <c r="C21" s="169">
        <f>IF(+C27=0,0,+C26/+C27)</f>
        <v>0.017485183301257663</v>
      </c>
      <c r="D21" s="169">
        <f>IF(+D27=0,0,+D26/+D27)</f>
        <v>-0.0037169176288777985</v>
      </c>
      <c r="E21" s="169">
        <f>IF(+E27=0,0,+E26/+E27)</f>
        <v>-0.006549528481193971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>
      <c r="A22" s="266">
        <v>3</v>
      </c>
      <c r="B22" s="45" t="s">
        <v>646</v>
      </c>
      <c r="C22" s="169">
        <f>IF(+C27=0,0,+C28/+C27)</f>
        <v>0.048377585952866536</v>
      </c>
      <c r="D22" s="169">
        <f>IF(+D27=0,0,+D28/+D27)</f>
        <v>0.021360118618789073</v>
      </c>
      <c r="E22" s="169">
        <f>IF(+E27=0,0,+E28/+E27)</f>
        <v>0.024717779091110968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>
      <c r="A24" s="202">
        <v>4</v>
      </c>
      <c r="B24" s="48" t="s">
        <v>248</v>
      </c>
      <c r="C24" s="51">
        <f>+C15</f>
        <v>5480594</v>
      </c>
      <c r="D24" s="51">
        <f>+D15</f>
        <v>4693018</v>
      </c>
      <c r="E24" s="51">
        <f>+E15</f>
        <v>5939149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>
      <c r="A25" s="202">
        <v>5</v>
      </c>
      <c r="B25" s="48" t="s">
        <v>236</v>
      </c>
      <c r="C25" s="51">
        <f>+C13</f>
        <v>174307090</v>
      </c>
      <c r="D25" s="51">
        <f>+D13</f>
        <v>187839644</v>
      </c>
      <c r="E25" s="51">
        <f>+E13</f>
        <v>191191634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>
      <c r="A26" s="202">
        <v>6</v>
      </c>
      <c r="B26" s="48" t="s">
        <v>253</v>
      </c>
      <c r="C26" s="51">
        <f>+C16</f>
        <v>3102031</v>
      </c>
      <c r="D26" s="51">
        <f>+D16</f>
        <v>-695599</v>
      </c>
      <c r="E26" s="51">
        <f>+E16</f>
        <v>-1244067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>
      <c r="A27" s="202">
        <v>7</v>
      </c>
      <c r="B27" s="48" t="s">
        <v>473</v>
      </c>
      <c r="C27" s="51">
        <f>SUM(C25:C26)</f>
        <v>177409121</v>
      </c>
      <c r="D27" s="51">
        <f>SUM(D25:D26)</f>
        <v>187144045</v>
      </c>
      <c r="E27" s="51">
        <f>SUM(E25:E26)</f>
        <v>189947567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>
      <c r="A28" s="202">
        <v>8</v>
      </c>
      <c r="B28" s="45" t="s">
        <v>468</v>
      </c>
      <c r="C28" s="51">
        <f>+C17</f>
        <v>8582625</v>
      </c>
      <c r="D28" s="51">
        <f>+D17</f>
        <v>3997419</v>
      </c>
      <c r="E28" s="51">
        <f>+E17</f>
        <v>4695082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>
      <c r="A30" s="11" t="s">
        <v>194</v>
      </c>
      <c r="B30" s="41" t="s">
        <v>647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>
      <c r="A31" s="44">
        <v>1</v>
      </c>
      <c r="B31" s="48" t="s">
        <v>648</v>
      </c>
      <c r="C31" s="51">
        <v>72965092</v>
      </c>
      <c r="D31" s="51">
        <v>68408363</v>
      </c>
      <c r="E31" s="52">
        <v>50950947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>
      <c r="A32" s="25">
        <v>2</v>
      </c>
      <c r="B32" s="48" t="s">
        <v>649</v>
      </c>
      <c r="C32" s="51">
        <v>82078870</v>
      </c>
      <c r="D32" s="51">
        <v>77163135</v>
      </c>
      <c r="E32" s="51">
        <v>57367798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>
      <c r="A33" s="25">
        <v>3</v>
      </c>
      <c r="B33" s="45" t="s">
        <v>650</v>
      </c>
      <c r="C33" s="51">
        <v>82078870</v>
      </c>
      <c r="D33" s="51">
        <f>+D32-C32</f>
        <v>-4915735</v>
      </c>
      <c r="E33" s="51">
        <f>+E32-D32</f>
        <v>-19795337</v>
      </c>
      <c r="F33" s="28"/>
      <c r="H33" s="265"/>
      <c r="I33" s="265"/>
      <c r="J33" s="265"/>
      <c r="K33" s="265"/>
      <c r="L33" s="265"/>
      <c r="M33" s="265"/>
      <c r="N33" s="265"/>
    </row>
    <row r="34" spans="1:6" ht="24" customHeight="1">
      <c r="A34" s="25">
        <v>4</v>
      </c>
      <c r="B34" s="45" t="s">
        <v>651</v>
      </c>
      <c r="C34" s="171">
        <v>0</v>
      </c>
      <c r="D34" s="171">
        <f>IF(C32=0,0,+D33/C32)</f>
        <v>-0.0598903834811566</v>
      </c>
      <c r="E34" s="171">
        <f>IF(D32=0,0,+E33/D32)</f>
        <v>-0.25653878629996046</v>
      </c>
      <c r="F34" s="28"/>
    </row>
    <row r="35" spans="5:6" ht="24" customHeight="1">
      <c r="E35" s="55"/>
      <c r="F35" s="28"/>
    </row>
    <row r="36" spans="1:6" ht="15.75" customHeight="1">
      <c r="A36" s="20" t="s">
        <v>479</v>
      </c>
      <c r="B36" s="16" t="s">
        <v>501</v>
      </c>
      <c r="C36" s="267"/>
      <c r="D36" s="267"/>
      <c r="E36" s="268"/>
      <c r="F36" s="28"/>
    </row>
    <row r="37" spans="1:6" ht="24" customHeight="1">
      <c r="A37" s="20"/>
      <c r="B37" s="16"/>
      <c r="C37" s="267"/>
      <c r="D37" s="267"/>
      <c r="E37" s="268"/>
      <c r="F37" s="28"/>
    </row>
    <row r="38" spans="1:6" ht="24" customHeight="1">
      <c r="A38" s="20">
        <v>1</v>
      </c>
      <c r="B38" s="187" t="s">
        <v>502</v>
      </c>
      <c r="C38" s="269">
        <f>IF(+C40=0,0,+C39/+C40)</f>
        <v>4.288962124381962</v>
      </c>
      <c r="D38" s="269">
        <f>IF(+D40=0,0,+D39/+D40)</f>
        <v>3.7973376192625983</v>
      </c>
      <c r="E38" s="269">
        <f>IF(+E40=0,0,+E39/+E40)</f>
        <v>2.479919117072608</v>
      </c>
      <c r="F38" s="28"/>
    </row>
    <row r="39" spans="1:6" ht="24" customHeight="1">
      <c r="A39" s="17">
        <v>2</v>
      </c>
      <c r="B39" s="45" t="s">
        <v>183</v>
      </c>
      <c r="C39" s="270">
        <v>68534175</v>
      </c>
      <c r="D39" s="270">
        <v>71395142</v>
      </c>
      <c r="E39" s="270">
        <v>69929471</v>
      </c>
      <c r="F39" s="28"/>
    </row>
    <row r="40" spans="1:5" ht="24" customHeight="1">
      <c r="A40" s="17">
        <v>3</v>
      </c>
      <c r="B40" s="45" t="s">
        <v>212</v>
      </c>
      <c r="C40" s="270">
        <v>15979198</v>
      </c>
      <c r="D40" s="270">
        <v>18801368</v>
      </c>
      <c r="E40" s="270">
        <v>28198287</v>
      </c>
    </row>
    <row r="41" spans="1:5" ht="24" customHeight="1">
      <c r="A41" s="17"/>
      <c r="B41" s="8"/>
      <c r="C41" s="267"/>
      <c r="D41" s="267"/>
      <c r="E41" s="268"/>
    </row>
    <row r="42" spans="1:5" ht="24" customHeight="1">
      <c r="A42" s="20">
        <v>4</v>
      </c>
      <c r="B42" s="187" t="s">
        <v>503</v>
      </c>
      <c r="C42" s="271">
        <f>IF((C48/365)=0,0,+C45/(C48/365))</f>
        <v>94.92936498867948</v>
      </c>
      <c r="D42" s="271">
        <f>IF((D48/365)=0,0,+D45/(D48/365))</f>
        <v>95.5994771723163</v>
      </c>
      <c r="E42" s="271">
        <f>IF((E48/365)=0,0,+E45/(E48/365))</f>
        <v>87.57759667202248</v>
      </c>
    </row>
    <row r="43" spans="1:5" ht="24" customHeight="1">
      <c r="A43" s="17">
        <v>5</v>
      </c>
      <c r="B43" s="188" t="s">
        <v>174</v>
      </c>
      <c r="C43" s="272">
        <v>41516783</v>
      </c>
      <c r="D43" s="272">
        <v>45476555</v>
      </c>
      <c r="E43" s="272">
        <v>42246786</v>
      </c>
    </row>
    <row r="44" spans="1:5" ht="24" customHeight="1">
      <c r="A44" s="17">
        <v>6</v>
      </c>
      <c r="B44" s="273" t="s">
        <v>175</v>
      </c>
      <c r="C44" s="274">
        <v>0</v>
      </c>
      <c r="D44" s="274">
        <v>0</v>
      </c>
      <c r="E44" s="274">
        <v>0</v>
      </c>
    </row>
    <row r="45" spans="1:5" ht="24" customHeight="1">
      <c r="A45" s="17">
        <v>7</v>
      </c>
      <c r="B45" s="45" t="s">
        <v>504</v>
      </c>
      <c r="C45" s="270">
        <f>+C43+C44</f>
        <v>41516783</v>
      </c>
      <c r="D45" s="270">
        <f>+D43+D44</f>
        <v>45476555</v>
      </c>
      <c r="E45" s="270">
        <f>+E43+E44</f>
        <v>42246786</v>
      </c>
    </row>
    <row r="46" spans="1:5" ht="24" customHeight="1">
      <c r="A46" s="17">
        <v>8</v>
      </c>
      <c r="B46" s="45" t="s">
        <v>482</v>
      </c>
      <c r="C46" s="270">
        <f>+C14</f>
        <v>168826496</v>
      </c>
      <c r="D46" s="270">
        <f>+D14</f>
        <v>183146626</v>
      </c>
      <c r="E46" s="270">
        <f>+E14</f>
        <v>185252485</v>
      </c>
    </row>
    <row r="47" spans="1:5" ht="24" customHeight="1">
      <c r="A47" s="17">
        <v>9</v>
      </c>
      <c r="B47" s="45" t="s">
        <v>505</v>
      </c>
      <c r="C47" s="270">
        <v>9195956</v>
      </c>
      <c r="D47" s="270">
        <v>9516570</v>
      </c>
      <c r="E47" s="270">
        <v>9179180</v>
      </c>
    </row>
    <row r="48" spans="1:5" ht="24" customHeight="1">
      <c r="A48" s="17">
        <v>10</v>
      </c>
      <c r="B48" s="45" t="s">
        <v>506</v>
      </c>
      <c r="C48" s="270">
        <f>+C46-C47</f>
        <v>159630540</v>
      </c>
      <c r="D48" s="270">
        <f>+D46-D47</f>
        <v>173630056</v>
      </c>
      <c r="E48" s="270">
        <f>+E46-E47</f>
        <v>176073305</v>
      </c>
    </row>
    <row r="49" spans="1:5" ht="24" customHeight="1">
      <c r="A49" s="275"/>
      <c r="B49" s="8"/>
      <c r="C49" s="276"/>
      <c r="D49" s="276"/>
      <c r="E49" s="277"/>
    </row>
    <row r="50" spans="1:5" ht="24" customHeight="1">
      <c r="A50" s="20">
        <v>11</v>
      </c>
      <c r="B50" s="187" t="s">
        <v>507</v>
      </c>
      <c r="C50" s="278">
        <f>IF((C55/365)=0,0,+C54/(C55/365))</f>
        <v>50.360687590478896</v>
      </c>
      <c r="D50" s="278">
        <f>IF((D55/365)=0,0,+D54/(D55/365))</f>
        <v>45.16428873517153</v>
      </c>
      <c r="E50" s="278">
        <f>IF((E55/365)=0,0,+E54/(E55/365))</f>
        <v>46.38026965622812</v>
      </c>
    </row>
    <row r="51" spans="1:5" ht="24" customHeight="1">
      <c r="A51" s="17">
        <v>12</v>
      </c>
      <c r="B51" s="188" t="s">
        <v>508</v>
      </c>
      <c r="C51" s="279">
        <v>22235089</v>
      </c>
      <c r="D51" s="279">
        <v>21803628</v>
      </c>
      <c r="E51" s="279">
        <v>22801140</v>
      </c>
    </row>
    <row r="52" spans="1:5" ht="24" customHeight="1">
      <c r="A52" s="17">
        <v>13</v>
      </c>
      <c r="B52" s="188" t="s">
        <v>179</v>
      </c>
      <c r="C52" s="270">
        <v>0</v>
      </c>
      <c r="D52" s="270">
        <v>0</v>
      </c>
      <c r="E52" s="270">
        <v>0</v>
      </c>
    </row>
    <row r="53" spans="1:5" ht="24" customHeight="1">
      <c r="A53" s="17">
        <v>14</v>
      </c>
      <c r="B53" s="188" t="s">
        <v>207</v>
      </c>
      <c r="C53" s="270">
        <v>224932</v>
      </c>
      <c r="D53" s="270">
        <v>492330</v>
      </c>
      <c r="E53" s="270">
        <v>885467</v>
      </c>
    </row>
    <row r="54" spans="1:5" ht="32.25" customHeight="1">
      <c r="A54" s="17">
        <v>15</v>
      </c>
      <c r="B54" s="45" t="s">
        <v>509</v>
      </c>
      <c r="C54" s="280">
        <f>+C51+C52-C53</f>
        <v>22010157</v>
      </c>
      <c r="D54" s="280">
        <f>+D51+D52-D53</f>
        <v>21311298</v>
      </c>
      <c r="E54" s="280">
        <f>+E51+E52-E53</f>
        <v>21915673</v>
      </c>
    </row>
    <row r="55" spans="1:5" ht="24" customHeight="1">
      <c r="A55" s="17">
        <v>16</v>
      </c>
      <c r="B55" s="45" t="s">
        <v>233</v>
      </c>
      <c r="C55" s="270">
        <f>+C11</f>
        <v>159523384</v>
      </c>
      <c r="D55" s="270">
        <f>+D11</f>
        <v>172229520</v>
      </c>
      <c r="E55" s="270">
        <f>+E11</f>
        <v>172470335</v>
      </c>
    </row>
    <row r="56" spans="1:5" ht="24" customHeight="1">
      <c r="A56" s="275"/>
      <c r="B56" s="45"/>
      <c r="C56" s="281"/>
      <c r="D56" s="282"/>
      <c r="E56" s="282"/>
    </row>
    <row r="57" spans="1:5" ht="24" customHeight="1">
      <c r="A57" s="20">
        <v>17</v>
      </c>
      <c r="B57" s="187" t="s">
        <v>510</v>
      </c>
      <c r="C57" s="283">
        <f>IF((C61/365)=0,0,+C58/(C61/365))</f>
        <v>36.53691373843627</v>
      </c>
      <c r="D57" s="283">
        <f>IF((D61/365)=0,0,+D58/(D61/365))</f>
        <v>39.5236831577132</v>
      </c>
      <c r="E57" s="283">
        <f>IF((E61/365)=0,0,+E58/(E61/365))</f>
        <v>58.45505515444263</v>
      </c>
    </row>
    <row r="58" spans="1:5" ht="24" customHeight="1">
      <c r="A58" s="17">
        <v>18</v>
      </c>
      <c r="B58" s="45" t="s">
        <v>212</v>
      </c>
      <c r="C58" s="281">
        <f>+C40</f>
        <v>15979198</v>
      </c>
      <c r="D58" s="281">
        <f>+D40</f>
        <v>18801368</v>
      </c>
      <c r="E58" s="281">
        <f>+E40</f>
        <v>28198287</v>
      </c>
    </row>
    <row r="59" spans="1:5" ht="24" customHeight="1">
      <c r="A59" s="17">
        <v>19</v>
      </c>
      <c r="B59" s="45" t="s">
        <v>482</v>
      </c>
      <c r="C59" s="281">
        <f aca="true" t="shared" si="0" ref="C59:E60">+C46</f>
        <v>168826496</v>
      </c>
      <c r="D59" s="281">
        <f t="shared" si="0"/>
        <v>183146626</v>
      </c>
      <c r="E59" s="281">
        <f t="shared" si="0"/>
        <v>185252485</v>
      </c>
    </row>
    <row r="60" spans="1:5" ht="24" customHeight="1">
      <c r="A60" s="17">
        <v>20</v>
      </c>
      <c r="B60" s="45" t="s">
        <v>505</v>
      </c>
      <c r="C60" s="176">
        <f t="shared" si="0"/>
        <v>9195956</v>
      </c>
      <c r="D60" s="176">
        <f t="shared" si="0"/>
        <v>9516570</v>
      </c>
      <c r="E60" s="176">
        <f t="shared" si="0"/>
        <v>9179180</v>
      </c>
    </row>
    <row r="61" spans="1:5" ht="24" customHeight="1">
      <c r="A61" s="17">
        <v>21</v>
      </c>
      <c r="B61" s="45" t="s">
        <v>511</v>
      </c>
      <c r="C61" s="281">
        <f>+C59-C60</f>
        <v>159630540</v>
      </c>
      <c r="D61" s="281">
        <f>+D59-D60</f>
        <v>173630056</v>
      </c>
      <c r="E61" s="281">
        <f>+E59-E60</f>
        <v>176073305</v>
      </c>
    </row>
    <row r="62" spans="1:5" ht="24" customHeight="1">
      <c r="A62" s="275"/>
      <c r="B62" s="45"/>
      <c r="C62" s="281"/>
      <c r="D62" s="281"/>
      <c r="E62" s="268"/>
    </row>
    <row r="63" spans="1:5" ht="24" customHeight="1">
      <c r="A63" s="20" t="s">
        <v>500</v>
      </c>
      <c r="B63" s="16" t="s">
        <v>513</v>
      </c>
      <c r="C63" s="281"/>
      <c r="D63" s="281"/>
      <c r="E63" s="268"/>
    </row>
    <row r="64" spans="1:5" ht="24" customHeight="1">
      <c r="A64" s="20"/>
      <c r="B64" s="16"/>
      <c r="C64" s="281"/>
      <c r="D64" s="281"/>
      <c r="E64" s="268"/>
    </row>
    <row r="65" spans="1:5" ht="24" customHeight="1">
      <c r="A65" s="20">
        <v>1</v>
      </c>
      <c r="B65" s="187" t="s">
        <v>514</v>
      </c>
      <c r="C65" s="284">
        <f>IF(C67=0,0,(C66/C67)*100)</f>
        <v>45.25067679168174</v>
      </c>
      <c r="D65" s="284">
        <f>IF(D67=0,0,(D66/D67)*100)</f>
        <v>35.82557498094754</v>
      </c>
      <c r="E65" s="284">
        <f>IF(E67=0,0,(E66/E67)*100)</f>
        <v>25.719612457587964</v>
      </c>
    </row>
    <row r="66" spans="1:5" ht="24" customHeight="1">
      <c r="A66" s="17">
        <v>2</v>
      </c>
      <c r="B66" s="45" t="s">
        <v>225</v>
      </c>
      <c r="C66" s="281">
        <f>+C32</f>
        <v>82078870</v>
      </c>
      <c r="D66" s="281">
        <f>+D32</f>
        <v>77163135</v>
      </c>
      <c r="E66" s="281">
        <f>+E32</f>
        <v>57367798</v>
      </c>
    </row>
    <row r="67" spans="1:5" ht="24" customHeight="1">
      <c r="A67" s="17">
        <v>3</v>
      </c>
      <c r="B67" s="45" t="s">
        <v>201</v>
      </c>
      <c r="C67" s="281">
        <v>181387055</v>
      </c>
      <c r="D67" s="281">
        <v>215385615</v>
      </c>
      <c r="E67" s="281">
        <v>223050787</v>
      </c>
    </row>
    <row r="68" spans="1:5" ht="24" customHeight="1">
      <c r="A68" s="275"/>
      <c r="B68" s="187"/>
      <c r="C68" s="283"/>
      <c r="D68" s="283"/>
      <c r="E68" s="268"/>
    </row>
    <row r="69" spans="1:5" ht="24" customHeight="1">
      <c r="A69" s="20">
        <v>4</v>
      </c>
      <c r="B69" s="187" t="s">
        <v>515</v>
      </c>
      <c r="C69" s="284">
        <f>IF(C75=0,0,(C72/C75)*100)</f>
        <v>24.108447148615</v>
      </c>
      <c r="D69" s="284">
        <f>IF(D75=0,0,(D72/D75)*100)</f>
        <v>12.980943682522861</v>
      </c>
      <c r="E69" s="284">
        <f>IF(E75=0,0,(E72/E75)*100)</f>
        <v>12.486591275083061</v>
      </c>
    </row>
    <row r="70" spans="1:5" ht="24" customHeight="1">
      <c r="A70" s="17">
        <v>5</v>
      </c>
      <c r="B70" s="45" t="s">
        <v>516</v>
      </c>
      <c r="C70" s="281">
        <f>+C28</f>
        <v>8582625</v>
      </c>
      <c r="D70" s="281">
        <f>+D28</f>
        <v>3997419</v>
      </c>
      <c r="E70" s="281">
        <f>+E28</f>
        <v>4695082</v>
      </c>
    </row>
    <row r="71" spans="1:5" ht="24" customHeight="1">
      <c r="A71" s="17">
        <v>6</v>
      </c>
      <c r="B71" s="45" t="s">
        <v>505</v>
      </c>
      <c r="C71" s="176">
        <f>+C47</f>
        <v>9195956</v>
      </c>
      <c r="D71" s="176">
        <f>+D47</f>
        <v>9516570</v>
      </c>
      <c r="E71" s="176">
        <f>+E47</f>
        <v>9179180</v>
      </c>
    </row>
    <row r="72" spans="1:5" ht="24" customHeight="1">
      <c r="A72" s="17">
        <v>7</v>
      </c>
      <c r="B72" s="45" t="s">
        <v>517</v>
      </c>
      <c r="C72" s="281">
        <f>+C70+C71</f>
        <v>17778581</v>
      </c>
      <c r="D72" s="281">
        <f>+D70+D71</f>
        <v>13513989</v>
      </c>
      <c r="E72" s="281">
        <f>+E70+E71</f>
        <v>13874262</v>
      </c>
    </row>
    <row r="73" spans="1:5" ht="24" customHeight="1">
      <c r="A73" s="17">
        <v>8</v>
      </c>
      <c r="B73" s="45" t="s">
        <v>212</v>
      </c>
      <c r="C73" s="270">
        <f>+C40</f>
        <v>15979198</v>
      </c>
      <c r="D73" s="270">
        <f>+D40</f>
        <v>18801368</v>
      </c>
      <c r="E73" s="270">
        <f>+E40</f>
        <v>28198287</v>
      </c>
    </row>
    <row r="74" spans="1:5" ht="24" customHeight="1">
      <c r="A74" s="17">
        <v>9</v>
      </c>
      <c r="B74" s="45" t="s">
        <v>216</v>
      </c>
      <c r="C74" s="281">
        <v>57765000</v>
      </c>
      <c r="D74" s="281">
        <v>85305000</v>
      </c>
      <c r="E74" s="281">
        <v>82915000</v>
      </c>
    </row>
    <row r="75" spans="1:5" ht="24" customHeight="1">
      <c r="A75" s="17">
        <v>10</v>
      </c>
      <c r="B75" s="285" t="s">
        <v>518</v>
      </c>
      <c r="C75" s="270">
        <f>+C73+C74</f>
        <v>73744198</v>
      </c>
      <c r="D75" s="270">
        <f>+D73+D74</f>
        <v>104106368</v>
      </c>
      <c r="E75" s="270">
        <f>+E73+E74</f>
        <v>111113287</v>
      </c>
    </row>
    <row r="76" spans="1:5" ht="24" customHeight="1">
      <c r="A76" s="275"/>
      <c r="B76" s="187"/>
      <c r="C76" s="278"/>
      <c r="D76" s="278"/>
      <c r="E76" s="277"/>
    </row>
    <row r="77" spans="1:5" ht="24" customHeight="1">
      <c r="A77" s="20">
        <v>11</v>
      </c>
      <c r="B77" s="187" t="s">
        <v>519</v>
      </c>
      <c r="C77" s="286">
        <f>IF(C80=0,0,(C78/C80)*100)</f>
        <v>41.30678019708694</v>
      </c>
      <c r="D77" s="286">
        <f>IF(D80=0,0,(D78/D80)*100)</f>
        <v>52.505680575455614</v>
      </c>
      <c r="E77" s="286">
        <f>IF(E80=0,0,(E78/E80)*100)</f>
        <v>59.10560751718111</v>
      </c>
    </row>
    <row r="78" spans="1:5" ht="24" customHeight="1">
      <c r="A78" s="17">
        <v>12</v>
      </c>
      <c r="B78" s="45" t="s">
        <v>216</v>
      </c>
      <c r="C78" s="270">
        <f>+C74</f>
        <v>57765000</v>
      </c>
      <c r="D78" s="270">
        <f>+D74</f>
        <v>85305000</v>
      </c>
      <c r="E78" s="270">
        <f>+E74</f>
        <v>82915000</v>
      </c>
    </row>
    <row r="79" spans="1:5" ht="24" customHeight="1">
      <c r="A79" s="17">
        <v>13</v>
      </c>
      <c r="B79" s="45" t="s">
        <v>225</v>
      </c>
      <c r="C79" s="270">
        <f>+C32</f>
        <v>82078870</v>
      </c>
      <c r="D79" s="270">
        <f>+D32</f>
        <v>77163135</v>
      </c>
      <c r="E79" s="270">
        <f>+E32</f>
        <v>57367798</v>
      </c>
    </row>
    <row r="80" spans="1:5" ht="24" customHeight="1">
      <c r="A80" s="17">
        <v>14</v>
      </c>
      <c r="B80" s="45" t="s">
        <v>520</v>
      </c>
      <c r="C80" s="270">
        <f>+C78+C79</f>
        <v>139843870</v>
      </c>
      <c r="D80" s="270">
        <f>+D78+D79</f>
        <v>162468135</v>
      </c>
      <c r="E80" s="270">
        <f>+E78+E79</f>
        <v>140282798</v>
      </c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5" right="0.5" top="0.5" bottom="0.5" header="0.25" footer="0.25"/>
  <pageSetup horizontalDpi="1200" verticalDpi="1200" orientation="portrait" scale="74" r:id="rId1"/>
  <headerFooter alignWithMargins="0">
    <oddHeader>&amp;L&amp;8OFFICE OF HEALTH CARE ACCESS&amp;C&amp;8TWELVE MONTHS ACTUAL FILING&amp;R&amp;8MIDSTATE MEDICAL CENTER AND SUBSIDIARIES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SheetLayoutView="75" zoomScalePageLayoutView="0" workbookViewId="0" topLeftCell="A1">
      <selection activeCell="J52" sqref="J52"/>
    </sheetView>
  </sheetViews>
  <sheetFormatPr defaultColWidth="9.140625" defaultRowHeight="12.75"/>
  <cols>
    <col min="1" max="1" width="5.8515625" style="55" customWidth="1"/>
    <col min="2" max="2" width="51.8515625" style="55" customWidth="1"/>
    <col min="3" max="7" width="21.00390625" style="55" customWidth="1"/>
    <col min="8" max="8" width="14.00390625" style="55" bestFit="1" customWidth="1"/>
    <col min="9" max="9" width="15.140625" style="55" customWidth="1"/>
    <col min="10" max="16384" width="9.140625" style="55" customWidth="1"/>
  </cols>
  <sheetData>
    <row r="1" spans="1:9" ht="15.75" customHeight="1">
      <c r="A1" s="287"/>
      <c r="B1" s="126"/>
      <c r="C1" s="126"/>
      <c r="D1" s="288" t="s">
        <v>158</v>
      </c>
      <c r="E1" s="126"/>
      <c r="F1" s="126"/>
      <c r="G1" s="126"/>
      <c r="H1" s="125"/>
      <c r="I1" s="125"/>
    </row>
    <row r="2" spans="1:9" ht="15.75" customHeight="1">
      <c r="A2" s="287"/>
      <c r="B2" s="126"/>
      <c r="C2" s="126"/>
      <c r="D2" s="288" t="s">
        <v>159</v>
      </c>
      <c r="E2" s="126"/>
      <c r="F2" s="126"/>
      <c r="G2" s="126"/>
      <c r="H2" s="125"/>
      <c r="I2" s="125"/>
    </row>
    <row r="3" spans="1:9" ht="15.75" customHeight="1">
      <c r="A3" s="287"/>
      <c r="B3" s="126"/>
      <c r="C3" s="126"/>
      <c r="D3" s="288" t="s">
        <v>160</v>
      </c>
      <c r="E3" s="126"/>
      <c r="F3" s="126"/>
      <c r="G3" s="126"/>
      <c r="H3" s="125"/>
      <c r="I3" s="125"/>
    </row>
    <row r="4" spans="1:9" ht="15.75" customHeight="1">
      <c r="A4" s="287"/>
      <c r="B4" s="126"/>
      <c r="C4" s="126"/>
      <c r="D4" s="288" t="s">
        <v>652</v>
      </c>
      <c r="E4" s="126"/>
      <c r="F4" s="126"/>
      <c r="G4" s="126"/>
      <c r="H4" s="125"/>
      <c r="I4" s="125"/>
    </row>
    <row r="5" spans="1:9" ht="15.75" customHeight="1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>
      <c r="A7" s="287"/>
      <c r="B7" s="126"/>
      <c r="C7" s="126"/>
      <c r="D7" s="126"/>
      <c r="E7" s="126"/>
      <c r="F7" s="126" t="s">
        <v>653</v>
      </c>
      <c r="G7" s="126" t="s">
        <v>653</v>
      </c>
      <c r="H7" s="125"/>
      <c r="I7" s="289"/>
    </row>
    <row r="8" spans="1:9" ht="15.75" customHeight="1">
      <c r="A8" s="287"/>
      <c r="B8" s="126"/>
      <c r="C8" s="126" t="s">
        <v>654</v>
      </c>
      <c r="D8" s="126" t="s">
        <v>655</v>
      </c>
      <c r="E8" s="126" t="s">
        <v>656</v>
      </c>
      <c r="F8" s="126" t="s">
        <v>657</v>
      </c>
      <c r="G8" s="126" t="s">
        <v>658</v>
      </c>
      <c r="H8" s="125"/>
      <c r="I8" s="289"/>
    </row>
    <row r="9" spans="1:9" ht="15.75" customHeight="1">
      <c r="A9" s="290" t="s">
        <v>166</v>
      </c>
      <c r="B9" s="291" t="s">
        <v>167</v>
      </c>
      <c r="C9" s="292" t="s">
        <v>659</v>
      </c>
      <c r="D9" s="292" t="s">
        <v>660</v>
      </c>
      <c r="E9" s="292" t="s">
        <v>661</v>
      </c>
      <c r="F9" s="292" t="s">
        <v>660</v>
      </c>
      <c r="G9" s="292" t="s">
        <v>661</v>
      </c>
      <c r="H9" s="125"/>
      <c r="I9" s="56"/>
    </row>
    <row r="10" spans="1:9" ht="15.75" customHeight="1">
      <c r="A10" s="293" t="s">
        <v>662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>
      <c r="A11" s="294">
        <v>1</v>
      </c>
      <c r="B11" s="295" t="s">
        <v>663</v>
      </c>
      <c r="C11" s="296">
        <v>33728</v>
      </c>
      <c r="D11" s="297">
        <v>102</v>
      </c>
      <c r="E11" s="297">
        <v>102</v>
      </c>
      <c r="F11" s="298">
        <f>IF(D11=0,0,$C11/(D11*365))</f>
        <v>0.9059360730593607</v>
      </c>
      <c r="G11" s="298">
        <f>IF(E11=0,0,$C11/(E11*365))</f>
        <v>0.9059360730593607</v>
      </c>
      <c r="H11" s="125"/>
      <c r="I11" s="299"/>
    </row>
    <row r="12" spans="1:9" ht="15" customHeight="1" thickBot="1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>
      <c r="A13" s="294">
        <v>2</v>
      </c>
      <c r="B13" s="295" t="s">
        <v>664</v>
      </c>
      <c r="C13" s="296">
        <v>1970</v>
      </c>
      <c r="D13" s="297">
        <v>7</v>
      </c>
      <c r="E13" s="297">
        <v>9</v>
      </c>
      <c r="F13" s="298">
        <f>IF(D13=0,0,$C13/(D13*365))</f>
        <v>0.7710371819960861</v>
      </c>
      <c r="G13" s="298">
        <f>IF(E13=0,0,$C13/(E13*365))</f>
        <v>0.5996955859969558</v>
      </c>
      <c r="H13" s="125"/>
      <c r="I13" s="299"/>
    </row>
    <row r="14" spans="1:9" ht="15" customHeight="1">
      <c r="A14" s="294"/>
      <c r="B14" s="141"/>
      <c r="C14" s="296"/>
      <c r="F14" s="298"/>
      <c r="G14" s="298"/>
      <c r="H14" s="125"/>
      <c r="I14" s="299"/>
    </row>
    <row r="15" spans="1:9" ht="15" customHeight="1">
      <c r="A15" s="294">
        <v>3</v>
      </c>
      <c r="B15" s="295" t="s">
        <v>665</v>
      </c>
      <c r="C15" s="296">
        <v>0</v>
      </c>
      <c r="D15" s="297">
        <v>0</v>
      </c>
      <c r="E15" s="297">
        <v>0</v>
      </c>
      <c r="F15" s="298">
        <f aca="true" t="shared" si="0" ref="F15:G17">IF(D15=0,0,$C15/(D15*365))</f>
        <v>0</v>
      </c>
      <c r="G15" s="298">
        <f t="shared" si="0"/>
        <v>0</v>
      </c>
      <c r="H15" s="125"/>
      <c r="I15" s="299"/>
    </row>
    <row r="16" spans="1:9" ht="15" customHeight="1">
      <c r="A16" s="294">
        <v>4</v>
      </c>
      <c r="B16" s="295" t="s">
        <v>666</v>
      </c>
      <c r="C16" s="296">
        <v>1929</v>
      </c>
      <c r="D16" s="297">
        <v>6</v>
      </c>
      <c r="E16" s="297">
        <v>6</v>
      </c>
      <c r="F16" s="298">
        <f t="shared" si="0"/>
        <v>0.8808219178082192</v>
      </c>
      <c r="G16" s="298">
        <f t="shared" si="0"/>
        <v>0.8808219178082192</v>
      </c>
      <c r="H16" s="125"/>
      <c r="I16" s="299"/>
    </row>
    <row r="17" spans="1:9" ht="15.75" customHeight="1">
      <c r="A17" s="293"/>
      <c r="B17" s="135" t="s">
        <v>667</v>
      </c>
      <c r="C17" s="300">
        <f>SUM(C15:C16)</f>
        <v>1929</v>
      </c>
      <c r="D17" s="300">
        <f>SUM(D15:D16)</f>
        <v>6</v>
      </c>
      <c r="E17" s="300">
        <f>SUM(E15:E16)</f>
        <v>6</v>
      </c>
      <c r="F17" s="301">
        <f t="shared" si="0"/>
        <v>0.8808219178082192</v>
      </c>
      <c r="G17" s="301">
        <f t="shared" si="0"/>
        <v>0.8808219178082192</v>
      </c>
      <c r="H17" s="125"/>
      <c r="I17" s="299"/>
    </row>
    <row r="18" spans="1:9" ht="15.75" customHeight="1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>
      <c r="A19" s="294">
        <v>5</v>
      </c>
      <c r="B19" s="295" t="s">
        <v>668</v>
      </c>
      <c r="C19" s="296">
        <v>0</v>
      </c>
      <c r="D19" s="297">
        <v>0</v>
      </c>
      <c r="E19" s="297">
        <v>0</v>
      </c>
      <c r="F19" s="298">
        <f>IF(D19=0,0,$C19/(D19*365))</f>
        <v>0</v>
      </c>
      <c r="G19" s="298">
        <f>IF(E19=0,0,$C19/(E19*365))</f>
        <v>0</v>
      </c>
      <c r="H19" s="125"/>
      <c r="I19" s="299"/>
    </row>
    <row r="20" spans="1:9" ht="15" customHeight="1">
      <c r="A20" s="294"/>
      <c r="B20" s="141"/>
      <c r="F20" s="298"/>
      <c r="G20" s="298"/>
      <c r="H20" s="125"/>
      <c r="I20" s="299"/>
    </row>
    <row r="21" spans="1:9" ht="15" customHeight="1">
      <c r="A21" s="294">
        <v>6</v>
      </c>
      <c r="B21" s="295" t="s">
        <v>669</v>
      </c>
      <c r="C21" s="296">
        <v>2664</v>
      </c>
      <c r="D21" s="297">
        <v>13</v>
      </c>
      <c r="E21" s="297">
        <v>13</v>
      </c>
      <c r="F21" s="298">
        <f>IF(D21=0,0,$C21/(D21*365))</f>
        <v>0.5614330874604847</v>
      </c>
      <c r="G21" s="298">
        <f>IF(E21=0,0,$C21/(E21*365))</f>
        <v>0.5614330874604847</v>
      </c>
      <c r="H21" s="125"/>
      <c r="I21" s="299"/>
    </row>
    <row r="22" spans="1:9" ht="15" customHeight="1">
      <c r="A22" s="294"/>
      <c r="B22" s="141"/>
      <c r="F22" s="298"/>
      <c r="G22" s="298"/>
      <c r="H22" s="125"/>
      <c r="I22" s="299"/>
    </row>
    <row r="23" spans="1:9" ht="15" customHeight="1">
      <c r="A23" s="294">
        <v>7</v>
      </c>
      <c r="B23" s="295" t="s">
        <v>670</v>
      </c>
      <c r="C23" s="296">
        <v>2582</v>
      </c>
      <c r="D23" s="297">
        <v>12</v>
      </c>
      <c r="E23" s="297">
        <v>12</v>
      </c>
      <c r="F23" s="298">
        <f>IF(D23=0,0,$C23/(D23*365))</f>
        <v>0.5894977168949772</v>
      </c>
      <c r="G23" s="298">
        <f>IF(E23=0,0,$C23/(E23*365))</f>
        <v>0.5894977168949772</v>
      </c>
      <c r="H23" s="125"/>
      <c r="I23" s="299"/>
    </row>
    <row r="24" spans="1:9" ht="15" customHeight="1">
      <c r="A24" s="294"/>
      <c r="B24" s="141"/>
      <c r="F24" s="298"/>
      <c r="G24" s="298"/>
      <c r="H24" s="125"/>
      <c r="I24" s="299"/>
    </row>
    <row r="25" spans="1:9" ht="15" customHeight="1">
      <c r="A25" s="294">
        <v>8</v>
      </c>
      <c r="B25" s="295" t="s">
        <v>453</v>
      </c>
      <c r="C25" s="296">
        <v>0</v>
      </c>
      <c r="D25" s="297">
        <v>0</v>
      </c>
      <c r="E25" s="297">
        <v>0</v>
      </c>
      <c r="F25" s="298">
        <f>IF(D25=0,0,$C25/(D25*365))</f>
        <v>0</v>
      </c>
      <c r="G25" s="298">
        <f>IF(E25=0,0,$C25/(E25*365))</f>
        <v>0</v>
      </c>
      <c r="H25" s="125"/>
      <c r="I25" s="299"/>
    </row>
    <row r="26" spans="1:9" ht="15" customHeight="1">
      <c r="A26" s="294"/>
      <c r="B26" s="141"/>
      <c r="F26" s="298"/>
      <c r="G26" s="298"/>
      <c r="H26" s="125"/>
      <c r="I26" s="299"/>
    </row>
    <row r="27" spans="1:9" ht="15" customHeight="1">
      <c r="A27" s="294">
        <v>9</v>
      </c>
      <c r="B27" s="295" t="s">
        <v>671</v>
      </c>
      <c r="C27" s="296">
        <v>0</v>
      </c>
      <c r="D27" s="297">
        <v>0</v>
      </c>
      <c r="E27" s="297">
        <v>0</v>
      </c>
      <c r="F27" s="298">
        <f>IF(D27=0,0,$C27/(D27*365))</f>
        <v>0</v>
      </c>
      <c r="G27" s="298">
        <f>IF(E27=0,0,$C27/(E27*365))</f>
        <v>0</v>
      </c>
      <c r="H27" s="125"/>
      <c r="I27" s="299"/>
    </row>
    <row r="28" spans="1:9" ht="15" customHeight="1">
      <c r="A28" s="294"/>
      <c r="B28" s="141"/>
      <c r="F28" s="298"/>
      <c r="G28" s="298"/>
      <c r="H28" s="125"/>
      <c r="I28" s="299"/>
    </row>
    <row r="29" spans="1:9" ht="15" customHeight="1">
      <c r="A29" s="294">
        <v>10</v>
      </c>
      <c r="B29" s="295" t="s">
        <v>672</v>
      </c>
      <c r="C29" s="296">
        <v>0</v>
      </c>
      <c r="D29" s="297">
        <v>0</v>
      </c>
      <c r="E29" s="297">
        <v>0</v>
      </c>
      <c r="F29" s="298">
        <f>IF(D29=0,0,$C29/(D29*365))</f>
        <v>0</v>
      </c>
      <c r="G29" s="298">
        <f>IF(E29=0,0,$C29/(E29*365))</f>
        <v>0</v>
      </c>
      <c r="H29" s="125"/>
      <c r="I29" s="299"/>
    </row>
    <row r="30" spans="1:9" ht="15.75" customHeight="1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>
      <c r="A31" s="293"/>
      <c r="B31" s="135" t="s">
        <v>673</v>
      </c>
      <c r="C31" s="300">
        <f>SUM(C10:C29)-C17-C23</f>
        <v>40291</v>
      </c>
      <c r="D31" s="300">
        <f>SUM(D10:D29)-D17-D23</f>
        <v>128</v>
      </c>
      <c r="E31" s="300">
        <f>SUM(E10:E29)-E17-E23</f>
        <v>130</v>
      </c>
      <c r="F31" s="301">
        <f>IF(D31=0,0,$C31/(D31*365))</f>
        <v>0.8623929794520548</v>
      </c>
      <c r="G31" s="301">
        <f>IF(E31=0,0,$C31/(E31*365))</f>
        <v>0.8491253951527924</v>
      </c>
      <c r="H31" s="125"/>
      <c r="I31" s="299"/>
    </row>
    <row r="32" spans="1:9" ht="15.75" customHeight="1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>
      <c r="A33" s="293"/>
      <c r="B33" s="135" t="s">
        <v>674</v>
      </c>
      <c r="C33" s="300">
        <f>SUM(C10:C29)-C17</f>
        <v>42873</v>
      </c>
      <c r="D33" s="300">
        <f>SUM(D10:D29)-D17</f>
        <v>140</v>
      </c>
      <c r="E33" s="300">
        <f>SUM(E10:E29)-E17</f>
        <v>142</v>
      </c>
      <c r="F33" s="301">
        <f>IF(D33=0,0,$C33/(D33*365))</f>
        <v>0.8390019569471624</v>
      </c>
      <c r="G33" s="301">
        <f>IF(E33=0,0,$C33/(E33*365))</f>
        <v>0.8271850279760756</v>
      </c>
      <c r="H33" s="125"/>
      <c r="I33" s="299"/>
    </row>
    <row r="34" spans="1:9" ht="15.75" customHeight="1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>
      <c r="A36" s="293"/>
      <c r="B36" s="135" t="s">
        <v>675</v>
      </c>
      <c r="C36" s="300">
        <f>+C33</f>
        <v>42873</v>
      </c>
      <c r="D36" s="300">
        <f>+D33</f>
        <v>140</v>
      </c>
      <c r="E36" s="300">
        <f>+E33</f>
        <v>142</v>
      </c>
      <c r="F36" s="301">
        <f>+F33</f>
        <v>0.8390019569471624</v>
      </c>
      <c r="G36" s="301">
        <f>+G33</f>
        <v>0.8271850279760756</v>
      </c>
      <c r="H36" s="125"/>
      <c r="I36" s="299"/>
    </row>
    <row r="37" spans="1:9" ht="15.75" customHeight="1">
      <c r="A37" s="293"/>
      <c r="B37" s="135" t="s">
        <v>676</v>
      </c>
      <c r="C37" s="300">
        <v>45363</v>
      </c>
      <c r="D37" s="302">
        <v>136</v>
      </c>
      <c r="E37" s="302">
        <v>142</v>
      </c>
      <c r="F37" s="301">
        <f>IF(D37=0,0,$C37/(D37*365))</f>
        <v>0.91383964544722</v>
      </c>
      <c r="G37" s="301">
        <f>IF(E37=0,0,$C37/(E37*365))</f>
        <v>0.8752267026818444</v>
      </c>
      <c r="H37" s="125"/>
      <c r="I37" s="299"/>
    </row>
    <row r="38" spans="1:9" ht="15.75" customHeight="1">
      <c r="A38" s="293"/>
      <c r="B38" s="135" t="s">
        <v>677</v>
      </c>
      <c r="C38" s="300">
        <f>+C36-C37</f>
        <v>-2490</v>
      </c>
      <c r="D38" s="300">
        <f>+D36-D37</f>
        <v>4</v>
      </c>
      <c r="E38" s="300">
        <f>+E36-E37</f>
        <v>0</v>
      </c>
      <c r="F38" s="301">
        <f>+F36-F37</f>
        <v>-0.07483768850005756</v>
      </c>
      <c r="G38" s="301">
        <f>+G36-G37</f>
        <v>-0.04804167470576881</v>
      </c>
      <c r="H38" s="125"/>
      <c r="I38" s="299"/>
    </row>
    <row r="39" spans="1:9" ht="15.75" customHeight="1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>
      <c r="A40" s="293"/>
      <c r="B40" s="135" t="s">
        <v>678</v>
      </c>
      <c r="C40" s="148">
        <f>IF(C37=0,0,C38/C37)</f>
        <v>-0.05489054956682759</v>
      </c>
      <c r="D40" s="148">
        <f>IF(D37=0,0,D38/D37)</f>
        <v>0.029411764705882353</v>
      </c>
      <c r="E40" s="148">
        <f>IF(E37=0,0,E38/E37)</f>
        <v>0</v>
      </c>
      <c r="F40" s="148">
        <f>IF(F37=0,0,F38/F37)</f>
        <v>-0.0818936767220611</v>
      </c>
      <c r="G40" s="148">
        <f>IF(G37=0,0,G38/G37)</f>
        <v>-0.05489054956682754</v>
      </c>
      <c r="H40" s="202"/>
      <c r="I40" s="299"/>
    </row>
    <row r="41" spans="1:9" ht="15.75" customHeight="1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>
      <c r="A42" s="60"/>
      <c r="B42" s="295" t="s">
        <v>679</v>
      </c>
      <c r="C42" s="295">
        <v>156</v>
      </c>
      <c r="D42" s="60"/>
      <c r="E42" s="60"/>
      <c r="F42" s="60"/>
      <c r="G42" s="60"/>
      <c r="H42" s="8"/>
      <c r="I42" s="21"/>
    </row>
    <row r="43" spans="1:9" ht="15.75" customHeight="1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>
      <c r="A44" s="304" t="s">
        <v>680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>
      <c r="A45" s="304" t="s">
        <v>662</v>
      </c>
      <c r="B45" s="305"/>
      <c r="C45" s="125"/>
      <c r="D45" s="125"/>
      <c r="E45" s="125"/>
      <c r="F45" s="125"/>
      <c r="G45" s="125"/>
      <c r="H45" s="125"/>
      <c r="I45" s="299"/>
    </row>
    <row r="46" spans="1:7" ht="15.75" customHeight="1">
      <c r="A46" s="306"/>
      <c r="B46" s="305"/>
      <c r="C46" s="305"/>
      <c r="D46" s="305"/>
      <c r="E46" s="305"/>
      <c r="F46" s="305"/>
      <c r="G46" s="305"/>
    </row>
    <row r="47" spans="2:3" ht="15" customHeight="1">
      <c r="B47" s="26"/>
      <c r="C47" s="48"/>
    </row>
  </sheetData>
  <sheetProtection/>
  <printOptions gridLines="1" horizontalCentered="1"/>
  <pageMargins left="0.5" right="0.5" top="0.5" bottom="0.5" header="0.25" footer="0.25"/>
  <pageSetup horizontalDpi="1200" verticalDpi="1200" orientation="landscape" paperSize="9" scale="76" r:id="rId1"/>
  <headerFooter alignWithMargins="0">
    <oddHeader>&amp;LOFFICE OF HEALTH CARE ACCESS&amp;CTWELVE MONTHS ACTUAL FILING&amp;RMIDSTATE MEDICAL CENTER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1"/>
  <sheetViews>
    <sheetView zoomScaleSheetLayoutView="90" zoomScalePageLayoutView="0" workbookViewId="0" topLeftCell="A1">
      <selection activeCell="B13" sqref="B13"/>
    </sheetView>
  </sheetViews>
  <sheetFormatPr defaultColWidth="9.140625" defaultRowHeight="12.75"/>
  <cols>
    <col min="1" max="1" width="6.8515625" style="308" customWidth="1"/>
    <col min="2" max="2" width="52.7109375" style="307" customWidth="1"/>
    <col min="3" max="4" width="20.7109375" style="307" customWidth="1"/>
    <col min="5" max="5" width="19.00390625" style="307" customWidth="1"/>
    <col min="6" max="8" width="18.57421875" style="307" customWidth="1"/>
    <col min="9" max="9" width="17.57421875" style="307" customWidth="1"/>
    <col min="10" max="11" width="22.00390625" style="307" bestFit="1" customWidth="1"/>
    <col min="12" max="12" width="14.00390625" style="307" bestFit="1" customWidth="1"/>
    <col min="13" max="13" width="15.140625" style="307" customWidth="1"/>
    <col min="14" max="16384" width="9.140625" style="307" customWidth="1"/>
  </cols>
  <sheetData>
    <row r="1" spans="1:6" ht="15.75" customHeight="1">
      <c r="A1" s="698" t="s">
        <v>158</v>
      </c>
      <c r="B1" s="698"/>
      <c r="C1" s="698"/>
      <c r="D1" s="698"/>
      <c r="E1" s="698"/>
      <c r="F1" s="698"/>
    </row>
    <row r="2" spans="1:6" ht="15.75" customHeight="1">
      <c r="A2" s="698" t="s">
        <v>159</v>
      </c>
      <c r="B2" s="698"/>
      <c r="C2" s="698"/>
      <c r="D2" s="698"/>
      <c r="E2" s="698"/>
      <c r="F2" s="698"/>
    </row>
    <row r="3" spans="1:6" ht="15.75" customHeight="1">
      <c r="A3" s="698" t="s">
        <v>160</v>
      </c>
      <c r="B3" s="698"/>
      <c r="C3" s="698"/>
      <c r="D3" s="698"/>
      <c r="E3" s="698"/>
      <c r="F3" s="698"/>
    </row>
    <row r="4" spans="1:6" ht="15.75" customHeight="1">
      <c r="A4" s="698" t="s">
        <v>681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168</v>
      </c>
      <c r="D8" s="312" t="s">
        <v>168</v>
      </c>
      <c r="E8" s="126" t="s">
        <v>164</v>
      </c>
      <c r="F8" s="126" t="s">
        <v>165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166</v>
      </c>
      <c r="B9" s="291" t="s">
        <v>167</v>
      </c>
      <c r="C9" s="292" t="s">
        <v>162</v>
      </c>
      <c r="D9" s="292" t="s">
        <v>163</v>
      </c>
      <c r="E9" s="315" t="s">
        <v>169</v>
      </c>
      <c r="F9" s="315" t="s">
        <v>169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>
      <c r="A11" s="293" t="s">
        <v>172</v>
      </c>
      <c r="B11" s="291" t="s">
        <v>682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>
      <c r="A12" s="294">
        <v>1</v>
      </c>
      <c r="B12" s="295" t="s">
        <v>683</v>
      </c>
      <c r="C12" s="296">
        <v>6571</v>
      </c>
      <c r="D12" s="296">
        <v>6824</v>
      </c>
      <c r="E12" s="296">
        <f>+D12-C12</f>
        <v>253</v>
      </c>
      <c r="F12" s="316">
        <f>IF(C12=0,0,+E12/C12)</f>
        <v>0.03850251103332826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>
      <c r="A13" s="294">
        <v>2</v>
      </c>
      <c r="B13" s="295" t="s">
        <v>684</v>
      </c>
      <c r="C13" s="296">
        <v>6955</v>
      </c>
      <c r="D13" s="296">
        <v>6705</v>
      </c>
      <c r="E13" s="296">
        <f>+D13-C13</f>
        <v>-250</v>
      </c>
      <c r="F13" s="316">
        <f>IF(C13=0,0,+E13/C13)</f>
        <v>-0.035945363048166784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>
      <c r="A14" s="294">
        <v>3</v>
      </c>
      <c r="B14" s="295" t="s">
        <v>685</v>
      </c>
      <c r="C14" s="296">
        <v>8349</v>
      </c>
      <c r="D14" s="296">
        <v>8625</v>
      </c>
      <c r="E14" s="296">
        <f>+D14-C14</f>
        <v>276</v>
      </c>
      <c r="F14" s="316">
        <f>IF(C14=0,0,+E14/C14)</f>
        <v>0.03305785123966942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>
      <c r="A15" s="294">
        <v>4</v>
      </c>
      <c r="B15" s="295" t="s">
        <v>686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>
      <c r="A16" s="293"/>
      <c r="B16" s="135" t="s">
        <v>687</v>
      </c>
      <c r="C16" s="300">
        <f>SUM(C12:C15)</f>
        <v>21875</v>
      </c>
      <c r="D16" s="300">
        <f>SUM(D12:D15)</f>
        <v>22154</v>
      </c>
      <c r="E16" s="300">
        <f>+D16-C16</f>
        <v>279</v>
      </c>
      <c r="F16" s="309">
        <f>IF(C16=0,0,+E16/C16)</f>
        <v>0.012754285714285715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>
      <c r="A18" s="293" t="s">
        <v>184</v>
      </c>
      <c r="B18" s="291" t="s">
        <v>688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>
      <c r="A19" s="294">
        <v>1</v>
      </c>
      <c r="B19" s="295" t="s">
        <v>683</v>
      </c>
      <c r="C19" s="296">
        <v>1072</v>
      </c>
      <c r="D19" s="296">
        <v>1220</v>
      </c>
      <c r="E19" s="296">
        <f>+D19-C19</f>
        <v>148</v>
      </c>
      <c r="F19" s="316">
        <f>IF(C19=0,0,+E19/C19)</f>
        <v>0.13805970149253732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>
      <c r="A20" s="294">
        <v>2</v>
      </c>
      <c r="B20" s="295" t="s">
        <v>684</v>
      </c>
      <c r="C20" s="296">
        <v>6005</v>
      </c>
      <c r="D20" s="296">
        <v>7194</v>
      </c>
      <c r="E20" s="296">
        <f>+D20-C20</f>
        <v>1189</v>
      </c>
      <c r="F20" s="316">
        <f>IF(C20=0,0,+E20/C20)</f>
        <v>0.19800166527893423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>
      <c r="A21" s="294">
        <v>3</v>
      </c>
      <c r="B21" s="295" t="s">
        <v>685</v>
      </c>
      <c r="C21" s="296">
        <v>293</v>
      </c>
      <c r="D21" s="296">
        <v>256</v>
      </c>
      <c r="E21" s="296">
        <f>+D21-C21</f>
        <v>-37</v>
      </c>
      <c r="F21" s="316">
        <f>IF(C21=0,0,+E21/C21)</f>
        <v>-0.12627986348122866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>
      <c r="A22" s="294">
        <v>4</v>
      </c>
      <c r="B22" s="295" t="s">
        <v>686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>
      <c r="A23" s="293"/>
      <c r="B23" s="135" t="s">
        <v>689</v>
      </c>
      <c r="C23" s="300">
        <f>SUM(C19:C22)</f>
        <v>7370</v>
      </c>
      <c r="D23" s="300">
        <f>SUM(D19:D22)</f>
        <v>8670</v>
      </c>
      <c r="E23" s="300">
        <f>+D23-C23</f>
        <v>1300</v>
      </c>
      <c r="F23" s="309">
        <f>IF(C23=0,0,+E23/C23)</f>
        <v>0.17639077340569878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>
      <c r="A25" s="293" t="s">
        <v>194</v>
      </c>
      <c r="B25" s="291" t="s">
        <v>690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>
      <c r="A26" s="294">
        <v>1</v>
      </c>
      <c r="B26" s="295" t="s">
        <v>683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>
      <c r="A27" s="294">
        <v>2</v>
      </c>
      <c r="B27" s="295" t="s">
        <v>684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>
      <c r="A28" s="294">
        <v>3</v>
      </c>
      <c r="B28" s="295" t="s">
        <v>685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>
      <c r="A29" s="294">
        <v>4</v>
      </c>
      <c r="B29" s="295" t="s">
        <v>686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>
      <c r="A30" s="293"/>
      <c r="B30" s="135" t="s">
        <v>691</v>
      </c>
      <c r="C30" s="300">
        <f>SUM(C26:C29)</f>
        <v>0</v>
      </c>
      <c r="D30" s="300">
        <f>SUM(D26:D29)</f>
        <v>0</v>
      </c>
      <c r="E30" s="300">
        <f>+D30-C30</f>
        <v>0</v>
      </c>
      <c r="F30" s="309">
        <f>IF(C30=0,0,+E30/C30)</f>
        <v>0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>
      <c r="A32" s="293" t="s">
        <v>479</v>
      </c>
      <c r="B32" s="291" t="s">
        <v>692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>
      <c r="A33" s="294">
        <v>1</v>
      </c>
      <c r="B33" s="295" t="s">
        <v>683</v>
      </c>
      <c r="C33" s="296">
        <v>17</v>
      </c>
      <c r="D33" s="296">
        <v>3</v>
      </c>
      <c r="E33" s="296">
        <f>+D33-C33</f>
        <v>-14</v>
      </c>
      <c r="F33" s="316">
        <f>IF(C33=0,0,+E33/C33)</f>
        <v>-0.8235294117647058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>
      <c r="A34" s="294">
        <v>2</v>
      </c>
      <c r="B34" s="295" t="s">
        <v>684</v>
      </c>
      <c r="C34" s="296">
        <v>483</v>
      </c>
      <c r="D34" s="296">
        <v>420</v>
      </c>
      <c r="E34" s="296">
        <f>+D34-C34</f>
        <v>-63</v>
      </c>
      <c r="F34" s="316">
        <f>IF(C34=0,0,+E34/C34)</f>
        <v>-0.13043478260869565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>
      <c r="A35" s="294">
        <v>3</v>
      </c>
      <c r="B35" s="295" t="s">
        <v>685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>
      <c r="A36" s="294">
        <v>4</v>
      </c>
      <c r="B36" s="295" t="s">
        <v>686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>
      <c r="A37" s="293"/>
      <c r="B37" s="135" t="s">
        <v>693</v>
      </c>
      <c r="C37" s="300">
        <f>SUM(C33:C36)</f>
        <v>500</v>
      </c>
      <c r="D37" s="300">
        <f>SUM(D33:D36)</f>
        <v>423</v>
      </c>
      <c r="E37" s="300">
        <f>+D37-C37</f>
        <v>-77</v>
      </c>
      <c r="F37" s="309">
        <f>IF(C37=0,0,+E37/C37)</f>
        <v>-0.154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>
      <c r="A39" s="293"/>
      <c r="B39" s="135" t="s">
        <v>694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>
      <c r="A40" s="293"/>
      <c r="B40" s="135" t="s">
        <v>695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>
      <c r="A42" s="293" t="s">
        <v>500</v>
      </c>
      <c r="B42" s="291" t="s">
        <v>696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>
      <c r="A43" s="294">
        <v>1</v>
      </c>
      <c r="B43" s="295" t="s">
        <v>697</v>
      </c>
      <c r="C43" s="296">
        <v>336</v>
      </c>
      <c r="D43" s="296">
        <v>134</v>
      </c>
      <c r="E43" s="296">
        <f>+D43-C43</f>
        <v>-202</v>
      </c>
      <c r="F43" s="316">
        <f>IF(C43=0,0,+E43/C43)</f>
        <v>-0.6011904761904762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>
      <c r="A44" s="294">
        <v>2</v>
      </c>
      <c r="B44" s="295" t="s">
        <v>698</v>
      </c>
      <c r="C44" s="296">
        <v>6190</v>
      </c>
      <c r="D44" s="296">
        <v>5403</v>
      </c>
      <c r="E44" s="296">
        <f>+D44-C44</f>
        <v>-787</v>
      </c>
      <c r="F44" s="316">
        <f>IF(C44=0,0,+E44/C44)</f>
        <v>-0.12714054927302101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>
      <c r="A45" s="293"/>
      <c r="B45" s="135" t="s">
        <v>699</v>
      </c>
      <c r="C45" s="300">
        <f>SUM(C43:C44)</f>
        <v>6526</v>
      </c>
      <c r="D45" s="300">
        <f>SUM(D43:D44)</f>
        <v>5537</v>
      </c>
      <c r="E45" s="300">
        <f>+D45-C45</f>
        <v>-989</v>
      </c>
      <c r="F45" s="309">
        <f>IF(C45=0,0,+E45/C45)</f>
        <v>-0.15154765553171928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>
      <c r="A47" s="293" t="s">
        <v>512</v>
      </c>
      <c r="B47" s="291" t="s">
        <v>700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>
      <c r="A48" s="294">
        <v>1</v>
      </c>
      <c r="B48" s="295" t="s">
        <v>697</v>
      </c>
      <c r="C48" s="296">
        <v>0</v>
      </c>
      <c r="D48" s="296">
        <v>0</v>
      </c>
      <c r="E48" s="296">
        <f>+D48-C48</f>
        <v>0</v>
      </c>
      <c r="F48" s="316">
        <f>IF(C48=0,0,+E48/C48)</f>
        <v>0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>
      <c r="A49" s="294">
        <v>2</v>
      </c>
      <c r="B49" s="295" t="s">
        <v>698</v>
      </c>
      <c r="C49" s="296">
        <v>0</v>
      </c>
      <c r="D49" s="296">
        <v>0</v>
      </c>
      <c r="E49" s="296">
        <f>+D49-C49</f>
        <v>0</v>
      </c>
      <c r="F49" s="316">
        <f>IF(C49=0,0,+E49/C49)</f>
        <v>0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>
      <c r="A50" s="293"/>
      <c r="B50" s="135" t="s">
        <v>701</v>
      </c>
      <c r="C50" s="300">
        <f>SUM(C48:C49)</f>
        <v>0</v>
      </c>
      <c r="D50" s="300">
        <f>SUM(D48:D49)</f>
        <v>0</v>
      </c>
      <c r="E50" s="300">
        <f>+D50-C50</f>
        <v>0</v>
      </c>
      <c r="F50" s="309">
        <f>IF(C50=0,0,+E50/C50)</f>
        <v>0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>
      <c r="A52" s="293" t="s">
        <v>524</v>
      </c>
      <c r="B52" s="291" t="s">
        <v>702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>
      <c r="A53" s="294">
        <v>1</v>
      </c>
      <c r="B53" s="295" t="s">
        <v>703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>
      <c r="A54" s="294">
        <v>2</v>
      </c>
      <c r="B54" s="295" t="s">
        <v>704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>
      <c r="A55" s="293"/>
      <c r="B55" s="135" t="s">
        <v>705</v>
      </c>
      <c r="C55" s="300">
        <f>SUM(C53:C54)</f>
        <v>0</v>
      </c>
      <c r="D55" s="300">
        <f>SUM(D53:D54)</f>
        <v>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>
      <c r="A57" s="293" t="s">
        <v>528</v>
      </c>
      <c r="B57" s="291" t="s">
        <v>706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>
      <c r="A58" s="294">
        <v>1</v>
      </c>
      <c r="B58" s="295" t="s">
        <v>707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>
      <c r="A59" s="294">
        <v>2</v>
      </c>
      <c r="B59" s="295" t="s">
        <v>708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>
      <c r="A60" s="293"/>
      <c r="B60" s="135" t="s">
        <v>709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>
      <c r="A62" s="293" t="s">
        <v>170</v>
      </c>
      <c r="B62" s="291" t="s">
        <v>710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>
      <c r="A63" s="294">
        <v>1</v>
      </c>
      <c r="B63" s="295" t="s">
        <v>711</v>
      </c>
      <c r="C63" s="296">
        <v>2446</v>
      </c>
      <c r="D63" s="296">
        <v>2448</v>
      </c>
      <c r="E63" s="296">
        <f>+D63-C63</f>
        <v>2</v>
      </c>
      <c r="F63" s="316">
        <f>IF(C63=0,0,+E63/C63)</f>
        <v>0.0008176614881439084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>
      <c r="A64" s="294">
        <v>2</v>
      </c>
      <c r="B64" s="295" t="s">
        <v>712</v>
      </c>
      <c r="C64" s="296">
        <v>5877</v>
      </c>
      <c r="D64" s="296">
        <v>5780</v>
      </c>
      <c r="E64" s="296">
        <f>+D64-C64</f>
        <v>-97</v>
      </c>
      <c r="F64" s="316">
        <f>IF(C64=0,0,+E64/C64)</f>
        <v>-0.016505019567806704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>
      <c r="A65" s="293"/>
      <c r="B65" s="135" t="s">
        <v>713</v>
      </c>
      <c r="C65" s="300">
        <f>SUM(C63:C64)</f>
        <v>8323</v>
      </c>
      <c r="D65" s="300">
        <f>SUM(D63:D64)</f>
        <v>8228</v>
      </c>
      <c r="E65" s="300">
        <f>+D65-C65</f>
        <v>-95</v>
      </c>
      <c r="F65" s="309">
        <f>IF(C65=0,0,+E65/C65)</f>
        <v>-0.0114141535504025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>
      <c r="A67" s="293" t="s">
        <v>554</v>
      </c>
      <c r="B67" s="291" t="s">
        <v>714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>
      <c r="A68" s="294">
        <v>1</v>
      </c>
      <c r="B68" s="295" t="s">
        <v>715</v>
      </c>
      <c r="C68" s="296">
        <v>1206</v>
      </c>
      <c r="D68" s="296">
        <v>1160</v>
      </c>
      <c r="E68" s="296">
        <f>+D68-C68</f>
        <v>-46</v>
      </c>
      <c r="F68" s="316">
        <f>IF(C68=0,0,+E68/C68)</f>
        <v>-0.03814262023217247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>
      <c r="A69" s="294">
        <v>2</v>
      </c>
      <c r="B69" s="295" t="s">
        <v>716</v>
      </c>
      <c r="C69" s="296">
        <v>7001</v>
      </c>
      <c r="D69" s="296">
        <v>6379</v>
      </c>
      <c r="E69" s="296">
        <f>+D69-C69</f>
        <v>-622</v>
      </c>
      <c r="F69" s="318">
        <f>IF(C69=0,0,+E69/C69)</f>
        <v>-0.08884445079274389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>
      <c r="A70" s="293"/>
      <c r="B70" s="135" t="s">
        <v>717</v>
      </c>
      <c r="C70" s="300">
        <f>SUM(C68:C69)</f>
        <v>8207</v>
      </c>
      <c r="D70" s="300">
        <f>SUM(D68:D69)</f>
        <v>7539</v>
      </c>
      <c r="E70" s="300">
        <f>+D70-C70</f>
        <v>-668</v>
      </c>
      <c r="F70" s="309">
        <f>IF(C70=0,0,+E70/C70)</f>
        <v>-0.08139393200926039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>
      <c r="A72" s="293" t="s">
        <v>570</v>
      </c>
      <c r="B72" s="291" t="s">
        <v>718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>
      <c r="A73" s="294">
        <v>1</v>
      </c>
      <c r="B73" s="295" t="s">
        <v>719</v>
      </c>
      <c r="C73" s="319">
        <v>6098</v>
      </c>
      <c r="D73" s="319">
        <v>6415</v>
      </c>
      <c r="E73" s="296">
        <f>+D73-C73</f>
        <v>317</v>
      </c>
      <c r="F73" s="316">
        <f>IF(C73=0,0,+E73/C73)</f>
        <v>0.05198425713348639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>
      <c r="A74" s="294">
        <v>2</v>
      </c>
      <c r="B74" s="295" t="s">
        <v>720</v>
      </c>
      <c r="C74" s="319">
        <v>61902</v>
      </c>
      <c r="D74" s="319">
        <v>60480</v>
      </c>
      <c r="E74" s="296">
        <f>+D74-C74</f>
        <v>-1422</v>
      </c>
      <c r="F74" s="316">
        <f>IF(C74=0,0,+E74/C74)</f>
        <v>-0.022971794126199478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>
      <c r="A75" s="293"/>
      <c r="B75" s="135" t="s">
        <v>586</v>
      </c>
      <c r="C75" s="300">
        <f>SUM(C73:C74)</f>
        <v>68000</v>
      </c>
      <c r="D75" s="300">
        <f>SUM(D73:D74)</f>
        <v>66895</v>
      </c>
      <c r="E75" s="300">
        <f>SUM(E73:E74)</f>
        <v>-1105</v>
      </c>
      <c r="F75" s="309">
        <f>IF(C75=0,0,+E75/C75)</f>
        <v>-0.01625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>
      <c r="A78" s="293" t="s">
        <v>579</v>
      </c>
      <c r="B78" s="291" t="s">
        <v>721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>
      <c r="A79" s="294">
        <v>1</v>
      </c>
      <c r="B79" s="295" t="s">
        <v>722</v>
      </c>
      <c r="C79" s="319">
        <v>0</v>
      </c>
      <c r="D79" s="319">
        <v>0</v>
      </c>
      <c r="E79" s="296">
        <f aca="true" t="shared" si="0" ref="E79:E84">+D79-C79</f>
        <v>0</v>
      </c>
      <c r="F79" s="316">
        <f aca="true" t="shared" si="1" ref="F79:F84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>
      <c r="A80" s="294">
        <v>2</v>
      </c>
      <c r="B80" s="295" t="s">
        <v>723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>
      <c r="A81" s="294">
        <v>3</v>
      </c>
      <c r="B81" s="295" t="s">
        <v>724</v>
      </c>
      <c r="C81" s="319">
        <v>0</v>
      </c>
      <c r="D81" s="319">
        <v>0</v>
      </c>
      <c r="E81" s="296">
        <f t="shared" si="0"/>
        <v>0</v>
      </c>
      <c r="F81" s="316">
        <f t="shared" si="1"/>
        <v>0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>
      <c r="A82" s="294">
        <v>4</v>
      </c>
      <c r="B82" s="295" t="s">
        <v>725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>
      <c r="A83" s="294">
        <v>5</v>
      </c>
      <c r="B83" s="295" t="s">
        <v>726</v>
      </c>
      <c r="C83" s="319">
        <v>2600</v>
      </c>
      <c r="D83" s="319">
        <v>2192</v>
      </c>
      <c r="E83" s="296">
        <f t="shared" si="0"/>
        <v>-408</v>
      </c>
      <c r="F83" s="316">
        <f t="shared" si="1"/>
        <v>-0.15692307692307692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>
      <c r="A84" s="293"/>
      <c r="B84" s="135" t="s">
        <v>727</v>
      </c>
      <c r="C84" s="320">
        <f>SUM(C79:C83)</f>
        <v>2600</v>
      </c>
      <c r="D84" s="320">
        <f>SUM(D79:D83)</f>
        <v>2192</v>
      </c>
      <c r="E84" s="300">
        <f t="shared" si="0"/>
        <v>-408</v>
      </c>
      <c r="F84" s="309">
        <f t="shared" si="1"/>
        <v>-0.15692307692307692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>
      <c r="A86" s="293" t="s">
        <v>582</v>
      </c>
      <c r="B86" s="291" t="s">
        <v>728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>
      <c r="A87" s="294">
        <v>1</v>
      </c>
      <c r="B87" s="295" t="s">
        <v>729</v>
      </c>
      <c r="C87" s="322">
        <v>186</v>
      </c>
      <c r="D87" s="322">
        <v>186</v>
      </c>
      <c r="E87" s="323">
        <f aca="true" t="shared" si="2" ref="E87:E92">+D87-C87</f>
        <v>0</v>
      </c>
      <c r="F87" s="318">
        <f aca="true" t="shared" si="3" ref="F87:F92">IF(C87=0,0,+E87/C87)</f>
        <v>0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>
      <c r="A88" s="294">
        <v>2</v>
      </c>
      <c r="B88" s="295" t="s">
        <v>421</v>
      </c>
      <c r="C88" s="322">
        <v>2281</v>
      </c>
      <c r="D88" s="322">
        <v>2283</v>
      </c>
      <c r="E88" s="296">
        <f t="shared" si="2"/>
        <v>2</v>
      </c>
      <c r="F88" s="316">
        <f t="shared" si="3"/>
        <v>0.0008768084173608067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>
      <c r="A89" s="294">
        <v>3</v>
      </c>
      <c r="B89" s="295" t="s">
        <v>730</v>
      </c>
      <c r="C89" s="322">
        <v>532</v>
      </c>
      <c r="D89" s="322">
        <v>308</v>
      </c>
      <c r="E89" s="296">
        <f t="shared" si="2"/>
        <v>-224</v>
      </c>
      <c r="F89" s="316">
        <f t="shared" si="3"/>
        <v>-0.42105263157894735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>
      <c r="A90" s="294">
        <v>4</v>
      </c>
      <c r="B90" s="295" t="s">
        <v>731</v>
      </c>
      <c r="C90" s="322">
        <v>7001</v>
      </c>
      <c r="D90" s="322">
        <v>6379</v>
      </c>
      <c r="E90" s="296">
        <f t="shared" si="2"/>
        <v>-622</v>
      </c>
      <c r="F90" s="316">
        <f t="shared" si="3"/>
        <v>-0.08884445079274389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>
      <c r="A91" s="294">
        <v>5</v>
      </c>
      <c r="B91" s="295" t="s">
        <v>732</v>
      </c>
      <c r="C91" s="322">
        <v>72234</v>
      </c>
      <c r="D91" s="322">
        <v>79910</v>
      </c>
      <c r="E91" s="296">
        <f t="shared" si="2"/>
        <v>7676</v>
      </c>
      <c r="F91" s="316">
        <f t="shared" si="3"/>
        <v>0.10626574743195726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>
      <c r="A92" s="293"/>
      <c r="B92" s="135" t="s">
        <v>733</v>
      </c>
      <c r="C92" s="320">
        <f>SUM(C87:C91)</f>
        <v>82234</v>
      </c>
      <c r="D92" s="320">
        <f>SUM(D87:D91)</f>
        <v>89066</v>
      </c>
      <c r="E92" s="300">
        <f t="shared" si="2"/>
        <v>6832</v>
      </c>
      <c r="F92" s="309">
        <f t="shared" si="3"/>
        <v>0.08307999124449741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>
      <c r="A95" s="293" t="s">
        <v>734</v>
      </c>
      <c r="B95" s="291" t="s">
        <v>735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>
      <c r="A96" s="294">
        <v>1</v>
      </c>
      <c r="B96" s="295" t="s">
        <v>736</v>
      </c>
      <c r="C96" s="325">
        <v>284</v>
      </c>
      <c r="D96" s="325">
        <v>304.2</v>
      </c>
      <c r="E96" s="326">
        <f>+D96-C96</f>
        <v>20.19999999999999</v>
      </c>
      <c r="F96" s="316">
        <f>IF(C96=0,0,+E96/C96)</f>
        <v>0.07112676056338024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>
      <c r="A97" s="294">
        <v>2</v>
      </c>
      <c r="B97" s="295" t="s">
        <v>737</v>
      </c>
      <c r="C97" s="325">
        <v>45.3</v>
      </c>
      <c r="D97" s="325">
        <v>47.6</v>
      </c>
      <c r="E97" s="326">
        <f>+D97-C97</f>
        <v>2.3000000000000043</v>
      </c>
      <c r="F97" s="316">
        <f>IF(C97=0,0,+E97/C97)</f>
        <v>0.05077262693156743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>
      <c r="A98" s="294">
        <v>3</v>
      </c>
      <c r="B98" s="295" t="s">
        <v>738</v>
      </c>
      <c r="C98" s="325">
        <v>579.7</v>
      </c>
      <c r="D98" s="325">
        <v>598.7</v>
      </c>
      <c r="E98" s="326">
        <f>+D98-C98</f>
        <v>19</v>
      </c>
      <c r="F98" s="316">
        <f>IF(C98=0,0,+E98/C98)</f>
        <v>0.03277557357253752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>
      <c r="A99" s="293"/>
      <c r="B99" s="135" t="s">
        <v>739</v>
      </c>
      <c r="C99" s="327">
        <f>SUM(C96:C98)</f>
        <v>909</v>
      </c>
      <c r="D99" s="327">
        <f>SUM(D96:D98)</f>
        <v>950.5</v>
      </c>
      <c r="E99" s="327">
        <f>+D99-C99</f>
        <v>41.5</v>
      </c>
      <c r="F99" s="309">
        <f>IF(C99=0,0,+E99/C99)</f>
        <v>0.04565456545654566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ht="15.75" customHeight="1">
      <c r="B111" s="304"/>
    </row>
  </sheetData>
  <sheetProtection/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72" r:id="rId1"/>
  <headerFooter alignWithMargins="0">
    <oddHeader>&amp;LOFFICE OF HEALTH CARE ACCESS&amp;CTWELVE MONTHS ACTUAL FILING&amp;RMIDSTATE MEDICAL CENTER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zoomScaleSheetLayoutView="90" zoomScalePageLayoutView="0" workbookViewId="0" topLeftCell="A4">
      <selection activeCell="B29" sqref="B29:F29"/>
    </sheetView>
  </sheetViews>
  <sheetFormatPr defaultColWidth="9.140625" defaultRowHeight="12.75"/>
  <cols>
    <col min="1" max="1" width="6.00390625" style="308" customWidth="1"/>
    <col min="2" max="2" width="56.00390625" style="307" customWidth="1"/>
    <col min="3" max="3" width="15.57421875" style="307" customWidth="1"/>
    <col min="4" max="4" width="15.28125" style="307" customWidth="1"/>
    <col min="5" max="5" width="15.7109375" style="307" customWidth="1"/>
    <col min="6" max="6" width="15.8515625" style="307" customWidth="1"/>
    <col min="7" max="16384" width="9.140625" style="307" customWidth="1"/>
  </cols>
  <sheetData>
    <row r="1" spans="1:6" ht="15.75" customHeight="1">
      <c r="A1" s="698" t="s">
        <v>158</v>
      </c>
      <c r="B1" s="698"/>
      <c r="C1" s="698"/>
      <c r="D1" s="698"/>
      <c r="E1" s="698"/>
      <c r="F1" s="698"/>
    </row>
    <row r="2" spans="1:6" ht="15.75" customHeight="1">
      <c r="A2" s="698" t="s">
        <v>159</v>
      </c>
      <c r="B2" s="698"/>
      <c r="C2" s="698"/>
      <c r="D2" s="698"/>
      <c r="E2" s="698"/>
      <c r="F2" s="698"/>
    </row>
    <row r="3" spans="1:6" ht="15.75" customHeight="1">
      <c r="A3" s="698" t="s">
        <v>160</v>
      </c>
      <c r="B3" s="698"/>
      <c r="C3" s="698"/>
      <c r="D3" s="698"/>
      <c r="E3" s="698"/>
      <c r="F3" s="698"/>
    </row>
    <row r="4" spans="1:6" ht="15.75" customHeight="1">
      <c r="A4" s="698" t="s">
        <v>740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168</v>
      </c>
      <c r="D8" s="312" t="s">
        <v>168</v>
      </c>
      <c r="E8" s="126" t="s">
        <v>164</v>
      </c>
      <c r="F8" s="126" t="s">
        <v>165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166</v>
      </c>
      <c r="B9" s="291" t="s">
        <v>167</v>
      </c>
      <c r="C9" s="292" t="s">
        <v>162</v>
      </c>
      <c r="D9" s="292" t="s">
        <v>163</v>
      </c>
      <c r="E9" s="315" t="s">
        <v>169</v>
      </c>
      <c r="F9" s="315" t="s">
        <v>169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6" ht="15.75" customHeight="1">
      <c r="A11" s="293" t="s">
        <v>268</v>
      </c>
      <c r="B11" s="291" t="s">
        <v>712</v>
      </c>
      <c r="C11" s="296"/>
      <c r="D11" s="296"/>
      <c r="E11" s="296"/>
      <c r="F11" s="316"/>
    </row>
    <row r="12" spans="1:6" ht="15.75" customHeight="1">
      <c r="A12" s="294">
        <v>1</v>
      </c>
      <c r="B12" s="295" t="s">
        <v>741</v>
      </c>
      <c r="C12" s="296">
        <v>5877</v>
      </c>
      <c r="D12" s="296">
        <v>5780</v>
      </c>
      <c r="E12" s="296">
        <f>+D12-C12</f>
        <v>-97</v>
      </c>
      <c r="F12" s="316">
        <f>IF(C12=0,0,+E12/C12)</f>
        <v>-0.016505019567806704</v>
      </c>
    </row>
    <row r="13" spans="1:6" ht="15.75" customHeight="1">
      <c r="A13" s="294"/>
      <c r="B13" s="135" t="s">
        <v>742</v>
      </c>
      <c r="C13" s="300">
        <f>SUM(C11:C12)</f>
        <v>5877</v>
      </c>
      <c r="D13" s="300">
        <f>SUM(D11:D12)</f>
        <v>5780</v>
      </c>
      <c r="E13" s="300">
        <f>+D13-C13</f>
        <v>-97</v>
      </c>
      <c r="F13" s="309">
        <f>IF(C13=0,0,+E13/C13)</f>
        <v>-0.016505019567806704</v>
      </c>
    </row>
    <row r="14" spans="1:6" ht="15.75" customHeight="1">
      <c r="A14" s="293"/>
      <c r="B14" s="135"/>
      <c r="C14" s="300"/>
      <c r="D14" s="300"/>
      <c r="E14" s="300"/>
      <c r="F14" s="309"/>
    </row>
    <row r="15" spans="1:6" ht="15.75" customHeight="1">
      <c r="A15" s="293" t="s">
        <v>282</v>
      </c>
      <c r="B15" s="291" t="s">
        <v>716</v>
      </c>
      <c r="C15" s="296"/>
      <c r="D15" s="296"/>
      <c r="E15" s="296"/>
      <c r="F15" s="316"/>
    </row>
    <row r="16" spans="1:6" ht="15.75" customHeight="1">
      <c r="A16" s="294">
        <v>1</v>
      </c>
      <c r="B16" s="295" t="s">
        <v>741</v>
      </c>
      <c r="C16" s="296">
        <v>7001</v>
      </c>
      <c r="D16" s="296">
        <v>6379</v>
      </c>
      <c r="E16" s="296">
        <f>+D16-C16</f>
        <v>-622</v>
      </c>
      <c r="F16" s="316">
        <f>IF(C16=0,0,+E16/C16)</f>
        <v>-0.08884445079274389</v>
      </c>
    </row>
    <row r="17" spans="1:6" ht="15.75" customHeight="1">
      <c r="A17" s="294"/>
      <c r="B17" s="135" t="s">
        <v>743</v>
      </c>
      <c r="C17" s="300">
        <f>SUM(C15:C16)</f>
        <v>7001</v>
      </c>
      <c r="D17" s="300">
        <f>SUM(D15:D16)</f>
        <v>6379</v>
      </c>
      <c r="E17" s="300">
        <f>+D17-C17</f>
        <v>-622</v>
      </c>
      <c r="F17" s="309">
        <f>IF(C17=0,0,+E17/C17)</f>
        <v>-0.08884445079274389</v>
      </c>
    </row>
    <row r="18" spans="1:6" ht="15.75" customHeight="1">
      <c r="A18" s="293"/>
      <c r="B18" s="135"/>
      <c r="C18" s="300"/>
      <c r="D18" s="300"/>
      <c r="E18" s="300"/>
      <c r="F18" s="309"/>
    </row>
    <row r="19" spans="1:6" ht="15.75" customHeight="1">
      <c r="A19" s="293" t="s">
        <v>299</v>
      </c>
      <c r="B19" s="291" t="s">
        <v>744</v>
      </c>
      <c r="C19" s="296"/>
      <c r="D19" s="296"/>
      <c r="E19" s="296"/>
      <c r="F19" s="316"/>
    </row>
    <row r="20" spans="1:6" ht="15.75" customHeight="1">
      <c r="A20" s="294">
        <v>1</v>
      </c>
      <c r="B20" s="295" t="s">
        <v>745</v>
      </c>
      <c r="C20" s="296">
        <v>18435</v>
      </c>
      <c r="D20" s="296">
        <v>11712</v>
      </c>
      <c r="E20" s="296">
        <f>+D20-C20</f>
        <v>-6723</v>
      </c>
      <c r="F20" s="316">
        <f>IF(C20=0,0,+E20/C20)</f>
        <v>-0.364686737184703</v>
      </c>
    </row>
    <row r="21" spans="1:6" ht="15.75" customHeight="1">
      <c r="A21" s="294">
        <v>2</v>
      </c>
      <c r="B21" s="295" t="s">
        <v>741</v>
      </c>
      <c r="C21" s="296">
        <v>43467</v>
      </c>
      <c r="D21" s="296">
        <v>42387</v>
      </c>
      <c r="E21" s="296">
        <f>+D21-C21</f>
        <v>-1080</v>
      </c>
      <c r="F21" s="316">
        <f>IF(C21=0,0,+E21/C21)</f>
        <v>-0.024846435226723723</v>
      </c>
    </row>
    <row r="22" spans="1:6" ht="15.75" customHeight="1">
      <c r="A22" s="294">
        <v>3</v>
      </c>
      <c r="B22" s="295" t="s">
        <v>746</v>
      </c>
      <c r="C22" s="296">
        <v>0</v>
      </c>
      <c r="D22" s="296">
        <v>6381</v>
      </c>
      <c r="E22" s="296">
        <f>+D22-C22</f>
        <v>6381</v>
      </c>
      <c r="F22" s="316">
        <f>IF(C22=0,0,+E22/C22)</f>
        <v>0</v>
      </c>
    </row>
    <row r="23" spans="1:6" ht="15.75" customHeight="1">
      <c r="A23" s="294"/>
      <c r="B23" s="135" t="s">
        <v>747</v>
      </c>
      <c r="C23" s="300">
        <f>SUM(C19:C22)</f>
        <v>61902</v>
      </c>
      <c r="D23" s="300">
        <f>SUM(D19:D22)</f>
        <v>60480</v>
      </c>
      <c r="E23" s="300">
        <f>+D23-C23</f>
        <v>-1422</v>
      </c>
      <c r="F23" s="309">
        <f>IF(C23=0,0,+E23/C23)</f>
        <v>-0.022971794126199478</v>
      </c>
    </row>
    <row r="24" spans="1:6" ht="15.75" customHeight="1">
      <c r="A24" s="293"/>
      <c r="B24" s="135"/>
      <c r="C24" s="300"/>
      <c r="D24" s="300"/>
      <c r="E24" s="300"/>
      <c r="F24" s="309"/>
    </row>
    <row r="25" spans="2:6" ht="15.75" customHeight="1">
      <c r="B25" s="699" t="s">
        <v>748</v>
      </c>
      <c r="C25" s="700"/>
      <c r="D25" s="700"/>
      <c r="E25" s="700"/>
      <c r="F25" s="701"/>
    </row>
    <row r="26" spans="1:6" ht="15.75" customHeight="1">
      <c r="A26" s="293"/>
      <c r="B26" s="135"/>
      <c r="C26" s="300"/>
      <c r="D26" s="300"/>
      <c r="E26" s="300"/>
      <c r="F26" s="309"/>
    </row>
    <row r="27" spans="2:6" ht="15.75" customHeight="1">
      <c r="B27" s="699" t="s">
        <v>749</v>
      </c>
      <c r="C27" s="700"/>
      <c r="D27" s="700"/>
      <c r="E27" s="700"/>
      <c r="F27" s="701"/>
    </row>
    <row r="28" spans="1:6" ht="15.75" customHeight="1">
      <c r="A28" s="293"/>
      <c r="B28" s="135"/>
      <c r="C28" s="300"/>
      <c r="D28" s="300"/>
      <c r="E28" s="300"/>
      <c r="F28" s="309"/>
    </row>
    <row r="29" spans="2:6" ht="15.75" customHeight="1">
      <c r="B29" s="699" t="s">
        <v>750</v>
      </c>
      <c r="C29" s="700"/>
      <c r="D29" s="700"/>
      <c r="E29" s="700"/>
      <c r="F29" s="701"/>
    </row>
    <row r="30" spans="1:6" ht="15.75" customHeight="1">
      <c r="A30" s="293"/>
      <c r="B30" s="135"/>
      <c r="C30" s="300"/>
      <c r="D30" s="300"/>
      <c r="E30" s="300"/>
      <c r="F30" s="309"/>
    </row>
  </sheetData>
  <sheetProtection/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FILING&amp;RMIDSTATE MEDICAL CENTER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P1072"/>
  <sheetViews>
    <sheetView zoomScale="85" zoomScaleNormal="85" zoomScaleSheetLayoutView="80" zoomScalePageLayoutView="0" workbookViewId="0" topLeftCell="A286">
      <selection activeCell="B329" sqref="B329"/>
    </sheetView>
  </sheetViews>
  <sheetFormatPr defaultColWidth="9.140625" defaultRowHeight="11.25" customHeight="1"/>
  <cols>
    <col min="1" max="1" width="5.140625" style="330" bestFit="1" customWidth="1"/>
    <col min="2" max="2" width="62.140625" style="331" customWidth="1"/>
    <col min="3" max="3" width="14.421875" style="332" customWidth="1"/>
    <col min="4" max="4" width="13.57421875" style="330" customWidth="1"/>
    <col min="5" max="5" width="14.00390625" style="330" customWidth="1"/>
    <col min="6" max="6" width="15.57421875" style="330" customWidth="1"/>
    <col min="7" max="17" width="12.7109375" style="333" customWidth="1"/>
    <col min="18" max="21" width="9.140625" style="330" customWidth="1"/>
    <col min="22" max="22" width="9.140625" style="330" hidden="1" customWidth="1"/>
    <col min="23" max="16384" width="9.140625" style="330" customWidth="1"/>
  </cols>
  <sheetData>
    <row r="1" spans="1:6" ht="15.75" customHeight="1">
      <c r="A1" s="705" t="s">
        <v>158</v>
      </c>
      <c r="B1" s="705"/>
      <c r="C1" s="705"/>
      <c r="D1" s="705"/>
      <c r="E1" s="705"/>
      <c r="F1" s="705"/>
    </row>
    <row r="2" spans="1:6" ht="15.75" customHeight="1">
      <c r="A2" s="706" t="s">
        <v>751</v>
      </c>
      <c r="B2" s="707"/>
      <c r="C2" s="707"/>
      <c r="D2" s="707"/>
      <c r="E2" s="707"/>
      <c r="F2" s="708"/>
    </row>
    <row r="3" spans="1:6" ht="15.75" customHeight="1">
      <c r="A3" s="706" t="s">
        <v>752</v>
      </c>
      <c r="B3" s="707"/>
      <c r="C3" s="707"/>
      <c r="D3" s="707"/>
      <c r="E3" s="707"/>
      <c r="F3" s="708"/>
    </row>
    <row r="4" spans="1:6" ht="15.75" customHeight="1">
      <c r="A4" s="702" t="s">
        <v>753</v>
      </c>
      <c r="B4" s="703"/>
      <c r="C4" s="703"/>
      <c r="D4" s="703"/>
      <c r="E4" s="703"/>
      <c r="F4" s="704"/>
    </row>
    <row r="5" spans="1:6" ht="15.75" customHeight="1">
      <c r="A5" s="702" t="s">
        <v>754</v>
      </c>
      <c r="B5" s="703"/>
      <c r="C5" s="703"/>
      <c r="D5" s="703"/>
      <c r="E5" s="703"/>
      <c r="F5" s="704"/>
    </row>
    <row r="6" spans="1:17" ht="15.75" customHeight="1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17" s="338" customFormat="1" ht="14.25" customHeight="1">
      <c r="A7" s="340"/>
      <c r="B7" s="340"/>
      <c r="C7" s="341" t="s">
        <v>755</v>
      </c>
      <c r="D7" s="341" t="s">
        <v>755</v>
      </c>
      <c r="E7" s="341" t="s">
        <v>756</v>
      </c>
      <c r="F7" s="341" t="s">
        <v>165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17" s="338" customFormat="1" ht="13.5" customHeight="1">
      <c r="A8" s="342" t="s">
        <v>166</v>
      </c>
      <c r="B8" s="343" t="s">
        <v>167</v>
      </c>
      <c r="C8" s="344" t="s">
        <v>757</v>
      </c>
      <c r="D8" s="344" t="s">
        <v>758</v>
      </c>
      <c r="E8" s="344" t="s">
        <v>169</v>
      </c>
      <c r="F8" s="344" t="s">
        <v>169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17" s="338" customFormat="1" ht="12.75" customHeight="1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17" s="338" customFormat="1" ht="15.75" customHeight="1">
      <c r="A10" s="334" t="s">
        <v>170</v>
      </c>
      <c r="B10" s="349" t="s">
        <v>759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3:17" s="338" customFormat="1" ht="11.25" customHeight="1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17" s="338" customFormat="1" ht="15" customHeight="1">
      <c r="A12" s="355" t="s">
        <v>172</v>
      </c>
      <c r="B12" s="356" t="s">
        <v>760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17" ht="11.25" customHeight="1">
      <c r="A13" s="338"/>
      <c r="B13" s="357"/>
      <c r="C13" s="333"/>
      <c r="D13" s="333"/>
      <c r="E13" s="333"/>
      <c r="F13" s="333"/>
      <c r="Q13" s="330"/>
    </row>
    <row r="14" spans="1:17" ht="11.25" customHeight="1">
      <c r="A14" s="338"/>
      <c r="B14" s="359" t="s">
        <v>761</v>
      </c>
      <c r="C14" s="333"/>
      <c r="D14" s="333"/>
      <c r="E14" s="333"/>
      <c r="F14" s="333"/>
      <c r="Q14" s="330"/>
    </row>
    <row r="15" spans="1:17" ht="11.25" customHeight="1">
      <c r="A15" s="338">
        <v>1</v>
      </c>
      <c r="B15" s="360" t="s">
        <v>762</v>
      </c>
      <c r="C15" s="361">
        <v>99420943</v>
      </c>
      <c r="D15" s="361">
        <v>102801789</v>
      </c>
      <c r="E15" s="361">
        <f aca="true" t="shared" si="0" ref="E15:E24">D15-C15</f>
        <v>3380846</v>
      </c>
      <c r="F15" s="362">
        <f aca="true" t="shared" si="1" ref="F15:F24">IF(C15=0,0,E15/C15)</f>
        <v>0.03400537047812954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>
      <c r="A16" s="364">
        <v>2</v>
      </c>
      <c r="B16" s="360" t="s">
        <v>763</v>
      </c>
      <c r="C16" s="361">
        <v>43952009</v>
      </c>
      <c r="D16" s="361">
        <v>43847082</v>
      </c>
      <c r="E16" s="361">
        <f t="shared" si="0"/>
        <v>-104927</v>
      </c>
      <c r="F16" s="362">
        <f t="shared" si="1"/>
        <v>-0.002387308393570815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>
      <c r="A17" s="364">
        <v>3</v>
      </c>
      <c r="B17" s="365" t="s">
        <v>764</v>
      </c>
      <c r="C17" s="366">
        <f>IF(C15=0,0,C16/C15)</f>
        <v>0.44207998509931656</v>
      </c>
      <c r="D17" s="366">
        <f>IF(LN_IA1=0,0,LN_IA2/LN_IA1)</f>
        <v>0.4265206123990702</v>
      </c>
      <c r="E17" s="367">
        <f t="shared" si="0"/>
        <v>-0.015559372700246377</v>
      </c>
      <c r="F17" s="362">
        <f t="shared" si="1"/>
        <v>-0.03519583157955194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>
      <c r="A18" s="364">
        <v>4</v>
      </c>
      <c r="B18" s="360" t="s">
        <v>295</v>
      </c>
      <c r="C18" s="369">
        <v>4630</v>
      </c>
      <c r="D18" s="369">
        <v>4708</v>
      </c>
      <c r="E18" s="369">
        <f t="shared" si="0"/>
        <v>78</v>
      </c>
      <c r="F18" s="362">
        <f t="shared" si="1"/>
        <v>0.016846652267818573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>
      <c r="A19" s="364">
        <v>5</v>
      </c>
      <c r="B19" s="365" t="s">
        <v>765</v>
      </c>
      <c r="C19" s="372">
        <v>1.43384</v>
      </c>
      <c r="D19" s="372">
        <v>1.44517</v>
      </c>
      <c r="E19" s="373">
        <f t="shared" si="0"/>
        <v>0.011330000000000062</v>
      </c>
      <c r="F19" s="362">
        <f t="shared" si="1"/>
        <v>0.007901857947888231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>
      <c r="A20" s="338">
        <v>6</v>
      </c>
      <c r="B20" s="365" t="s">
        <v>766</v>
      </c>
      <c r="C20" s="376">
        <f>C18*C19</f>
        <v>6638.6792</v>
      </c>
      <c r="D20" s="376">
        <f>LN_IA4*LN_IA5</f>
        <v>6803.860360000001</v>
      </c>
      <c r="E20" s="376">
        <f t="shared" si="0"/>
        <v>165.181160000001</v>
      </c>
      <c r="F20" s="362">
        <f t="shared" si="1"/>
        <v>0.024881630068824687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>
      <c r="A21" s="364">
        <v>7</v>
      </c>
      <c r="B21" s="360" t="s">
        <v>767</v>
      </c>
      <c r="C21" s="378">
        <f>IF(C20=0,0,C16/C20)</f>
        <v>6620.595403977346</v>
      </c>
      <c r="D21" s="378">
        <f>IF(LN_IA6=0,0,LN_IA2/LN_IA6)</f>
        <v>6444.441784516576</v>
      </c>
      <c r="E21" s="378">
        <f t="shared" si="0"/>
        <v>-176.15361946076973</v>
      </c>
      <c r="F21" s="362">
        <f t="shared" si="1"/>
        <v>-0.026606915044973874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>
      <c r="A22" s="364">
        <v>8</v>
      </c>
      <c r="B22" s="360" t="s">
        <v>297</v>
      </c>
      <c r="C22" s="369">
        <v>26090</v>
      </c>
      <c r="D22" s="369">
        <v>24457</v>
      </c>
      <c r="E22" s="369">
        <f t="shared" si="0"/>
        <v>-1633</v>
      </c>
      <c r="F22" s="362">
        <f t="shared" si="1"/>
        <v>-0.06259103104637792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>
      <c r="A23" s="364">
        <v>9</v>
      </c>
      <c r="B23" s="360" t="s">
        <v>768</v>
      </c>
      <c r="C23" s="378">
        <f>IF(C22=0,0,C16/C22)</f>
        <v>1684.6304714449982</v>
      </c>
      <c r="D23" s="378">
        <f>IF(LN_IA8=0,0,LN_IA2/LN_IA8)</f>
        <v>1792.8234043423151</v>
      </c>
      <c r="E23" s="378">
        <f t="shared" si="0"/>
        <v>108.19293289731695</v>
      </c>
      <c r="F23" s="362">
        <f t="shared" si="1"/>
        <v>0.0642235402548038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>
      <c r="A24" s="364">
        <v>10</v>
      </c>
      <c r="B24" s="360" t="s">
        <v>769</v>
      </c>
      <c r="C24" s="379">
        <f>IF(C18=0,0,C22/C18)</f>
        <v>5.634989200863931</v>
      </c>
      <c r="D24" s="379">
        <f>IF(LN_IA4=0,0,LN_IA8/LN_IA4)</f>
        <v>5.194774851316907</v>
      </c>
      <c r="E24" s="379">
        <f t="shared" si="0"/>
        <v>-0.44021434954702343</v>
      </c>
      <c r="F24" s="362">
        <f t="shared" si="1"/>
        <v>-0.07812159595257641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>
      <c r="A26" s="364"/>
      <c r="B26" s="358" t="s">
        <v>770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>
      <c r="A27" s="364">
        <v>11</v>
      </c>
      <c r="B27" s="360" t="s">
        <v>771</v>
      </c>
      <c r="C27" s="361">
        <v>54111626</v>
      </c>
      <c r="D27" s="361">
        <v>57089777</v>
      </c>
      <c r="E27" s="361">
        <f aca="true" t="shared" si="2" ref="E27:E32">D27-C27</f>
        <v>2978151</v>
      </c>
      <c r="F27" s="362">
        <f aca="true" t="shared" si="3" ref="F27:F32">IF(C27=0,0,E27/C27)</f>
        <v>0.055037174451198344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>
      <c r="A28" s="364">
        <v>12</v>
      </c>
      <c r="B28" s="360" t="s">
        <v>772</v>
      </c>
      <c r="C28" s="361">
        <v>18055675</v>
      </c>
      <c r="D28" s="361">
        <v>18546533</v>
      </c>
      <c r="E28" s="361">
        <f t="shared" si="2"/>
        <v>490858</v>
      </c>
      <c r="F28" s="362">
        <f t="shared" si="3"/>
        <v>0.027185801693927255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>
      <c r="A29" s="364">
        <v>13</v>
      </c>
      <c r="B29" s="360" t="s">
        <v>773</v>
      </c>
      <c r="C29" s="366">
        <f>IF(C27=0,0,C28/C27)</f>
        <v>0.3336745970265244</v>
      </c>
      <c r="D29" s="366">
        <f>IF(LN_IA11=0,0,LN_IA12/LN_IA11)</f>
        <v>0.3248660964291383</v>
      </c>
      <c r="E29" s="367">
        <f t="shared" si="2"/>
        <v>-0.008808500597386137</v>
      </c>
      <c r="F29" s="362">
        <f t="shared" si="3"/>
        <v>-0.02639847526866402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>
      <c r="A30" s="364">
        <v>14</v>
      </c>
      <c r="B30" s="360" t="s">
        <v>774</v>
      </c>
      <c r="C30" s="366">
        <f>IF(C15=0,0,C27/C15)</f>
        <v>0.544267881265218</v>
      </c>
      <c r="D30" s="366">
        <f>IF(LN_IA1=0,0,LN_IA11/LN_IA1)</f>
        <v>0.5553383608917545</v>
      </c>
      <c r="E30" s="367">
        <f t="shared" si="2"/>
        <v>0.011070479626536511</v>
      </c>
      <c r="F30" s="362">
        <f t="shared" si="3"/>
        <v>0.020340130306425234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>
      <c r="A31" s="364">
        <v>15</v>
      </c>
      <c r="B31" s="360" t="s">
        <v>775</v>
      </c>
      <c r="C31" s="376">
        <f>C30*C18</f>
        <v>2519.960290257959</v>
      </c>
      <c r="D31" s="376">
        <f>LN_IA14*LN_IA4</f>
        <v>2614.5330030783803</v>
      </c>
      <c r="E31" s="376">
        <f t="shared" si="2"/>
        <v>94.5727128204212</v>
      </c>
      <c r="F31" s="362">
        <f t="shared" si="3"/>
        <v>0.0375294456765984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>
      <c r="A32" s="364">
        <v>16</v>
      </c>
      <c r="B32" s="365" t="s">
        <v>776</v>
      </c>
      <c r="C32" s="378">
        <f>IF(C31=0,0,C28/C31)</f>
        <v>7165.063302704547</v>
      </c>
      <c r="D32" s="378">
        <f>IF(LN_IA15=0,0,LN_IA12/LN_IA15)</f>
        <v>7093.631244341956</v>
      </c>
      <c r="E32" s="378">
        <f t="shared" si="2"/>
        <v>-71.4320583625913</v>
      </c>
      <c r="F32" s="362">
        <f t="shared" si="3"/>
        <v>-0.00996949438473605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>
      <c r="A34" s="364"/>
      <c r="B34" s="358" t="s">
        <v>777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>
      <c r="A35" s="364">
        <v>17</v>
      </c>
      <c r="B35" s="360" t="s">
        <v>778</v>
      </c>
      <c r="C35" s="361">
        <f>C15+C27</f>
        <v>153532569</v>
      </c>
      <c r="D35" s="361">
        <f>LN_IA1+LN_IA11</f>
        <v>159891566</v>
      </c>
      <c r="E35" s="361">
        <f>D35-C35</f>
        <v>6358997</v>
      </c>
      <c r="F35" s="362">
        <f>IF(C35=0,0,E35/C35)</f>
        <v>0.041417902673145525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>
      <c r="A36" s="364">
        <v>18</v>
      </c>
      <c r="B36" s="360" t="s">
        <v>779</v>
      </c>
      <c r="C36" s="361">
        <f>C16+C28</f>
        <v>62007684</v>
      </c>
      <c r="D36" s="361">
        <f>LN_IA2+LN_IA12</f>
        <v>62393615</v>
      </c>
      <c r="E36" s="361">
        <f>D36-C36</f>
        <v>385931</v>
      </c>
      <c r="F36" s="362">
        <f>IF(C36=0,0,E36/C36)</f>
        <v>0.0062239221835797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>
      <c r="A37" s="385">
        <v>19</v>
      </c>
      <c r="B37" s="360" t="s">
        <v>780</v>
      </c>
      <c r="C37" s="361">
        <f>C35-C36</f>
        <v>91524885</v>
      </c>
      <c r="D37" s="361">
        <f>LN_IA17-LN_IA18</f>
        <v>97497951</v>
      </c>
      <c r="E37" s="361">
        <f>D37-C37</f>
        <v>5973066</v>
      </c>
      <c r="F37" s="362">
        <f>IF(C37=0,0,E37/C37)</f>
        <v>0.06526166080405346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>
      <c r="A39" s="355" t="s">
        <v>184</v>
      </c>
      <c r="B39" s="356" t="s">
        <v>781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>
      <c r="A41" s="364"/>
      <c r="B41" s="359" t="s">
        <v>782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>
      <c r="A42" s="338">
        <v>1</v>
      </c>
      <c r="B42" s="360" t="s">
        <v>762</v>
      </c>
      <c r="C42" s="361">
        <v>44200966</v>
      </c>
      <c r="D42" s="361">
        <v>48350269</v>
      </c>
      <c r="E42" s="361">
        <f aca="true" t="shared" si="4" ref="E42:E53">D42-C42</f>
        <v>4149303</v>
      </c>
      <c r="F42" s="362">
        <f aca="true" t="shared" si="5" ref="F42:F53">IF(C42=0,0,E42/C42)</f>
        <v>0.09387358185791686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>
      <c r="A43" s="364">
        <v>2</v>
      </c>
      <c r="B43" s="360" t="s">
        <v>763</v>
      </c>
      <c r="C43" s="361">
        <v>27916500</v>
      </c>
      <c r="D43" s="361">
        <v>30533277</v>
      </c>
      <c r="E43" s="361">
        <f t="shared" si="4"/>
        <v>2616777</v>
      </c>
      <c r="F43" s="362">
        <f t="shared" si="5"/>
        <v>0.09373585513943367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>
      <c r="A44" s="364">
        <v>3</v>
      </c>
      <c r="B44" s="365" t="s">
        <v>764</v>
      </c>
      <c r="C44" s="366">
        <f>IF(C42=0,0,C43/C42)</f>
        <v>0.6315812192882844</v>
      </c>
      <c r="D44" s="366">
        <f>IF(LN_IB1=0,0,LN_IB2/LN_IB1)</f>
        <v>0.631501698573797</v>
      </c>
      <c r="E44" s="367">
        <f t="shared" si="4"/>
        <v>-7.952071448735776E-05</v>
      </c>
      <c r="F44" s="362">
        <f t="shared" si="5"/>
        <v>-0.00012590734502360279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>
      <c r="A45" s="364">
        <v>4</v>
      </c>
      <c r="B45" s="360" t="s">
        <v>295</v>
      </c>
      <c r="C45" s="369">
        <v>3369</v>
      </c>
      <c r="D45" s="369">
        <v>3390</v>
      </c>
      <c r="E45" s="369">
        <f t="shared" si="4"/>
        <v>21</v>
      </c>
      <c r="F45" s="362">
        <f t="shared" si="5"/>
        <v>0.006233303650934996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>
      <c r="A46" s="364">
        <v>5</v>
      </c>
      <c r="B46" s="365" t="s">
        <v>765</v>
      </c>
      <c r="C46" s="372">
        <v>0.97765</v>
      </c>
      <c r="D46" s="372">
        <v>1.00835</v>
      </c>
      <c r="E46" s="373">
        <f t="shared" si="4"/>
        <v>0.03070000000000006</v>
      </c>
      <c r="F46" s="362">
        <f t="shared" si="5"/>
        <v>0.03140183092108634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>
      <c r="A47" s="338">
        <v>6</v>
      </c>
      <c r="B47" s="365" t="s">
        <v>766</v>
      </c>
      <c r="C47" s="376">
        <f>C45*C46</f>
        <v>3293.70285</v>
      </c>
      <c r="D47" s="376">
        <f>LN_IB4*LN_IB5</f>
        <v>3418.3065</v>
      </c>
      <c r="E47" s="376">
        <f t="shared" si="4"/>
        <v>124.60365000000002</v>
      </c>
      <c r="F47" s="362">
        <f t="shared" si="5"/>
        <v>0.03783087171934773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>
      <c r="A48" s="364">
        <v>7</v>
      </c>
      <c r="B48" s="360" t="s">
        <v>767</v>
      </c>
      <c r="C48" s="378">
        <f>IF(C47=0,0,C43/C47)</f>
        <v>8475.719052797978</v>
      </c>
      <c r="D48" s="378">
        <f>IF(LN_IB6=0,0,LN_IB2/LN_IB6)</f>
        <v>8932.281818496966</v>
      </c>
      <c r="E48" s="378">
        <f t="shared" si="4"/>
        <v>456.5627656989873</v>
      </c>
      <c r="F48" s="362">
        <f t="shared" si="5"/>
        <v>0.05386714246365542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>
      <c r="A49" s="364">
        <v>8</v>
      </c>
      <c r="B49" s="365" t="s">
        <v>783</v>
      </c>
      <c r="C49" s="378">
        <f>C21-C48</f>
        <v>-1855.1236488206323</v>
      </c>
      <c r="D49" s="378">
        <f>LN_IA7-LN_IB7</f>
        <v>-2487.8400339803893</v>
      </c>
      <c r="E49" s="378">
        <f t="shared" si="4"/>
        <v>-632.716385159757</v>
      </c>
      <c r="F49" s="362">
        <f t="shared" si="5"/>
        <v>0.3410642657496158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>
      <c r="A50" s="364">
        <v>9</v>
      </c>
      <c r="B50" s="360" t="s">
        <v>784</v>
      </c>
      <c r="C50" s="391">
        <f>C49*C47</f>
        <v>-6110226.049222916</v>
      </c>
      <c r="D50" s="391">
        <f>LN_IB8*LN_IB6</f>
        <v>-8504199.759115387</v>
      </c>
      <c r="E50" s="391">
        <f t="shared" si="4"/>
        <v>-2393973.7098924704</v>
      </c>
      <c r="F50" s="362">
        <f t="shared" si="5"/>
        <v>0.39179789595459075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>
      <c r="A51" s="364">
        <v>10</v>
      </c>
      <c r="B51" s="360" t="s">
        <v>297</v>
      </c>
      <c r="C51" s="369">
        <v>12385</v>
      </c>
      <c r="D51" s="369">
        <v>11767</v>
      </c>
      <c r="E51" s="369">
        <f t="shared" si="4"/>
        <v>-618</v>
      </c>
      <c r="F51" s="362">
        <f t="shared" si="5"/>
        <v>-0.049899071457408156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>
      <c r="A52" s="364">
        <v>11</v>
      </c>
      <c r="B52" s="360" t="s">
        <v>768</v>
      </c>
      <c r="C52" s="378">
        <f>IF(C51=0,0,C43/C51)</f>
        <v>2254.057327412192</v>
      </c>
      <c r="D52" s="378">
        <f>IF(LN_IB10=0,0,LN_IB2/LN_IB10)</f>
        <v>2594.8225546018525</v>
      </c>
      <c r="E52" s="378">
        <f t="shared" si="4"/>
        <v>340.76522718966044</v>
      </c>
      <c r="F52" s="362">
        <f t="shared" si="5"/>
        <v>0.15117859827499666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>
      <c r="A53" s="364">
        <v>12</v>
      </c>
      <c r="B53" s="360" t="s">
        <v>769</v>
      </c>
      <c r="C53" s="379">
        <f>IF(C45=0,0,C51/C45)</f>
        <v>3.6761650341347583</v>
      </c>
      <c r="D53" s="379">
        <f>IF(LN_IB4=0,0,LN_IB10/LN_IB4)</f>
        <v>3.4710914454277284</v>
      </c>
      <c r="E53" s="379">
        <f t="shared" si="4"/>
        <v>-0.20507358870702985</v>
      </c>
      <c r="F53" s="362">
        <f t="shared" si="5"/>
        <v>-0.055784652430680946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>
      <c r="A55" s="338"/>
      <c r="B55" s="359" t="s">
        <v>785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>
      <c r="A56" s="364">
        <v>13</v>
      </c>
      <c r="B56" s="360" t="s">
        <v>771</v>
      </c>
      <c r="C56" s="361">
        <v>88342696</v>
      </c>
      <c r="D56" s="361">
        <v>91041509</v>
      </c>
      <c r="E56" s="361">
        <f aca="true" t="shared" si="6" ref="E56:E63">D56-C56</f>
        <v>2698813</v>
      </c>
      <c r="F56" s="362">
        <f aca="true" t="shared" si="7" ref="F56:F63">IF(C56=0,0,E56/C56)</f>
        <v>0.030549361998189414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>
      <c r="A57" s="364">
        <v>14</v>
      </c>
      <c r="B57" s="360" t="s">
        <v>772</v>
      </c>
      <c r="C57" s="361">
        <v>55855990</v>
      </c>
      <c r="D57" s="361">
        <v>57435337</v>
      </c>
      <c r="E57" s="361">
        <f t="shared" si="6"/>
        <v>1579347</v>
      </c>
      <c r="F57" s="362">
        <f t="shared" si="7"/>
        <v>0.028275338061325206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>
      <c r="A58" s="364">
        <v>15</v>
      </c>
      <c r="B58" s="360" t="s">
        <v>773</v>
      </c>
      <c r="C58" s="366">
        <f>IF(C56=0,0,C57/C56)</f>
        <v>0.632264946951585</v>
      </c>
      <c r="D58" s="366">
        <f>IF(LN_IB13=0,0,LN_IB14/LN_IB13)</f>
        <v>0.6308697827053811</v>
      </c>
      <c r="E58" s="367">
        <f t="shared" si="6"/>
        <v>-0.001395164246203895</v>
      </c>
      <c r="F58" s="362">
        <f t="shared" si="7"/>
        <v>-0.0022066133081243364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>
      <c r="A59" s="364">
        <v>16</v>
      </c>
      <c r="B59" s="360" t="s">
        <v>774</v>
      </c>
      <c r="C59" s="366">
        <f>IF(C42=0,0,C56/C42)</f>
        <v>1.9986598482938134</v>
      </c>
      <c r="D59" s="366">
        <f>IF(LN_IB1=0,0,LN_IB13/LN_IB1)</f>
        <v>1.8829576522107871</v>
      </c>
      <c r="E59" s="367">
        <f t="shared" si="6"/>
        <v>-0.11570219608302623</v>
      </c>
      <c r="F59" s="362">
        <f t="shared" si="7"/>
        <v>-0.05788988865804113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>
      <c r="A60" s="364">
        <v>17</v>
      </c>
      <c r="B60" s="360" t="s">
        <v>775</v>
      </c>
      <c r="C60" s="376">
        <f>C59*C45</f>
        <v>6733.485028901857</v>
      </c>
      <c r="D60" s="376">
        <f>LN_IB16*LN_IB4</f>
        <v>6383.226440994568</v>
      </c>
      <c r="E60" s="376">
        <f t="shared" si="6"/>
        <v>-350.25858790728853</v>
      </c>
      <c r="F60" s="362">
        <f t="shared" si="7"/>
        <v>-0.05201743026143048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>
      <c r="A61" s="364">
        <v>18</v>
      </c>
      <c r="B61" s="365" t="s">
        <v>776</v>
      </c>
      <c r="C61" s="378">
        <f>IF(C60=0,0,C57/C60)</f>
        <v>8295.257175185163</v>
      </c>
      <c r="D61" s="378">
        <f>IF(LN_IB17=0,0,LN_IB14/LN_IB17)</f>
        <v>8997.853598164225</v>
      </c>
      <c r="E61" s="378">
        <f t="shared" si="6"/>
        <v>702.5964229790625</v>
      </c>
      <c r="F61" s="362">
        <f t="shared" si="7"/>
        <v>0.08469857029639101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>
      <c r="A62" s="385">
        <v>19</v>
      </c>
      <c r="B62" s="360" t="s">
        <v>786</v>
      </c>
      <c r="C62" s="378">
        <f>C32-C61</f>
        <v>-1130.193872480616</v>
      </c>
      <c r="D62" s="378">
        <f>LN_IA16-LN_IB18</f>
        <v>-1904.2223538222697</v>
      </c>
      <c r="E62" s="378">
        <f t="shared" si="6"/>
        <v>-774.0284813416538</v>
      </c>
      <c r="F62" s="362">
        <f t="shared" si="7"/>
        <v>0.6848634558978546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>
      <c r="A63" s="385">
        <v>20</v>
      </c>
      <c r="B63" s="365" t="s">
        <v>787</v>
      </c>
      <c r="C63" s="361">
        <f>C62*C60</f>
        <v>-7610143.520104841</v>
      </c>
      <c r="D63" s="361">
        <f>LN_IB19*LN_IB17</f>
        <v>-12155082.478451226</v>
      </c>
      <c r="E63" s="361">
        <f t="shared" si="6"/>
        <v>-4544938.958346385</v>
      </c>
      <c r="F63" s="362">
        <f t="shared" si="7"/>
        <v>0.5972211885806552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>
      <c r="A65" s="338"/>
      <c r="B65" s="358" t="s">
        <v>788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>
      <c r="A66" s="385">
        <v>21</v>
      </c>
      <c r="B66" s="360" t="s">
        <v>778</v>
      </c>
      <c r="C66" s="361">
        <f>C42+C56</f>
        <v>132543662</v>
      </c>
      <c r="D66" s="361">
        <f>LN_IB1+LN_IB13</f>
        <v>139391778</v>
      </c>
      <c r="E66" s="361">
        <f>D66-C66</f>
        <v>6848116</v>
      </c>
      <c r="F66" s="362">
        <f>IF(C66=0,0,E66/C66)</f>
        <v>0.05166686883903962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>
      <c r="A67" s="385">
        <v>22</v>
      </c>
      <c r="B67" s="360" t="s">
        <v>779</v>
      </c>
      <c r="C67" s="361">
        <f>C43+C57</f>
        <v>83772490</v>
      </c>
      <c r="D67" s="361">
        <f>LN_IB2+LN_IB14</f>
        <v>87968614</v>
      </c>
      <c r="E67" s="361">
        <f>D67-C67</f>
        <v>4196124</v>
      </c>
      <c r="F67" s="362">
        <f>IF(C67=0,0,E67/C67)</f>
        <v>0.05008952222859796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>
      <c r="A68" s="385">
        <v>23</v>
      </c>
      <c r="B68" s="360" t="s">
        <v>780</v>
      </c>
      <c r="C68" s="361">
        <f>C66-C67</f>
        <v>48771172</v>
      </c>
      <c r="D68" s="361">
        <f>LN_IB21-LN_IB22</f>
        <v>51423164</v>
      </c>
      <c r="E68" s="361">
        <f>D68-C68</f>
        <v>2651992</v>
      </c>
      <c r="F68" s="362">
        <f>IF(C68=0,0,E68/C68)</f>
        <v>0.05437622044432314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>
      <c r="A70" s="385">
        <v>24</v>
      </c>
      <c r="B70" s="360" t="s">
        <v>789</v>
      </c>
      <c r="C70" s="353">
        <f>C50+C63</f>
        <v>-13720369.569327757</v>
      </c>
      <c r="D70" s="353">
        <f>LN_IB9+LN_IB20</f>
        <v>-20659282.237566613</v>
      </c>
      <c r="E70" s="361">
        <f>D70-C70</f>
        <v>-6938912.668238856</v>
      </c>
      <c r="F70" s="362">
        <f>IF(C70=0,0,E70/C70)</f>
        <v>0.505738029371379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>
      <c r="A71" s="338"/>
      <c r="C71" s="330"/>
      <c r="Q71" s="330"/>
      <c r="U71" s="353"/>
    </row>
    <row r="72" spans="1:21" ht="11.25" customHeight="1">
      <c r="A72" s="338"/>
      <c r="B72" s="397" t="s">
        <v>790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>
      <c r="A73" s="338">
        <v>25</v>
      </c>
      <c r="B73" s="357" t="s">
        <v>791</v>
      </c>
      <c r="C73" s="400">
        <v>117832946</v>
      </c>
      <c r="D73" s="400">
        <v>123130052</v>
      </c>
      <c r="E73" s="400">
        <f>D73-C73</f>
        <v>5297106</v>
      </c>
      <c r="F73" s="401">
        <f>IF(C73=0,0,E73/C73)</f>
        <v>0.04495437125029531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>
      <c r="A74" s="338">
        <v>26</v>
      </c>
      <c r="B74" s="357" t="s">
        <v>792</v>
      </c>
      <c r="C74" s="400">
        <v>84094997</v>
      </c>
      <c r="D74" s="400">
        <v>87350337</v>
      </c>
      <c r="E74" s="400">
        <f>D74-C74</f>
        <v>3255340</v>
      </c>
      <c r="F74" s="401">
        <f>IF(C74=0,0,E74/C74)</f>
        <v>0.03871026953006491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>
      <c r="A75" s="338"/>
      <c r="B75" s="357" t="s">
        <v>793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>
      <c r="A76" s="364">
        <v>27</v>
      </c>
      <c r="B76" s="360" t="s">
        <v>794</v>
      </c>
      <c r="C76" s="353">
        <f>C73-C74</f>
        <v>33737949</v>
      </c>
      <c r="D76" s="353">
        <f>LN_IB32-LN_IB33</f>
        <v>35779715</v>
      </c>
      <c r="E76" s="400">
        <f>D76-C76</f>
        <v>2041766</v>
      </c>
      <c r="F76" s="401">
        <f>IF(C76=0,0,E76/C76)</f>
        <v>0.06051837946639851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>
      <c r="A77" s="364">
        <v>28</v>
      </c>
      <c r="B77" s="360" t="s">
        <v>795</v>
      </c>
      <c r="C77" s="366">
        <f>IF(C73=0,0,C76/C73)</f>
        <v>0.2863201688940205</v>
      </c>
      <c r="D77" s="366">
        <f>IF(LN_IB1=0,0,LN_IB34/LN_IB32)</f>
        <v>0.29058474693083053</v>
      </c>
      <c r="E77" s="405">
        <f>D77-C77</f>
        <v>0.004264578036810018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customHeight="1" hidden="1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>
      <c r="A79" s="355" t="s">
        <v>194</v>
      </c>
      <c r="B79" s="356" t="s">
        <v>796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customHeight="1" hidden="1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>
      <c r="A82" s="364"/>
      <c r="B82" s="359" t="s">
        <v>797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>
      <c r="A83" s="338">
        <v>1</v>
      </c>
      <c r="B83" s="360" t="s">
        <v>762</v>
      </c>
      <c r="C83" s="361">
        <v>4351081</v>
      </c>
      <c r="D83" s="361">
        <v>4002999</v>
      </c>
      <c r="E83" s="361">
        <f aca="true" t="shared" si="8" ref="E83:E95">D83-C83</f>
        <v>-348082</v>
      </c>
      <c r="F83" s="362">
        <f aca="true" t="shared" si="9" ref="F83:F95">IF(C83=0,0,E83/C83)</f>
        <v>-0.0799989703708113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>
      <c r="A84" s="364">
        <v>2</v>
      </c>
      <c r="B84" s="360" t="s">
        <v>763</v>
      </c>
      <c r="C84" s="361">
        <v>210806</v>
      </c>
      <c r="D84" s="361">
        <v>125703</v>
      </c>
      <c r="E84" s="361">
        <f t="shared" si="8"/>
        <v>-85103</v>
      </c>
      <c r="F84" s="362">
        <f t="shared" si="9"/>
        <v>-0.40370293065662266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>
      <c r="A85" s="338">
        <v>3</v>
      </c>
      <c r="B85" s="365" t="s">
        <v>764</v>
      </c>
      <c r="C85" s="366">
        <f>IF(C83=0,0,C84/C83)</f>
        <v>0.04844910954312273</v>
      </c>
      <c r="D85" s="366">
        <f>IF(LN_IC1=0,0,LN_IC2/LN_IC1)</f>
        <v>0.03140220619590462</v>
      </c>
      <c r="E85" s="367">
        <f t="shared" si="8"/>
        <v>-0.01704690334721811</v>
      </c>
      <c r="F85" s="362">
        <f t="shared" si="9"/>
        <v>-0.3518517369662966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>
      <c r="A86" s="364">
        <v>4</v>
      </c>
      <c r="B86" s="360" t="s">
        <v>295</v>
      </c>
      <c r="C86" s="369">
        <v>297</v>
      </c>
      <c r="D86" s="369">
        <v>302</v>
      </c>
      <c r="E86" s="369">
        <f t="shared" si="8"/>
        <v>5</v>
      </c>
      <c r="F86" s="362">
        <f t="shared" si="9"/>
        <v>0.016835016835016835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>
      <c r="A87" s="338">
        <v>5</v>
      </c>
      <c r="B87" s="365" t="s">
        <v>765</v>
      </c>
      <c r="C87" s="372">
        <v>0.86082</v>
      </c>
      <c r="D87" s="372">
        <v>0.88553</v>
      </c>
      <c r="E87" s="373">
        <f t="shared" si="8"/>
        <v>0.02471000000000001</v>
      </c>
      <c r="F87" s="362">
        <f t="shared" si="9"/>
        <v>0.02870518807648522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>
      <c r="A88" s="364">
        <v>6</v>
      </c>
      <c r="B88" s="365" t="s">
        <v>766</v>
      </c>
      <c r="C88" s="376">
        <f>C86*C87</f>
        <v>255.66354</v>
      </c>
      <c r="D88" s="376">
        <f>LN_IC4*LN_IC5</f>
        <v>267.43006</v>
      </c>
      <c r="E88" s="376">
        <f t="shared" si="8"/>
        <v>11.766520000000014</v>
      </c>
      <c r="F88" s="362">
        <f t="shared" si="9"/>
        <v>0.04602345723602205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>
      <c r="A89" s="338">
        <v>7</v>
      </c>
      <c r="B89" s="360" t="s">
        <v>767</v>
      </c>
      <c r="C89" s="378">
        <f>IF(C88=0,0,C84/C88)</f>
        <v>824.5446339356796</v>
      </c>
      <c r="D89" s="378">
        <f>IF(LN_IC6=0,0,LN_IC2/LN_IC6)</f>
        <v>470.04065287200694</v>
      </c>
      <c r="E89" s="378">
        <f t="shared" si="8"/>
        <v>-354.50398106367265</v>
      </c>
      <c r="F89" s="362">
        <f t="shared" si="9"/>
        <v>-0.42993910392888024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>
      <c r="A90" s="364">
        <v>8</v>
      </c>
      <c r="B90" s="360" t="s">
        <v>798</v>
      </c>
      <c r="C90" s="378">
        <f>C48-C89</f>
        <v>7651.174418862299</v>
      </c>
      <c r="D90" s="378">
        <f>LN_IB7-LN_IC7</f>
        <v>8462.241165624959</v>
      </c>
      <c r="E90" s="378">
        <f t="shared" si="8"/>
        <v>811.0667467626599</v>
      </c>
      <c r="F90" s="362">
        <f t="shared" si="9"/>
        <v>0.10600552312115015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>
      <c r="A91" s="338">
        <v>9</v>
      </c>
      <c r="B91" s="360" t="s">
        <v>799</v>
      </c>
      <c r="C91" s="378">
        <f>C21-C89</f>
        <v>5796.0507700416665</v>
      </c>
      <c r="D91" s="378">
        <f>LN_IA7-LN_IC7</f>
        <v>5974.401131644569</v>
      </c>
      <c r="E91" s="378">
        <f t="shared" si="8"/>
        <v>178.35036160290292</v>
      </c>
      <c r="F91" s="362">
        <f t="shared" si="9"/>
        <v>0.03077101438185311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>
      <c r="A92" s="364">
        <v>10</v>
      </c>
      <c r="B92" s="360" t="s">
        <v>784</v>
      </c>
      <c r="C92" s="353">
        <f>C91*C88</f>
        <v>1481838.8578885784</v>
      </c>
      <c r="D92" s="353">
        <f>LN_IC9*LN_IC6</f>
        <v>1597734.4530997754</v>
      </c>
      <c r="E92" s="353">
        <f t="shared" si="8"/>
        <v>115895.59521119692</v>
      </c>
      <c r="F92" s="362">
        <f t="shared" si="9"/>
        <v>0.0782106600823875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>
      <c r="A93" s="338">
        <v>11</v>
      </c>
      <c r="B93" s="360" t="s">
        <v>297</v>
      </c>
      <c r="C93" s="369">
        <v>1367</v>
      </c>
      <c r="D93" s="369">
        <v>1077</v>
      </c>
      <c r="E93" s="369">
        <f t="shared" si="8"/>
        <v>-290</v>
      </c>
      <c r="F93" s="362">
        <f t="shared" si="9"/>
        <v>-0.2121433796634967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>
      <c r="A94" s="364">
        <v>12</v>
      </c>
      <c r="B94" s="360" t="s">
        <v>768</v>
      </c>
      <c r="C94" s="411">
        <f>IF(C93=0,0,C84/C93)</f>
        <v>154.2106803218727</v>
      </c>
      <c r="D94" s="411">
        <f>IF(LN_IC11=0,0,LN_IC2/LN_IC11)</f>
        <v>116.7158774373259</v>
      </c>
      <c r="E94" s="411">
        <f t="shared" si="8"/>
        <v>-37.4948028845468</v>
      </c>
      <c r="F94" s="362">
        <f t="shared" si="9"/>
        <v>-0.24314011718440404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>
      <c r="A95" s="338">
        <v>13</v>
      </c>
      <c r="B95" s="360" t="s">
        <v>769</v>
      </c>
      <c r="C95" s="379">
        <f>IF(C86=0,0,C93/C86)</f>
        <v>4.602693602693603</v>
      </c>
      <c r="D95" s="379">
        <f>IF(LN_IC4=0,0,LN_IC11/LN_IC4)</f>
        <v>3.566225165562914</v>
      </c>
      <c r="E95" s="379">
        <f t="shared" si="8"/>
        <v>-1.0364684371306891</v>
      </c>
      <c r="F95" s="362">
        <f t="shared" si="9"/>
        <v>-0.22518736344390244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>
      <c r="A97" s="364"/>
      <c r="B97" s="359" t="s">
        <v>800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>
      <c r="A98" s="364">
        <v>14</v>
      </c>
      <c r="B98" s="360" t="s">
        <v>771</v>
      </c>
      <c r="C98" s="361">
        <v>6495074</v>
      </c>
      <c r="D98" s="361">
        <v>6982432</v>
      </c>
      <c r="E98" s="361">
        <f aca="true" t="shared" si="10" ref="E98:E106">D98-C98</f>
        <v>487358</v>
      </c>
      <c r="F98" s="362">
        <f aca="true" t="shared" si="11" ref="F98:F106">IF(C98=0,0,E98/C98)</f>
        <v>0.07503501884659051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>
      <c r="A99" s="364">
        <v>15</v>
      </c>
      <c r="B99" s="360" t="s">
        <v>772</v>
      </c>
      <c r="C99" s="361">
        <v>267402</v>
      </c>
      <c r="D99" s="361">
        <v>369633</v>
      </c>
      <c r="E99" s="361">
        <f t="shared" si="10"/>
        <v>102231</v>
      </c>
      <c r="F99" s="362">
        <f t="shared" si="11"/>
        <v>0.38231202459218705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>
      <c r="A100" s="364">
        <v>16</v>
      </c>
      <c r="B100" s="360" t="s">
        <v>773</v>
      </c>
      <c r="C100" s="366">
        <f>IF(C98=0,0,C99/C98)</f>
        <v>0.041169969733986095</v>
      </c>
      <c r="D100" s="366">
        <f>IF(LN_IC14=0,0,LN_IC15/LN_IC14)</f>
        <v>0.05293757246758723</v>
      </c>
      <c r="E100" s="367">
        <f t="shared" si="10"/>
        <v>0.011767602733601133</v>
      </c>
      <c r="F100" s="362">
        <f t="shared" si="11"/>
        <v>0.2858297640157577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>
      <c r="A101" s="364">
        <v>17</v>
      </c>
      <c r="B101" s="360" t="s">
        <v>774</v>
      </c>
      <c r="C101" s="366">
        <f>IF(C83=0,0,C98/C83)</f>
        <v>1.4927495029396143</v>
      </c>
      <c r="D101" s="366">
        <f>IF(LN_IC1=0,0,LN_IC14/LN_IC1)</f>
        <v>1.744300210916865</v>
      </c>
      <c r="E101" s="367">
        <f t="shared" si="10"/>
        <v>0.25155070797725076</v>
      </c>
      <c r="F101" s="362">
        <f t="shared" si="11"/>
        <v>0.16851501707545816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>
      <c r="A102" s="364">
        <v>18</v>
      </c>
      <c r="B102" s="360" t="s">
        <v>775</v>
      </c>
      <c r="C102" s="376">
        <f>C101*C86</f>
        <v>443.3466023730654</v>
      </c>
      <c r="D102" s="376">
        <f>LN_IC17*LN_IC4</f>
        <v>526.7786636968932</v>
      </c>
      <c r="E102" s="376">
        <f t="shared" si="10"/>
        <v>83.43206132382778</v>
      </c>
      <c r="F102" s="362">
        <f t="shared" si="11"/>
        <v>0.18818698705989342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>
      <c r="A103" s="364">
        <v>19</v>
      </c>
      <c r="B103" s="365" t="s">
        <v>776</v>
      </c>
      <c r="C103" s="378">
        <f>IF(C102=0,0,C99/C102)</f>
        <v>603.1443538051244</v>
      </c>
      <c r="D103" s="378">
        <f>IF(LN_IC18=0,0,LN_IC15/LN_IC18)</f>
        <v>701.6855948681431</v>
      </c>
      <c r="E103" s="378">
        <f t="shared" si="10"/>
        <v>98.54124106301867</v>
      </c>
      <c r="F103" s="362">
        <f t="shared" si="11"/>
        <v>0.1633791984312553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>
      <c r="A104" s="364">
        <v>20</v>
      </c>
      <c r="B104" s="365" t="s">
        <v>801</v>
      </c>
      <c r="C104" s="378">
        <f>C61-C103</f>
        <v>7692.112821380038</v>
      </c>
      <c r="D104" s="378">
        <f>LN_IB18-LN_IC19</f>
        <v>8296.168003296083</v>
      </c>
      <c r="E104" s="378">
        <f t="shared" si="10"/>
        <v>604.0551819160446</v>
      </c>
      <c r="F104" s="362">
        <f t="shared" si="11"/>
        <v>0.07852916304569638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>
      <c r="A105" s="364">
        <v>21</v>
      </c>
      <c r="B105" s="360" t="s">
        <v>802</v>
      </c>
      <c r="C105" s="378">
        <f>C32-C103</f>
        <v>6561.9189488994225</v>
      </c>
      <c r="D105" s="378">
        <f>LN_IA16-LN_IC19</f>
        <v>6391.945649473812</v>
      </c>
      <c r="E105" s="378">
        <f t="shared" si="10"/>
        <v>-169.9732994256101</v>
      </c>
      <c r="F105" s="362">
        <f t="shared" si="11"/>
        <v>-0.02590298672526553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>
      <c r="A106" s="364">
        <v>22</v>
      </c>
      <c r="B106" s="365" t="s">
        <v>787</v>
      </c>
      <c r="C106" s="361">
        <f>C105*C102</f>
        <v>2909204.4710419956</v>
      </c>
      <c r="D106" s="361">
        <f>LN_IC21*LN_IC18</f>
        <v>3367140.587652985</v>
      </c>
      <c r="E106" s="361">
        <f t="shared" si="10"/>
        <v>457936.11661098944</v>
      </c>
      <c r="F106" s="362">
        <f t="shared" si="11"/>
        <v>0.1574093953069478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>
      <c r="A108" s="414"/>
      <c r="B108" s="359" t="s">
        <v>803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>
      <c r="A109" s="364">
        <v>23</v>
      </c>
      <c r="B109" s="360" t="s">
        <v>778</v>
      </c>
      <c r="C109" s="361">
        <f>C83+C98</f>
        <v>10846155</v>
      </c>
      <c r="D109" s="361">
        <f>LN_IC1+LN_IC14</f>
        <v>10985431</v>
      </c>
      <c r="E109" s="361">
        <f>D109-C109</f>
        <v>139276</v>
      </c>
      <c r="F109" s="362">
        <f>IF(C109=0,0,E109/C109)</f>
        <v>0.012841048279321105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>
      <c r="A110" s="364">
        <v>24</v>
      </c>
      <c r="B110" s="360" t="s">
        <v>779</v>
      </c>
      <c r="C110" s="361">
        <f>C84+C99</f>
        <v>478208</v>
      </c>
      <c r="D110" s="361">
        <f>LN_IC2+LN_IC15</f>
        <v>495336</v>
      </c>
      <c r="E110" s="361">
        <f>D110-C110</f>
        <v>17128</v>
      </c>
      <c r="F110" s="362">
        <f>IF(C110=0,0,E110/C110)</f>
        <v>0.03581705032119915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>
      <c r="A111" s="364">
        <v>25</v>
      </c>
      <c r="B111" s="360" t="s">
        <v>780</v>
      </c>
      <c r="C111" s="361">
        <f>C109-C110</f>
        <v>10367947</v>
      </c>
      <c r="D111" s="361">
        <f>LN_IC23-LN_IC24</f>
        <v>10490095</v>
      </c>
      <c r="E111" s="361">
        <f>D111-C111</f>
        <v>122148</v>
      </c>
      <c r="F111" s="362">
        <f>IF(C111=0,0,E111/C111)</f>
        <v>0.01178131022467611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>
      <c r="A113" s="364">
        <v>26</v>
      </c>
      <c r="B113" s="360" t="s">
        <v>789</v>
      </c>
      <c r="C113" s="361">
        <f>C92+C106</f>
        <v>4391043.328930574</v>
      </c>
      <c r="D113" s="361">
        <f>LN_IC10+LN_IC22</f>
        <v>4964875.04075276</v>
      </c>
      <c r="E113" s="361">
        <f>D113-C113</f>
        <v>573831.7118221866</v>
      </c>
      <c r="F113" s="362">
        <f>IF(C113=0,0,E113/C113)</f>
        <v>0.1306823159866067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>
      <c r="A115" s="355" t="s">
        <v>479</v>
      </c>
      <c r="B115" s="356" t="s">
        <v>804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>
      <c r="A117" s="364"/>
      <c r="B117" s="358" t="s">
        <v>805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>
      <c r="A118" s="338">
        <v>1</v>
      </c>
      <c r="B118" s="360" t="s">
        <v>762</v>
      </c>
      <c r="C118" s="361">
        <v>16108020</v>
      </c>
      <c r="D118" s="361">
        <v>15799960</v>
      </c>
      <c r="E118" s="361">
        <f aca="true" t="shared" si="12" ref="E118:E130">D118-C118</f>
        <v>-308060</v>
      </c>
      <c r="F118" s="362">
        <f aca="true" t="shared" si="13" ref="F118:F130">IF(C118=0,0,E118/C118)</f>
        <v>-0.01912463480924409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>
      <c r="A119" s="364">
        <v>2</v>
      </c>
      <c r="B119" s="360" t="s">
        <v>763</v>
      </c>
      <c r="C119" s="361">
        <v>6318388</v>
      </c>
      <c r="D119" s="361">
        <v>6699224</v>
      </c>
      <c r="E119" s="361">
        <f t="shared" si="12"/>
        <v>380836</v>
      </c>
      <c r="F119" s="362">
        <f t="shared" si="13"/>
        <v>0.06027423450411719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>
      <c r="A120" s="364">
        <v>3</v>
      </c>
      <c r="B120" s="365" t="s">
        <v>764</v>
      </c>
      <c r="C120" s="366">
        <f>IF(C118=0,0,C119/C118)</f>
        <v>0.39225106499743606</v>
      </c>
      <c r="D120" s="366">
        <f>IF(LN_ID1=0,0,LN_1D2/LN_ID1)</f>
        <v>0.42400259241162636</v>
      </c>
      <c r="E120" s="367">
        <f t="shared" si="12"/>
        <v>0.031751527414190295</v>
      </c>
      <c r="F120" s="362">
        <f t="shared" si="13"/>
        <v>0.08094695017436813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>
      <c r="A121" s="364">
        <v>4</v>
      </c>
      <c r="B121" s="360" t="s">
        <v>295</v>
      </c>
      <c r="C121" s="369">
        <v>1516</v>
      </c>
      <c r="D121" s="369">
        <v>1542</v>
      </c>
      <c r="E121" s="369">
        <f t="shared" si="12"/>
        <v>26</v>
      </c>
      <c r="F121" s="362">
        <f t="shared" si="13"/>
        <v>0.017150395778364115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>
      <c r="A122" s="364">
        <v>5</v>
      </c>
      <c r="B122" s="365" t="s">
        <v>765</v>
      </c>
      <c r="C122" s="372">
        <v>0.77447</v>
      </c>
      <c r="D122" s="372">
        <v>0.75642</v>
      </c>
      <c r="E122" s="373">
        <f t="shared" si="12"/>
        <v>-0.01805000000000001</v>
      </c>
      <c r="F122" s="362">
        <f t="shared" si="13"/>
        <v>-0.023306261055947953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>
      <c r="A123" s="364">
        <v>6</v>
      </c>
      <c r="B123" s="365" t="s">
        <v>766</v>
      </c>
      <c r="C123" s="376">
        <f>C121*C122</f>
        <v>1174.09652</v>
      </c>
      <c r="D123" s="376">
        <f>LN_ID4*LN_ID5</f>
        <v>1166.3996399999999</v>
      </c>
      <c r="E123" s="376">
        <f t="shared" si="12"/>
        <v>-7.696880000000192</v>
      </c>
      <c r="F123" s="362">
        <f t="shared" si="13"/>
        <v>-0.006555576878807368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>
      <c r="A124" s="364">
        <v>7</v>
      </c>
      <c r="B124" s="360" t="s">
        <v>767</v>
      </c>
      <c r="C124" s="378">
        <f>IF(C123=0,0,C119/C123)</f>
        <v>5381.48941962625</v>
      </c>
      <c r="D124" s="378">
        <f>IF(LN_ID6=0,0,LN_1D2/LN_ID6)</f>
        <v>5743.506573784609</v>
      </c>
      <c r="E124" s="378">
        <f t="shared" si="12"/>
        <v>362.0171541583586</v>
      </c>
      <c r="F124" s="362">
        <f t="shared" si="13"/>
        <v>0.067270810351886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>
      <c r="A125" s="364">
        <v>8</v>
      </c>
      <c r="B125" s="360" t="s">
        <v>806</v>
      </c>
      <c r="C125" s="378">
        <f>C48-C124</f>
        <v>3094.229633171728</v>
      </c>
      <c r="D125" s="378">
        <f>LN_IB7-LN_ID7</f>
        <v>3188.7752447123567</v>
      </c>
      <c r="E125" s="378">
        <f t="shared" si="12"/>
        <v>94.54561154062867</v>
      </c>
      <c r="F125" s="362">
        <f t="shared" si="13"/>
        <v>0.0305554605666791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>
      <c r="A126" s="364">
        <v>9</v>
      </c>
      <c r="B126" s="360" t="s">
        <v>807</v>
      </c>
      <c r="C126" s="378">
        <f>C21-C124</f>
        <v>1239.1059843510957</v>
      </c>
      <c r="D126" s="378">
        <f>LN_IA7-LN_ID7</f>
        <v>700.9352107319673</v>
      </c>
      <c r="E126" s="378">
        <f t="shared" si="12"/>
        <v>-538.1707736191283</v>
      </c>
      <c r="F126" s="362">
        <f t="shared" si="13"/>
        <v>-0.43432182590980034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>
      <c r="A127" s="364">
        <v>10</v>
      </c>
      <c r="B127" s="360" t="s">
        <v>784</v>
      </c>
      <c r="C127" s="391">
        <f>C126*C123</f>
        <v>1454830.024137796</v>
      </c>
      <c r="D127" s="391">
        <f>LN_ID9*LN_ID6</f>
        <v>817570.5774610908</v>
      </c>
      <c r="E127" s="391">
        <f t="shared" si="12"/>
        <v>-637259.4466767051</v>
      </c>
      <c r="F127" s="362">
        <f t="shared" si="13"/>
        <v>-0.43803017266871197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>
      <c r="A128" s="364">
        <v>11</v>
      </c>
      <c r="B128" s="360" t="s">
        <v>297</v>
      </c>
      <c r="C128" s="369">
        <v>5662</v>
      </c>
      <c r="D128" s="369">
        <v>5160</v>
      </c>
      <c r="E128" s="369">
        <f t="shared" si="12"/>
        <v>-502</v>
      </c>
      <c r="F128" s="362">
        <f t="shared" si="13"/>
        <v>-0.0886612504415401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>
      <c r="A129" s="364">
        <v>12</v>
      </c>
      <c r="B129" s="360" t="s">
        <v>768</v>
      </c>
      <c r="C129" s="378">
        <f>IF(C128=0,0,C119/C128)</f>
        <v>1115.9286471211585</v>
      </c>
      <c r="D129" s="378">
        <f>IF(LN_ID11=0,0,LN_1D2/LN_ID11)</f>
        <v>1298.2992248062014</v>
      </c>
      <c r="E129" s="378">
        <f t="shared" si="12"/>
        <v>182.37057768504292</v>
      </c>
      <c r="F129" s="362">
        <f t="shared" si="13"/>
        <v>0.16342494491517665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>
      <c r="A130" s="364">
        <v>13</v>
      </c>
      <c r="B130" s="360" t="s">
        <v>769</v>
      </c>
      <c r="C130" s="379">
        <f>IF(C121=0,0,C128/C121)</f>
        <v>3.7348284960422165</v>
      </c>
      <c r="D130" s="379">
        <f>IF(LN_ID4=0,0,LN_ID11/LN_ID4)</f>
        <v>3.3463035019455254</v>
      </c>
      <c r="E130" s="379">
        <f t="shared" si="12"/>
        <v>-0.38852499409669106</v>
      </c>
      <c r="F130" s="362">
        <f t="shared" si="13"/>
        <v>-0.10402753285951671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>
      <c r="A132" s="364"/>
      <c r="B132" s="359" t="s">
        <v>808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>
      <c r="A133" s="364">
        <v>14</v>
      </c>
      <c r="B133" s="360" t="s">
        <v>771</v>
      </c>
      <c r="C133" s="361">
        <v>18709959</v>
      </c>
      <c r="D133" s="361">
        <v>21605580</v>
      </c>
      <c r="E133" s="361">
        <f aca="true" t="shared" si="14" ref="E133:E141">D133-C133</f>
        <v>2895621</v>
      </c>
      <c r="F133" s="362">
        <f aca="true" t="shared" si="15" ref="F133:F141">IF(C133=0,0,E133/C133)</f>
        <v>0.15476362080750686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>
      <c r="A134" s="364">
        <v>15</v>
      </c>
      <c r="B134" s="360" t="s">
        <v>772</v>
      </c>
      <c r="C134" s="361">
        <v>5629279</v>
      </c>
      <c r="D134" s="361">
        <v>7003135</v>
      </c>
      <c r="E134" s="361">
        <f t="shared" si="14"/>
        <v>1373856</v>
      </c>
      <c r="F134" s="362">
        <f t="shared" si="15"/>
        <v>0.2440554110037893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>
      <c r="A135" s="364">
        <v>16</v>
      </c>
      <c r="B135" s="360" t="s">
        <v>773</v>
      </c>
      <c r="C135" s="366">
        <f>IF(C133=0,0,C134/C133)</f>
        <v>0.30087072879208343</v>
      </c>
      <c r="D135" s="366">
        <f>IF(LN_ID14=0,0,LN_ID15/LN_ID14)</f>
        <v>0.3241354779644888</v>
      </c>
      <c r="E135" s="367">
        <f t="shared" si="14"/>
        <v>0.023264749172405397</v>
      </c>
      <c r="F135" s="362">
        <f t="shared" si="15"/>
        <v>0.07732473433293835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>
      <c r="A136" s="364">
        <v>17</v>
      </c>
      <c r="B136" s="360" t="s">
        <v>774</v>
      </c>
      <c r="C136" s="366">
        <f>IF(C118=0,0,C133/C118)</f>
        <v>1.1615306536743808</v>
      </c>
      <c r="D136" s="366">
        <f>IF(LN_ID1=0,0,LN_ID14/LN_ID1)</f>
        <v>1.3674452340385672</v>
      </c>
      <c r="E136" s="367">
        <f t="shared" si="14"/>
        <v>0.20591458036418642</v>
      </c>
      <c r="F136" s="362">
        <f t="shared" si="15"/>
        <v>0.17727864496110987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>
      <c r="A137" s="364">
        <v>18</v>
      </c>
      <c r="B137" s="360" t="s">
        <v>775</v>
      </c>
      <c r="C137" s="376">
        <f>C136*C121</f>
        <v>1760.8804709703613</v>
      </c>
      <c r="D137" s="376">
        <f>LN_ID17*LN_ID4</f>
        <v>2108.6005508874705</v>
      </c>
      <c r="E137" s="376">
        <f t="shared" si="14"/>
        <v>347.72007991710916</v>
      </c>
      <c r="F137" s="362">
        <f t="shared" si="15"/>
        <v>0.197469439663609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>
      <c r="A138" s="364">
        <v>19</v>
      </c>
      <c r="B138" s="365" t="s">
        <v>776</v>
      </c>
      <c r="C138" s="378">
        <f>IF(C137=0,0,C134/C137)</f>
        <v>3196.8546944574246</v>
      </c>
      <c r="D138" s="378">
        <f>IF(LN_ID18=0,0,LN_ID15/LN_ID18)</f>
        <v>3321.2241157067474</v>
      </c>
      <c r="E138" s="378">
        <f t="shared" si="14"/>
        <v>124.36942124932284</v>
      </c>
      <c r="F138" s="362">
        <f t="shared" si="15"/>
        <v>0.038903682880848306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>
      <c r="A139" s="364">
        <v>20</v>
      </c>
      <c r="B139" s="365" t="s">
        <v>809</v>
      </c>
      <c r="C139" s="378">
        <f>C61-C138</f>
        <v>5098.402480727738</v>
      </c>
      <c r="D139" s="378">
        <f>LN_IB18-LN_ID19</f>
        <v>5676.629482457478</v>
      </c>
      <c r="E139" s="378">
        <f t="shared" si="14"/>
        <v>578.2270017297396</v>
      </c>
      <c r="F139" s="362">
        <f t="shared" si="15"/>
        <v>0.11341336897498222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>
      <c r="A140" s="364">
        <v>21</v>
      </c>
      <c r="B140" s="360" t="s">
        <v>810</v>
      </c>
      <c r="C140" s="378">
        <f>C32-C138</f>
        <v>3968.2086082471224</v>
      </c>
      <c r="D140" s="378">
        <f>LN_IA16-LN_ID19</f>
        <v>3772.407128635208</v>
      </c>
      <c r="E140" s="378">
        <f t="shared" si="14"/>
        <v>-195.80147961191415</v>
      </c>
      <c r="F140" s="362">
        <f t="shared" si="15"/>
        <v>-0.04934253688301069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>
      <c r="A141" s="338">
        <v>22</v>
      </c>
      <c r="B141" s="365" t="s">
        <v>787</v>
      </c>
      <c r="C141" s="353">
        <f>C140*C137</f>
        <v>6987541.0429988345</v>
      </c>
      <c r="D141" s="353">
        <f>LN_ID21*LN_ID18</f>
        <v>7954499.74961202</v>
      </c>
      <c r="E141" s="353">
        <f t="shared" si="14"/>
        <v>966958.7066131858</v>
      </c>
      <c r="F141" s="362">
        <f t="shared" si="15"/>
        <v>0.13838325967072923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>
      <c r="A143" s="338"/>
      <c r="B143" s="418" t="s">
        <v>811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>
      <c r="A144" s="364">
        <v>23</v>
      </c>
      <c r="B144" s="360" t="s">
        <v>778</v>
      </c>
      <c r="C144" s="361">
        <f>C118+C133</f>
        <v>34817979</v>
      </c>
      <c r="D144" s="361">
        <f>LN_ID1+LN_ID14</f>
        <v>37405540</v>
      </c>
      <c r="E144" s="361">
        <f>D144-C144</f>
        <v>2587561</v>
      </c>
      <c r="F144" s="362">
        <f>IF(C144=0,0,E144/C144)</f>
        <v>0.0743168062683937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>
      <c r="A145" s="364">
        <v>24</v>
      </c>
      <c r="B145" s="360" t="s">
        <v>779</v>
      </c>
      <c r="C145" s="361">
        <f>C119+C134</f>
        <v>11947667</v>
      </c>
      <c r="D145" s="361">
        <f>LN_1D2+LN_ID15</f>
        <v>13702359</v>
      </c>
      <c r="E145" s="361">
        <f>D145-C145</f>
        <v>1754692</v>
      </c>
      <c r="F145" s="362">
        <f>IF(C145=0,0,E145/C145)</f>
        <v>0.14686482306545703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>
      <c r="A146" s="364">
        <v>25</v>
      </c>
      <c r="B146" s="360" t="s">
        <v>780</v>
      </c>
      <c r="C146" s="361">
        <f>C144-C145</f>
        <v>22870312</v>
      </c>
      <c r="D146" s="361">
        <f>LN_ID23-LN_ID24</f>
        <v>23703181</v>
      </c>
      <c r="E146" s="361">
        <f>D146-C146</f>
        <v>832869</v>
      </c>
      <c r="F146" s="362">
        <f>IF(C146=0,0,E146/C146)</f>
        <v>0.03641703707408976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>
      <c r="A148" s="364">
        <v>26</v>
      </c>
      <c r="B148" s="360" t="s">
        <v>789</v>
      </c>
      <c r="C148" s="361">
        <f>C127+C141</f>
        <v>8442371.06713663</v>
      </c>
      <c r="D148" s="361">
        <f>LN_ID10+LN_ID22</f>
        <v>8772070.32707311</v>
      </c>
      <c r="E148" s="361">
        <f>D148-C148</f>
        <v>329699.25993647985</v>
      </c>
      <c r="F148" s="415">
        <f>IF(C148=0,0,E148/C148)</f>
        <v>0.03905292213699188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>
      <c r="A150" s="355" t="s">
        <v>500</v>
      </c>
      <c r="B150" s="356" t="s">
        <v>812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>
      <c r="A152" s="364"/>
      <c r="B152" s="359" t="s">
        <v>813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>
      <c r="A153" s="338">
        <v>1</v>
      </c>
      <c r="B153" s="360" t="s">
        <v>762</v>
      </c>
      <c r="C153" s="361">
        <v>3160467</v>
      </c>
      <c r="D153" s="361">
        <v>4651402</v>
      </c>
      <c r="E153" s="361">
        <f aca="true" t="shared" si="16" ref="E153:E165">D153-C153</f>
        <v>1490935</v>
      </c>
      <c r="F153" s="362">
        <f aca="true" t="shared" si="17" ref="F153:F165">IF(C153=0,0,E153/C153)</f>
        <v>0.471745156649318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>
      <c r="A154" s="364">
        <v>2</v>
      </c>
      <c r="B154" s="360" t="s">
        <v>763</v>
      </c>
      <c r="C154" s="361">
        <v>788928</v>
      </c>
      <c r="D154" s="361">
        <v>888557</v>
      </c>
      <c r="E154" s="361">
        <f t="shared" si="16"/>
        <v>99629</v>
      </c>
      <c r="F154" s="362">
        <f t="shared" si="17"/>
        <v>0.12628402084854384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>
      <c r="A155" s="364">
        <v>3</v>
      </c>
      <c r="B155" s="365" t="s">
        <v>764</v>
      </c>
      <c r="C155" s="366">
        <f>IF(C153=0,0,C154/C153)</f>
        <v>0.24962386887760574</v>
      </c>
      <c r="D155" s="366">
        <f>IF(LN_IE1=0,0,LN_IE2/LN_IE1)</f>
        <v>0.1910299303306831</v>
      </c>
      <c r="E155" s="367">
        <f t="shared" si="16"/>
        <v>-0.05859393854692263</v>
      </c>
      <c r="F155" s="362">
        <f t="shared" si="17"/>
        <v>-0.2347289095805662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>
      <c r="A156" s="364">
        <v>4</v>
      </c>
      <c r="B156" s="360" t="s">
        <v>295</v>
      </c>
      <c r="C156" s="419">
        <v>202</v>
      </c>
      <c r="D156" s="419">
        <v>305</v>
      </c>
      <c r="E156" s="419">
        <f t="shared" si="16"/>
        <v>103</v>
      </c>
      <c r="F156" s="362">
        <f t="shared" si="17"/>
        <v>0.5099009900990099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>
      <c r="A157" s="364">
        <v>5</v>
      </c>
      <c r="B157" s="365" t="s">
        <v>765</v>
      </c>
      <c r="C157" s="372">
        <v>1.11393</v>
      </c>
      <c r="D157" s="372">
        <v>1.05223</v>
      </c>
      <c r="E157" s="373">
        <f t="shared" si="16"/>
        <v>-0.06170000000000009</v>
      </c>
      <c r="F157" s="362">
        <f t="shared" si="17"/>
        <v>-0.0553894768971121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>
      <c r="A158" s="364">
        <v>6</v>
      </c>
      <c r="B158" s="365" t="s">
        <v>766</v>
      </c>
      <c r="C158" s="376">
        <f>C156*C157</f>
        <v>225.01386000000002</v>
      </c>
      <c r="D158" s="376">
        <f>LN_IE4*LN_IE5</f>
        <v>320.93015</v>
      </c>
      <c r="E158" s="376">
        <f t="shared" si="16"/>
        <v>95.91629</v>
      </c>
      <c r="F158" s="362">
        <f t="shared" si="17"/>
        <v>0.42626836409099417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>
      <c r="A159" s="364">
        <v>7</v>
      </c>
      <c r="B159" s="360" t="s">
        <v>767</v>
      </c>
      <c r="C159" s="378">
        <f>IF(C158=0,0,C154/C158)</f>
        <v>3506.1306890162227</v>
      </c>
      <c r="D159" s="378">
        <f>IF(LN_IE6=0,0,LN_IE2/LN_IE6)</f>
        <v>2768.69281368547</v>
      </c>
      <c r="E159" s="378">
        <f t="shared" si="16"/>
        <v>-737.4378753307528</v>
      </c>
      <c r="F159" s="362">
        <f t="shared" si="17"/>
        <v>-0.2103281197249578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>
      <c r="A160" s="364">
        <v>8</v>
      </c>
      <c r="B160" s="423" t="s">
        <v>814</v>
      </c>
      <c r="C160" s="378">
        <f>C48-C159</f>
        <v>4969.588363781755</v>
      </c>
      <c r="D160" s="378">
        <f>LN_IB7-LN_IE7</f>
        <v>6163.589004811496</v>
      </c>
      <c r="E160" s="378">
        <f t="shared" si="16"/>
        <v>1194.000641029741</v>
      </c>
      <c r="F160" s="362">
        <f t="shared" si="17"/>
        <v>0.24026147713391918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>
      <c r="A161" s="364">
        <v>9</v>
      </c>
      <c r="B161" s="423" t="s">
        <v>815</v>
      </c>
      <c r="C161" s="378">
        <f>C21-C159</f>
        <v>3114.4647149611233</v>
      </c>
      <c r="D161" s="378">
        <f>LN_IA7-LN_IE7</f>
        <v>3675.7489708311064</v>
      </c>
      <c r="E161" s="378">
        <f t="shared" si="16"/>
        <v>561.2842558699831</v>
      </c>
      <c r="F161" s="362">
        <f t="shared" si="17"/>
        <v>0.1802185310283695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>
      <c r="A162" s="364">
        <v>10</v>
      </c>
      <c r="B162" s="360" t="s">
        <v>784</v>
      </c>
      <c r="C162" s="391">
        <f>C161*C158</f>
        <v>700797.7273472021</v>
      </c>
      <c r="D162" s="391">
        <f>LN_IE9*LN_IE6</f>
        <v>1179658.6685711727</v>
      </c>
      <c r="E162" s="391">
        <f t="shared" si="16"/>
        <v>478860.9412239706</v>
      </c>
      <c r="F162" s="362">
        <f t="shared" si="17"/>
        <v>0.683308353519709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>
      <c r="A163" s="364">
        <v>11</v>
      </c>
      <c r="B163" s="360" t="s">
        <v>297</v>
      </c>
      <c r="C163" s="369">
        <v>1204</v>
      </c>
      <c r="D163" s="369">
        <v>1432</v>
      </c>
      <c r="E163" s="419">
        <f t="shared" si="16"/>
        <v>228</v>
      </c>
      <c r="F163" s="362">
        <f t="shared" si="17"/>
        <v>0.1893687707641196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>
      <c r="A164" s="364">
        <v>12</v>
      </c>
      <c r="B164" s="360" t="s">
        <v>768</v>
      </c>
      <c r="C164" s="378">
        <f>IF(C163=0,0,C154/C163)</f>
        <v>655.2558139534884</v>
      </c>
      <c r="D164" s="378">
        <f>IF(LN_IE11=0,0,LN_IE2/LN_IE11)</f>
        <v>620.5006983240223</v>
      </c>
      <c r="E164" s="378">
        <f t="shared" si="16"/>
        <v>-34.755115629466104</v>
      </c>
      <c r="F164" s="362">
        <f t="shared" si="17"/>
        <v>-0.05304052995695068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>
      <c r="A165" s="364">
        <v>13</v>
      </c>
      <c r="B165" s="360" t="s">
        <v>769</v>
      </c>
      <c r="C165" s="379">
        <f>IF(C156=0,0,C163/C156)</f>
        <v>5.96039603960396</v>
      </c>
      <c r="D165" s="379">
        <f>IF(LN_IE4=0,0,LN_IE11/LN_IE4)</f>
        <v>4.695081967213115</v>
      </c>
      <c r="E165" s="379">
        <f t="shared" si="16"/>
        <v>-1.2653140723908454</v>
      </c>
      <c r="F165" s="362">
        <f t="shared" si="17"/>
        <v>-0.21228691247753387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>
      <c r="A167" s="364"/>
      <c r="B167" s="359" t="s">
        <v>816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>
      <c r="A168" s="364">
        <v>14</v>
      </c>
      <c r="B168" s="360" t="s">
        <v>771</v>
      </c>
      <c r="C168" s="424">
        <v>4062294</v>
      </c>
      <c r="D168" s="424">
        <v>5739806</v>
      </c>
      <c r="E168" s="424">
        <f aca="true" t="shared" si="18" ref="E168:E176">D168-C168</f>
        <v>1677512</v>
      </c>
      <c r="F168" s="362">
        <f aca="true" t="shared" si="19" ref="F168:F176">IF(C168=0,0,E168/C168)</f>
        <v>0.412946970357143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>
      <c r="A169" s="364">
        <v>15</v>
      </c>
      <c r="B169" s="360" t="s">
        <v>772</v>
      </c>
      <c r="C169" s="424">
        <v>617430</v>
      </c>
      <c r="D169" s="424">
        <v>691793</v>
      </c>
      <c r="E169" s="424">
        <f t="shared" si="18"/>
        <v>74363</v>
      </c>
      <c r="F169" s="362">
        <f t="shared" si="19"/>
        <v>0.1204395639991578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>
      <c r="A170" s="364">
        <v>16</v>
      </c>
      <c r="B170" s="360" t="s">
        <v>773</v>
      </c>
      <c r="C170" s="366">
        <f>IF(C168=0,0,C169/C168)</f>
        <v>0.15199047631707602</v>
      </c>
      <c r="D170" s="366">
        <f>IF(LN_IE14=0,0,LN_IE15/LN_IE14)</f>
        <v>0.12052550208142923</v>
      </c>
      <c r="E170" s="367">
        <f t="shared" si="18"/>
        <v>-0.031464974235646787</v>
      </c>
      <c r="F170" s="362">
        <f t="shared" si="19"/>
        <v>-0.2070193804117431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>
      <c r="A171" s="364">
        <v>17</v>
      </c>
      <c r="B171" s="360" t="s">
        <v>774</v>
      </c>
      <c r="C171" s="366">
        <f>IF(C153=0,0,C168/C153)</f>
        <v>1.2853461213168813</v>
      </c>
      <c r="D171" s="366">
        <f>IF(LN_IE1=0,0,LN_IE14/LN_IE1)</f>
        <v>1.233994825646117</v>
      </c>
      <c r="E171" s="367">
        <f t="shared" si="18"/>
        <v>-0.05135129567076424</v>
      </c>
      <c r="F171" s="362">
        <f t="shared" si="19"/>
        <v>-0.039951336701551696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>
      <c r="A172" s="364">
        <v>18</v>
      </c>
      <c r="B172" s="360" t="s">
        <v>775</v>
      </c>
      <c r="C172" s="376">
        <f>C171*C156</f>
        <v>259.63991650601</v>
      </c>
      <c r="D172" s="376">
        <f>LN_IE17*LN_IE4</f>
        <v>376.3684218220657</v>
      </c>
      <c r="E172" s="376">
        <f t="shared" si="18"/>
        <v>116.7285053160557</v>
      </c>
      <c r="F172" s="362">
        <f t="shared" si="19"/>
        <v>0.44957842725755814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>
      <c r="A173" s="364">
        <v>19</v>
      </c>
      <c r="B173" s="365" t="s">
        <v>776</v>
      </c>
      <c r="C173" s="378">
        <f>IF(C172=0,0,C169/C172)</f>
        <v>2378.024181754457</v>
      </c>
      <c r="D173" s="378">
        <f>IF(LN_IE18=0,0,LN_IE15/LN_IE18)</f>
        <v>1838.073971910046</v>
      </c>
      <c r="E173" s="378">
        <f t="shared" si="18"/>
        <v>-539.9502098444109</v>
      </c>
      <c r="F173" s="362">
        <f t="shared" si="19"/>
        <v>-0.2270583343883605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>
      <c r="A174" s="364">
        <v>20</v>
      </c>
      <c r="B174" s="423" t="s">
        <v>817</v>
      </c>
      <c r="C174" s="378">
        <f>C61-C173</f>
        <v>5917.232993430705</v>
      </c>
      <c r="D174" s="378">
        <f>LN_IB18-LN_IE19</f>
        <v>7159.77962625418</v>
      </c>
      <c r="E174" s="378">
        <f t="shared" si="18"/>
        <v>1242.5466328234743</v>
      </c>
      <c r="F174" s="362">
        <f t="shared" si="19"/>
        <v>0.20998778216151803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>
      <c r="A175" s="364">
        <v>21</v>
      </c>
      <c r="B175" s="423" t="s">
        <v>818</v>
      </c>
      <c r="C175" s="378">
        <f>C32-C173</f>
        <v>4787.03912095009</v>
      </c>
      <c r="D175" s="378">
        <f>LN_IA16-LN_IE19</f>
        <v>5255.55727243191</v>
      </c>
      <c r="E175" s="378">
        <f t="shared" si="18"/>
        <v>468.5181514818196</v>
      </c>
      <c r="F175" s="362">
        <f t="shared" si="19"/>
        <v>0.09787222114634236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>
      <c r="A176" s="364">
        <v>22</v>
      </c>
      <c r="B176" s="365" t="s">
        <v>787</v>
      </c>
      <c r="C176" s="353">
        <f>C175*C172</f>
        <v>1242906.4376744851</v>
      </c>
      <c r="D176" s="353">
        <f>LN_IE21*LN_IE18</f>
        <v>1978025.7964206783</v>
      </c>
      <c r="E176" s="353">
        <f t="shared" si="18"/>
        <v>735119.3587461931</v>
      </c>
      <c r="F176" s="362">
        <f t="shared" si="19"/>
        <v>0.591451887659077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1" ht="11.25" customHeight="1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1" ht="11.25" customHeight="1">
      <c r="A178" s="364"/>
      <c r="B178" s="358" t="s">
        <v>819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1" ht="11.25" customHeight="1">
      <c r="A179" s="364">
        <v>23</v>
      </c>
      <c r="B179" s="360" t="s">
        <v>778</v>
      </c>
      <c r="C179" s="361">
        <f>C153+C168</f>
        <v>7222761</v>
      </c>
      <c r="D179" s="361">
        <f>LN_IE1+LN_IE14</f>
        <v>10391208</v>
      </c>
      <c r="E179" s="361">
        <f>D179-C179</f>
        <v>3168447</v>
      </c>
      <c r="F179" s="362">
        <f>IF(C179=0,0,E179/C179)</f>
        <v>0.4386753209749014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1" ht="11.25" customHeight="1">
      <c r="A180" s="364">
        <v>24</v>
      </c>
      <c r="B180" s="360" t="s">
        <v>779</v>
      </c>
      <c r="C180" s="361">
        <f>C154+C169</f>
        <v>1406358</v>
      </c>
      <c r="D180" s="361">
        <f>LN_IE15+LN_IE2</f>
        <v>1580350</v>
      </c>
      <c r="E180" s="361">
        <f>D180-C180</f>
        <v>173992</v>
      </c>
      <c r="F180" s="362">
        <f>IF(C180=0,0,E180/C180)</f>
        <v>0.12371814289107042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1" ht="11.25" customHeight="1">
      <c r="A181" s="364">
        <v>25</v>
      </c>
      <c r="B181" s="360" t="s">
        <v>780</v>
      </c>
      <c r="C181" s="361">
        <f>C179-C180</f>
        <v>5816403</v>
      </c>
      <c r="D181" s="361">
        <f>LN_IE23-LN_IE24</f>
        <v>8810858</v>
      </c>
      <c r="E181" s="361">
        <f>D181-C181</f>
        <v>2994455</v>
      </c>
      <c r="F181" s="362">
        <f>IF(C181=0,0,E181/C181)</f>
        <v>0.5148293541558245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1" ht="11.25" customHeight="1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1" ht="11.25" customHeight="1">
      <c r="A183" s="364">
        <v>26</v>
      </c>
      <c r="B183" s="360" t="s">
        <v>820</v>
      </c>
      <c r="C183" s="361">
        <f>C162+C176</f>
        <v>1943704.1650216873</v>
      </c>
      <c r="D183" s="361">
        <f>LN_IE10+LN_IE22</f>
        <v>3157684.464991851</v>
      </c>
      <c r="E183" s="353">
        <f>D183-C183</f>
        <v>1213980.2999701635</v>
      </c>
      <c r="F183" s="362">
        <f>IF(C183=0,0,E183/C183)</f>
        <v>0.6245705091425877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1" ht="11.25" customHeight="1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>
      <c r="A185" s="355" t="s">
        <v>512</v>
      </c>
      <c r="B185" s="356" t="s">
        <v>821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1" ht="15" customHeight="1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1" ht="11.25" customHeight="1">
      <c r="A187" s="364"/>
      <c r="B187" s="359" t="s">
        <v>822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1" ht="11.25" customHeight="1">
      <c r="A188" s="338">
        <v>1</v>
      </c>
      <c r="B188" s="360" t="s">
        <v>762</v>
      </c>
      <c r="C188" s="361">
        <f>C118+C153</f>
        <v>19268487</v>
      </c>
      <c r="D188" s="361">
        <f>LN_ID1+LN_IE1</f>
        <v>20451362</v>
      </c>
      <c r="E188" s="361">
        <f aca="true" t="shared" si="20" ref="E188:E200">D188-C188</f>
        <v>1182875</v>
      </c>
      <c r="F188" s="362">
        <f aca="true" t="shared" si="21" ref="F188:F200">IF(C188=0,0,E188/C188)</f>
        <v>0.06138909609249548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1" ht="11.25" customHeight="1">
      <c r="A189" s="364">
        <v>2</v>
      </c>
      <c r="B189" s="360" t="s">
        <v>763</v>
      </c>
      <c r="C189" s="361">
        <f>C119+C154</f>
        <v>7107316</v>
      </c>
      <c r="D189" s="361">
        <f>LN_1D2+LN_IE2</f>
        <v>7587781</v>
      </c>
      <c r="E189" s="361">
        <f t="shared" si="20"/>
        <v>480465</v>
      </c>
      <c r="F189" s="362">
        <f t="shared" si="21"/>
        <v>0.0676014686838182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1" ht="11.25" customHeight="1">
      <c r="A190" s="364">
        <v>3</v>
      </c>
      <c r="B190" s="365" t="s">
        <v>764</v>
      </c>
      <c r="C190" s="366">
        <f>IF(C188=0,0,C189/C188)</f>
        <v>0.3688569839448214</v>
      </c>
      <c r="D190" s="366">
        <f>IF(LN_IF1=0,0,LN_IF2/LN_IF1)</f>
        <v>0.3710159254919061</v>
      </c>
      <c r="E190" s="367">
        <f t="shared" si="20"/>
        <v>0.0021589415470846807</v>
      </c>
      <c r="F190" s="362">
        <f t="shared" si="21"/>
        <v>0.005853058613654023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1" ht="11.25" customHeight="1">
      <c r="A191" s="364">
        <v>4</v>
      </c>
      <c r="B191" s="360" t="s">
        <v>295</v>
      </c>
      <c r="C191" s="369">
        <f>C121+C156</f>
        <v>1718</v>
      </c>
      <c r="D191" s="369">
        <f>LN_ID4+LN_IE4</f>
        <v>1847</v>
      </c>
      <c r="E191" s="369">
        <f t="shared" si="20"/>
        <v>129</v>
      </c>
      <c r="F191" s="362">
        <f t="shared" si="21"/>
        <v>0.07508731082654249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1" ht="11.25" customHeight="1">
      <c r="A192" s="364">
        <v>5</v>
      </c>
      <c r="B192" s="365" t="s">
        <v>765</v>
      </c>
      <c r="C192" s="372">
        <f>IF((C121+C156)=0,0,(C123+C158)/(C121+C156))</f>
        <v>0.8143832246798604</v>
      </c>
      <c r="D192" s="372">
        <f>IF((LN_ID4+LN_IE4)=0,0,(LN_ID6+LN_IE6)/(LN_ID4+LN_IE4))</f>
        <v>0.8052678884677855</v>
      </c>
      <c r="E192" s="373">
        <f t="shared" si="20"/>
        <v>-0.009115336212074832</v>
      </c>
      <c r="F192" s="362">
        <f t="shared" si="21"/>
        <v>-0.011192932191915094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>
      <c r="A193" s="364">
        <v>6</v>
      </c>
      <c r="B193" s="365" t="s">
        <v>766</v>
      </c>
      <c r="C193" s="376">
        <f>C123+C158</f>
        <v>1399.11038</v>
      </c>
      <c r="D193" s="376">
        <f>LN_IF4*LN_IF5</f>
        <v>1487.3297899999998</v>
      </c>
      <c r="E193" s="376">
        <f t="shared" si="20"/>
        <v>88.2194099999997</v>
      </c>
      <c r="F193" s="362">
        <f t="shared" si="21"/>
        <v>0.0630539314560726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>
      <c r="A194" s="364">
        <v>7</v>
      </c>
      <c r="B194" s="360" t="s">
        <v>767</v>
      </c>
      <c r="C194" s="378">
        <f>IF(C193=0,0,C189/C193)</f>
        <v>5079.882260611918</v>
      </c>
      <c r="D194" s="378">
        <f>IF(LN_IF6=0,0,LN_IF2/LN_IF6)</f>
        <v>5101.613005411531</v>
      </c>
      <c r="E194" s="378">
        <f t="shared" si="20"/>
        <v>21.730744799612694</v>
      </c>
      <c r="F194" s="362">
        <f t="shared" si="21"/>
        <v>0.004277804816089384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>
      <c r="A195" s="364">
        <v>8</v>
      </c>
      <c r="B195" s="357" t="s">
        <v>823</v>
      </c>
      <c r="C195" s="378">
        <f>C48-C194</f>
        <v>3395.83679218606</v>
      </c>
      <c r="D195" s="378">
        <f>LN_IB7-LN_IF7</f>
        <v>3830.6688130854345</v>
      </c>
      <c r="E195" s="378">
        <f t="shared" si="20"/>
        <v>434.8320208993746</v>
      </c>
      <c r="F195" s="362">
        <f t="shared" si="21"/>
        <v>0.12804856284611157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>
      <c r="A196" s="364">
        <v>9</v>
      </c>
      <c r="B196" s="365" t="s">
        <v>824</v>
      </c>
      <c r="C196" s="378">
        <f>C21-C194</f>
        <v>1540.7131433654276</v>
      </c>
      <c r="D196" s="378">
        <f>LN_IA7-LN_IF7</f>
        <v>1342.8287791050452</v>
      </c>
      <c r="E196" s="378">
        <f t="shared" si="20"/>
        <v>-197.88436426038243</v>
      </c>
      <c r="F196" s="362">
        <f t="shared" si="21"/>
        <v>-0.1284368638721011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>
      <c r="A197" s="364">
        <v>10</v>
      </c>
      <c r="B197" s="360" t="s">
        <v>784</v>
      </c>
      <c r="C197" s="391">
        <f>C127+C162</f>
        <v>2155627.751484998</v>
      </c>
      <c r="D197" s="391">
        <f>LN_IF9*LN_IF6</f>
        <v>1997229.246032263</v>
      </c>
      <c r="E197" s="391">
        <f t="shared" si="20"/>
        <v>-158398.50545273512</v>
      </c>
      <c r="F197" s="362">
        <f t="shared" si="21"/>
        <v>-0.07348138162705291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>
      <c r="A198" s="364">
        <v>11</v>
      </c>
      <c r="B198" s="360" t="s">
        <v>297</v>
      </c>
      <c r="C198" s="369">
        <f>C128+C163</f>
        <v>6866</v>
      </c>
      <c r="D198" s="369">
        <f>LN_ID11+LN_IE11</f>
        <v>6592</v>
      </c>
      <c r="E198" s="369">
        <f t="shared" si="20"/>
        <v>-274</v>
      </c>
      <c r="F198" s="362">
        <f t="shared" si="21"/>
        <v>-0.03990678706670551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>
      <c r="A199" s="364">
        <v>12</v>
      </c>
      <c r="B199" s="360" t="s">
        <v>768</v>
      </c>
      <c r="C199" s="432">
        <f>IF(C198=0,0,C189/C198)</f>
        <v>1035.1465190795222</v>
      </c>
      <c r="D199" s="432">
        <f>IF(LN_IF11=0,0,LN_IF2/LN_IF11)</f>
        <v>1151.0590109223301</v>
      </c>
      <c r="E199" s="432">
        <f t="shared" si="20"/>
        <v>115.91249184280787</v>
      </c>
      <c r="F199" s="362">
        <f t="shared" si="21"/>
        <v>0.1119768938081153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>
      <c r="A200" s="364">
        <v>13</v>
      </c>
      <c r="B200" s="360" t="s">
        <v>769</v>
      </c>
      <c r="C200" s="379">
        <f>IF(C191=0,0,C198/C191)</f>
        <v>3.9965075669383006</v>
      </c>
      <c r="D200" s="379">
        <f>IF(LN_IF4=0,0,LN_IF11/LN_IF4)</f>
        <v>3.5690308608554413</v>
      </c>
      <c r="E200" s="379">
        <f t="shared" si="20"/>
        <v>-0.42747670608285926</v>
      </c>
      <c r="F200" s="362">
        <f t="shared" si="21"/>
        <v>-0.10696256642154853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>
      <c r="A202" s="364"/>
      <c r="B202" s="359" t="s">
        <v>825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>
      <c r="A203" s="338">
        <v>14</v>
      </c>
      <c r="B203" s="360" t="s">
        <v>771</v>
      </c>
      <c r="C203" s="361">
        <f>C133+C168</f>
        <v>22772253</v>
      </c>
      <c r="D203" s="361">
        <f>LN_ID14+LN_IE14</f>
        <v>27345386</v>
      </c>
      <c r="E203" s="361">
        <f aca="true" t="shared" si="22" ref="E203:E211">D203-C203</f>
        <v>4573133</v>
      </c>
      <c r="F203" s="362">
        <f aca="true" t="shared" si="23" ref="F203:F211">IF(C203=0,0,E203/C203)</f>
        <v>0.20082040191631456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>
      <c r="A204" s="338">
        <v>15</v>
      </c>
      <c r="B204" s="360" t="s">
        <v>772</v>
      </c>
      <c r="C204" s="361">
        <f>C134+C169</f>
        <v>6246709</v>
      </c>
      <c r="D204" s="361">
        <f>LN_ID15+LN_IE15</f>
        <v>7694928</v>
      </c>
      <c r="E204" s="361">
        <f t="shared" si="22"/>
        <v>1448219</v>
      </c>
      <c r="F204" s="362">
        <f t="shared" si="23"/>
        <v>0.23183711615188093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>
      <c r="A205" s="338">
        <v>16</v>
      </c>
      <c r="B205" s="360" t="s">
        <v>773</v>
      </c>
      <c r="C205" s="366">
        <f>IF(C203=0,0,C204/C203)</f>
        <v>0.2743122957574729</v>
      </c>
      <c r="D205" s="366">
        <f>IF(LN_IF14=0,0,LN_IF15/LN_IF14)</f>
        <v>0.28139767345028516</v>
      </c>
      <c r="E205" s="367">
        <f t="shared" si="22"/>
        <v>0.007085377692812256</v>
      </c>
      <c r="F205" s="362">
        <f t="shared" si="23"/>
        <v>0.025829602983151127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>
      <c r="A206" s="338">
        <v>17</v>
      </c>
      <c r="B206" s="360" t="s">
        <v>774</v>
      </c>
      <c r="C206" s="366">
        <f>IF(C188=0,0,C203/C188)</f>
        <v>1.1818391864394957</v>
      </c>
      <c r="D206" s="366">
        <f>IF(LN_IF1=0,0,LN_IF14/LN_IF1)</f>
        <v>1.3370936370888158</v>
      </c>
      <c r="E206" s="367">
        <f t="shared" si="22"/>
        <v>0.15525445064932009</v>
      </c>
      <c r="F206" s="362">
        <f t="shared" si="23"/>
        <v>0.13136681574847098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>
      <c r="A207" s="338">
        <v>18</v>
      </c>
      <c r="B207" s="360" t="s">
        <v>775</v>
      </c>
      <c r="C207" s="376">
        <f>C137+C172</f>
        <v>2020.5203874763713</v>
      </c>
      <c r="D207" s="376">
        <f>LN_ID18+LN_IE18</f>
        <v>2484.968972709536</v>
      </c>
      <c r="E207" s="376">
        <f t="shared" si="22"/>
        <v>464.44858523316475</v>
      </c>
      <c r="F207" s="362">
        <f t="shared" si="23"/>
        <v>0.2298658247211555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>
      <c r="A208" s="338">
        <v>19</v>
      </c>
      <c r="B208" s="365" t="s">
        <v>776</v>
      </c>
      <c r="C208" s="378">
        <f>IF(C207=0,0,C204/C207)</f>
        <v>3091.6337388716656</v>
      </c>
      <c r="D208" s="378">
        <f>IF(LN_IF18=0,0,LN_IF15/LN_IF18)</f>
        <v>3096.5891665076524</v>
      </c>
      <c r="E208" s="378">
        <f t="shared" si="22"/>
        <v>4.95542763598678</v>
      </c>
      <c r="F208" s="362">
        <f t="shared" si="23"/>
        <v>0.001602850807869412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1" ht="11.25" customHeight="1">
      <c r="A209" s="338">
        <v>20</v>
      </c>
      <c r="B209" s="365" t="s">
        <v>826</v>
      </c>
      <c r="C209" s="378">
        <f>C61-C208</f>
        <v>5203.623436313497</v>
      </c>
      <c r="D209" s="378">
        <f>LN_IB18-LN_IF19</f>
        <v>5901.264431656573</v>
      </c>
      <c r="E209" s="378">
        <f t="shared" si="22"/>
        <v>697.6409953430757</v>
      </c>
      <c r="F209" s="362">
        <f t="shared" si="23"/>
        <v>0.1340683091083391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1" ht="11.25" customHeight="1">
      <c r="A210" s="338">
        <v>21</v>
      </c>
      <c r="B210" s="365" t="s">
        <v>827</v>
      </c>
      <c r="C210" s="378">
        <f>C32-C208</f>
        <v>4073.4295638328813</v>
      </c>
      <c r="D210" s="378">
        <f>LN_IA16-LN_IF19</f>
        <v>3997.042077834303</v>
      </c>
      <c r="E210" s="378">
        <f t="shared" si="22"/>
        <v>-76.38748599857809</v>
      </c>
      <c r="F210" s="362">
        <f t="shared" si="23"/>
        <v>-0.018752622280941447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1" ht="11.25" customHeight="1">
      <c r="A211" s="338">
        <v>22</v>
      </c>
      <c r="B211" s="365" t="s">
        <v>787</v>
      </c>
      <c r="C211" s="391">
        <f>C141+C176</f>
        <v>8230447.48067332</v>
      </c>
      <c r="D211" s="353">
        <f>LN_IF21*LN_IF18</f>
        <v>9932525.546032697</v>
      </c>
      <c r="E211" s="353">
        <f t="shared" si="22"/>
        <v>1702078.0653593773</v>
      </c>
      <c r="F211" s="362">
        <f t="shared" si="23"/>
        <v>0.20680261545392098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1" ht="11.25" customHeight="1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1" ht="11.25" customHeight="1">
      <c r="A213" s="338"/>
      <c r="B213" s="358" t="s">
        <v>828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1" ht="11.25" customHeight="1">
      <c r="A214" s="338">
        <v>23</v>
      </c>
      <c r="B214" s="360" t="s">
        <v>778</v>
      </c>
      <c r="C214" s="361">
        <f>C188+C203</f>
        <v>42040740</v>
      </c>
      <c r="D214" s="361">
        <f>LN_IF1+LN_IF14</f>
        <v>47796748</v>
      </c>
      <c r="E214" s="361">
        <f>D214-C214</f>
        <v>5756008</v>
      </c>
      <c r="F214" s="362">
        <f>IF(C214=0,0,E214/C214)</f>
        <v>0.1369150019718968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1" ht="11.25" customHeight="1">
      <c r="A215" s="338">
        <v>24</v>
      </c>
      <c r="B215" s="360" t="s">
        <v>779</v>
      </c>
      <c r="C215" s="361">
        <f>C189+C204</f>
        <v>13354025</v>
      </c>
      <c r="D215" s="361">
        <f>LN_IF2+LN_IF15</f>
        <v>15282709</v>
      </c>
      <c r="E215" s="361">
        <f>D215-C215</f>
        <v>1928684</v>
      </c>
      <c r="F215" s="362">
        <f>IF(C215=0,0,E215/C215)</f>
        <v>0.14442716709007208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1" ht="11.25" customHeight="1">
      <c r="A216" s="338">
        <v>25</v>
      </c>
      <c r="B216" s="360" t="s">
        <v>780</v>
      </c>
      <c r="C216" s="361">
        <f>C214-C215</f>
        <v>28686715</v>
      </c>
      <c r="D216" s="361">
        <f>LN_IF23-LN_IF24</f>
        <v>32514039</v>
      </c>
      <c r="E216" s="361">
        <f>D216-C216</f>
        <v>3827324</v>
      </c>
      <c r="F216" s="362">
        <f>IF(C216=0,0,E216/C216)</f>
        <v>0.1334179950545052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1" ht="11.25" customHeight="1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>
      <c r="A218" s="355" t="s">
        <v>524</v>
      </c>
      <c r="B218" s="356" t="s">
        <v>829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1" ht="11.25" customHeight="1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1" ht="11.25" customHeight="1">
      <c r="A220" s="364"/>
      <c r="B220" s="358" t="s">
        <v>830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1" ht="11.25" customHeight="1">
      <c r="A221" s="338">
        <v>1</v>
      </c>
      <c r="B221" s="360" t="s">
        <v>762</v>
      </c>
      <c r="C221" s="361">
        <v>64457</v>
      </c>
      <c r="D221" s="361">
        <v>267316</v>
      </c>
      <c r="E221" s="361">
        <f aca="true" t="shared" si="24" ref="E221:E230">D221-C221</f>
        <v>202859</v>
      </c>
      <c r="F221" s="362">
        <f aca="true" t="shared" si="25" ref="F221:F230">IF(C221=0,0,E221/C221)</f>
        <v>3.1471989077989977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1" ht="11.25" customHeight="1">
      <c r="A222" s="364">
        <v>2</v>
      </c>
      <c r="B222" s="360" t="s">
        <v>763</v>
      </c>
      <c r="C222" s="361">
        <v>30312</v>
      </c>
      <c r="D222" s="361">
        <v>86070</v>
      </c>
      <c r="E222" s="361">
        <f t="shared" si="24"/>
        <v>55758</v>
      </c>
      <c r="F222" s="362">
        <f t="shared" si="25"/>
        <v>1.8394695170229611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1" ht="11.25" customHeight="1">
      <c r="A223" s="364">
        <v>3</v>
      </c>
      <c r="B223" s="365" t="s">
        <v>764</v>
      </c>
      <c r="C223" s="366">
        <f>IF(C221=0,0,C222/C221)</f>
        <v>0.47026699970522984</v>
      </c>
      <c r="D223" s="366">
        <f>IF(LN_IG1=0,0,LN_IG2/LN_IG1)</f>
        <v>0.3219784823953673</v>
      </c>
      <c r="E223" s="367">
        <f t="shared" si="24"/>
        <v>-0.14828851730986253</v>
      </c>
      <c r="F223" s="362">
        <f t="shared" si="25"/>
        <v>-0.3153283504962328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1" ht="11.25" customHeight="1">
      <c r="A224" s="364">
        <v>4</v>
      </c>
      <c r="B224" s="360" t="s">
        <v>295</v>
      </c>
      <c r="C224" s="369">
        <v>5</v>
      </c>
      <c r="D224" s="369">
        <v>10</v>
      </c>
      <c r="E224" s="369">
        <f t="shared" si="24"/>
        <v>5</v>
      </c>
      <c r="F224" s="362">
        <f t="shared" si="25"/>
        <v>1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>
      <c r="A225" s="364">
        <v>5</v>
      </c>
      <c r="B225" s="365" t="s">
        <v>765</v>
      </c>
      <c r="C225" s="372">
        <v>1.06252</v>
      </c>
      <c r="D225" s="372">
        <v>1.91412</v>
      </c>
      <c r="E225" s="373">
        <f t="shared" si="24"/>
        <v>0.8516000000000001</v>
      </c>
      <c r="F225" s="362">
        <f t="shared" si="25"/>
        <v>0.8014907954673797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>
      <c r="A226" s="364">
        <v>6</v>
      </c>
      <c r="B226" s="365" t="s">
        <v>766</v>
      </c>
      <c r="C226" s="376">
        <f>C224*C225</f>
        <v>5.3126</v>
      </c>
      <c r="D226" s="376">
        <f>LN_IG3*LN_IG4</f>
        <v>19.1412</v>
      </c>
      <c r="E226" s="376">
        <f t="shared" si="24"/>
        <v>13.828600000000002</v>
      </c>
      <c r="F226" s="362">
        <f t="shared" si="25"/>
        <v>2.602981590934759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>
      <c r="A227" s="364">
        <v>7</v>
      </c>
      <c r="B227" s="360" t="s">
        <v>767</v>
      </c>
      <c r="C227" s="378">
        <f>IF(C226=0,0,C222/C226)</f>
        <v>5705.68083424312</v>
      </c>
      <c r="D227" s="378">
        <f>IF(LN_IG5=0,0,LN_IG2/LN_IG5)</f>
        <v>4496.583286314338</v>
      </c>
      <c r="E227" s="378">
        <f t="shared" si="24"/>
        <v>-1209.0975479287827</v>
      </c>
      <c r="F227" s="362">
        <f t="shared" si="25"/>
        <v>-0.21191117818443028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>
      <c r="A228" s="364">
        <v>8</v>
      </c>
      <c r="B228" s="360" t="s">
        <v>297</v>
      </c>
      <c r="C228" s="369">
        <v>22</v>
      </c>
      <c r="D228" s="369">
        <v>57</v>
      </c>
      <c r="E228" s="369">
        <f t="shared" si="24"/>
        <v>35</v>
      </c>
      <c r="F228" s="362">
        <f t="shared" si="25"/>
        <v>1.5909090909090908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>
      <c r="A229" s="364">
        <v>9</v>
      </c>
      <c r="B229" s="360" t="s">
        <v>768</v>
      </c>
      <c r="C229" s="378">
        <f>IF(C228=0,0,C222/C228)</f>
        <v>1377.8181818181818</v>
      </c>
      <c r="D229" s="378">
        <f>IF(LN_IG6=0,0,LN_IG2/LN_IG6)</f>
        <v>1510</v>
      </c>
      <c r="E229" s="378">
        <f t="shared" si="24"/>
        <v>132.18181818181824</v>
      </c>
      <c r="F229" s="362">
        <f t="shared" si="25"/>
        <v>0.09593560306149385</v>
      </c>
      <c r="Q229" s="330"/>
      <c r="U229" s="375"/>
    </row>
    <row r="230" spans="1:21" ht="11.25" customHeight="1">
      <c r="A230" s="364">
        <v>10</v>
      </c>
      <c r="B230" s="360" t="s">
        <v>769</v>
      </c>
      <c r="C230" s="379">
        <f>IF(C224=0,0,C228/C224)</f>
        <v>4.4</v>
      </c>
      <c r="D230" s="379">
        <f>IF(LN_IG3=0,0,LN_IG6/LN_IG3)</f>
        <v>5.7</v>
      </c>
      <c r="E230" s="379">
        <f t="shared" si="24"/>
        <v>1.2999999999999998</v>
      </c>
      <c r="F230" s="362">
        <f t="shared" si="25"/>
        <v>0.2954545454545454</v>
      </c>
      <c r="Q230" s="330"/>
      <c r="U230" s="353"/>
    </row>
    <row r="231" spans="1:21" ht="11.25" customHeight="1">
      <c r="A231" s="338"/>
      <c r="C231" s="330"/>
      <c r="Q231" s="330"/>
      <c r="U231" s="434"/>
    </row>
    <row r="232" spans="1:21" ht="11.25" customHeight="1">
      <c r="A232" s="338"/>
      <c r="B232" s="358" t="s">
        <v>831</v>
      </c>
      <c r="C232" s="330"/>
      <c r="Q232" s="330"/>
      <c r="U232" s="399"/>
    </row>
    <row r="233" spans="1:21" ht="11.25" customHeight="1">
      <c r="A233" s="364">
        <v>11</v>
      </c>
      <c r="B233" s="360" t="s">
        <v>771</v>
      </c>
      <c r="C233" s="361">
        <v>271513</v>
      </c>
      <c r="D233" s="361">
        <v>279643</v>
      </c>
      <c r="E233" s="361">
        <f>D233-C233</f>
        <v>8130</v>
      </c>
      <c r="F233" s="362">
        <f>IF(C233=0,0,E233/C233)</f>
        <v>0.029943317631199978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>
      <c r="A234" s="364">
        <v>12</v>
      </c>
      <c r="B234" s="360" t="s">
        <v>772</v>
      </c>
      <c r="C234" s="361">
        <v>127684</v>
      </c>
      <c r="D234" s="361">
        <v>90039</v>
      </c>
      <c r="E234" s="361">
        <f>D234-C234</f>
        <v>-37645</v>
      </c>
      <c r="F234" s="362">
        <f>IF(C234=0,0,E234/C234)</f>
        <v>-0.2948294226371354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>
      <c r="A236" s="338"/>
      <c r="B236" s="358" t="s">
        <v>832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>
      <c r="A237" s="338">
        <v>13</v>
      </c>
      <c r="B237" s="360" t="s">
        <v>778</v>
      </c>
      <c r="C237" s="361">
        <f>C221+C233</f>
        <v>335970</v>
      </c>
      <c r="D237" s="361">
        <f>LN_IG1+LN_IG9</f>
        <v>546959</v>
      </c>
      <c r="E237" s="361">
        <f>D237-C237</f>
        <v>210989</v>
      </c>
      <c r="F237" s="362">
        <f>IF(C237=0,0,E237/C237)</f>
        <v>0.627999523767003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>
      <c r="A238" s="338">
        <v>14</v>
      </c>
      <c r="B238" s="360" t="s">
        <v>779</v>
      </c>
      <c r="C238" s="361">
        <f>C222+C234</f>
        <v>157996</v>
      </c>
      <c r="D238" s="361">
        <f>LN_IG2+LN_IG10</f>
        <v>176109</v>
      </c>
      <c r="E238" s="361">
        <f>D238-C238</f>
        <v>18113</v>
      </c>
      <c r="F238" s="362">
        <f>IF(C238=0,0,E238/C238)</f>
        <v>0.11464214283905921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>
      <c r="A239" s="338">
        <v>15</v>
      </c>
      <c r="B239" s="360" t="s">
        <v>780</v>
      </c>
      <c r="C239" s="361">
        <f>C237-C238</f>
        <v>177974</v>
      </c>
      <c r="D239" s="361">
        <f>LN_IG13-LN_IG14</f>
        <v>370850</v>
      </c>
      <c r="E239" s="361">
        <f>D239-C239</f>
        <v>192876</v>
      </c>
      <c r="F239" s="362">
        <f>IF(C239=0,0,E239/C239)</f>
        <v>1.0837313315428097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>
      <c r="A241" s="355" t="s">
        <v>528</v>
      </c>
      <c r="B241" s="356" t="s">
        <v>833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1" ht="8.25" customHeight="1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1" ht="11.25" customHeight="1">
      <c r="A243" s="338">
        <v>1</v>
      </c>
      <c r="B243" s="360" t="s">
        <v>834</v>
      </c>
      <c r="C243" s="361">
        <v>5307321</v>
      </c>
      <c r="D243" s="361">
        <v>6541587</v>
      </c>
      <c r="E243" s="353">
        <f>D243-C243</f>
        <v>1234266</v>
      </c>
      <c r="F243" s="415">
        <f>IF(C243=0,0,E243/C243)</f>
        <v>0.23255913859365204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1" ht="11.25" customHeight="1">
      <c r="A244" s="338">
        <v>2</v>
      </c>
      <c r="B244" s="360" t="s">
        <v>835</v>
      </c>
      <c r="C244" s="361">
        <v>159022197</v>
      </c>
      <c r="D244" s="361">
        <v>173269841</v>
      </c>
      <c r="E244" s="353">
        <f>D244-C244</f>
        <v>14247644</v>
      </c>
      <c r="F244" s="415">
        <f>IF(C244=0,0,E244/C244)</f>
        <v>0.08959531605515424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1" ht="11.25" customHeight="1">
      <c r="A245" s="338">
        <v>3</v>
      </c>
      <c r="B245" s="360" t="s">
        <v>836</v>
      </c>
      <c r="C245" s="400">
        <v>1132791</v>
      </c>
      <c r="D245" s="400">
        <v>1261662</v>
      </c>
      <c r="E245" s="400">
        <f>D245-C245</f>
        <v>128871</v>
      </c>
      <c r="F245" s="401">
        <f>IF(C245=0,0,E245/C245)</f>
        <v>0.11376414537191767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1" ht="11.25" customHeight="1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1" ht="11.25" customHeight="1">
      <c r="A247" s="364"/>
      <c r="B247" s="359" t="s">
        <v>837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1" ht="11.25" customHeight="1">
      <c r="A248" s="364">
        <v>4</v>
      </c>
      <c r="B248" s="436" t="s">
        <v>838</v>
      </c>
      <c r="C248" s="353">
        <v>3077163</v>
      </c>
      <c r="D248" s="353">
        <v>3370587</v>
      </c>
      <c r="E248" s="353">
        <f>D248-C248</f>
        <v>293424</v>
      </c>
      <c r="F248" s="362">
        <f>IF(C248=0,0,E248/C248)</f>
        <v>0.09535536466544021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1" ht="11.25" customHeight="1">
      <c r="A249" s="364">
        <v>5</v>
      </c>
      <c r="B249" s="436" t="s">
        <v>839</v>
      </c>
      <c r="C249" s="353">
        <v>9879112</v>
      </c>
      <c r="D249" s="353">
        <v>9717615</v>
      </c>
      <c r="E249" s="353">
        <f>D249-C249</f>
        <v>-161497</v>
      </c>
      <c r="F249" s="362">
        <f>IF(C249=0,0,E249/C249)</f>
        <v>-0.01634731947567757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1" ht="11.25" customHeight="1">
      <c r="A250" s="364">
        <v>6</v>
      </c>
      <c r="B250" s="365" t="s">
        <v>840</v>
      </c>
      <c r="C250" s="353">
        <f>C248+C249</f>
        <v>12956275</v>
      </c>
      <c r="D250" s="353">
        <f>LN_IH4+LN_IH5</f>
        <v>13088202</v>
      </c>
      <c r="E250" s="353">
        <f>D250-C250</f>
        <v>131927</v>
      </c>
      <c r="F250" s="362">
        <f>IF(C250=0,0,E250/C250)</f>
        <v>0.010182479146205218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1" ht="11.25" customHeight="1">
      <c r="A251" s="364">
        <v>7</v>
      </c>
      <c r="B251" s="365" t="s">
        <v>841</v>
      </c>
      <c r="C251" s="353">
        <f>C250*C313</f>
        <v>6328178.884451517</v>
      </c>
      <c r="D251" s="353">
        <f>LN_IH6*LN_III10</f>
        <v>6290684.915942338</v>
      </c>
      <c r="E251" s="353">
        <f>D251-C251</f>
        <v>-37493.96850917861</v>
      </c>
      <c r="F251" s="362">
        <f>IF(C251=0,0,E251/C251)</f>
        <v>-0.005924922350299257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1" ht="11.25" customHeight="1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1" ht="11.25" customHeight="1">
      <c r="A253" s="338"/>
      <c r="B253" s="397" t="s">
        <v>842</v>
      </c>
      <c r="C253" s="333"/>
      <c r="D253" s="333"/>
      <c r="E253" s="333"/>
      <c r="F253" s="333"/>
      <c r="Q253" s="330"/>
      <c r="U253" s="388"/>
    </row>
    <row r="254" spans="1:21" ht="11.25" customHeight="1">
      <c r="A254" s="338">
        <v>8</v>
      </c>
      <c r="B254" s="360" t="s">
        <v>778</v>
      </c>
      <c r="C254" s="353">
        <f>C188+C203</f>
        <v>42040740</v>
      </c>
      <c r="D254" s="353">
        <f>LN_IF23</f>
        <v>47796748</v>
      </c>
      <c r="E254" s="353">
        <f>D254-C254</f>
        <v>5756008</v>
      </c>
      <c r="F254" s="362">
        <f>IF(C254=0,0,E254/C254)</f>
        <v>0.1369150019718968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1" ht="11.25" customHeight="1">
      <c r="A255" s="338">
        <v>9</v>
      </c>
      <c r="B255" s="360" t="s">
        <v>779</v>
      </c>
      <c r="C255" s="353">
        <f>C189+C204</f>
        <v>13354025</v>
      </c>
      <c r="D255" s="353">
        <f>LN_IF24</f>
        <v>15282709</v>
      </c>
      <c r="E255" s="353">
        <f>D255-C255</f>
        <v>1928684</v>
      </c>
      <c r="F255" s="362">
        <f>IF(C255=0,0,E255/C255)</f>
        <v>0.14442716709007208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1" ht="11.25" customHeight="1">
      <c r="A256" s="338">
        <v>10</v>
      </c>
      <c r="B256" s="360" t="s">
        <v>843</v>
      </c>
      <c r="C256" s="353">
        <f>C254*C313</f>
        <v>20533781.75090574</v>
      </c>
      <c r="D256" s="353">
        <f>LN_IH8*LN_III10</f>
        <v>22972924.90402403</v>
      </c>
      <c r="E256" s="353">
        <f>D256-C256</f>
        <v>2439143.15311829</v>
      </c>
      <c r="F256" s="362">
        <f>IF(C256=0,0,E256/C256)</f>
        <v>0.11878684514656926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>
      <c r="A257" s="338">
        <v>11</v>
      </c>
      <c r="B257" s="365" t="s">
        <v>844</v>
      </c>
      <c r="C257" s="353">
        <f>C256-C255</f>
        <v>7179756.750905741</v>
      </c>
      <c r="D257" s="353">
        <f>LN_IH10-LN_IH9</f>
        <v>7690215.904024031</v>
      </c>
      <c r="E257" s="353">
        <f>D257-C257</f>
        <v>510459.15311829</v>
      </c>
      <c r="F257" s="362">
        <f>IF(C257=0,0,E257/C257)</f>
        <v>0.07109699824494674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>
      <c r="A258" s="334" t="s">
        <v>202</v>
      </c>
      <c r="B258" s="349" t="s">
        <v>845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>
      <c r="A260" s="437" t="s">
        <v>172</v>
      </c>
      <c r="B260" s="359" t="s">
        <v>846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>
      <c r="A261" s="338">
        <v>1</v>
      </c>
      <c r="B261" s="360" t="s">
        <v>847</v>
      </c>
      <c r="C261" s="361">
        <f>C15+C42+C188+C221</f>
        <v>162954853</v>
      </c>
      <c r="D261" s="361">
        <f>LN_IA1+LN_IB1+LN_IF1+LN_IG1</f>
        <v>171870736</v>
      </c>
      <c r="E261" s="361">
        <f aca="true" t="shared" si="26" ref="E261:E274">D261-C261</f>
        <v>8915883</v>
      </c>
      <c r="F261" s="415">
        <f aca="true" t="shared" si="27" ref="F261:F274">IF(C261=0,0,E261/C261)</f>
        <v>0.05471382309798408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>
      <c r="A262" s="364">
        <v>2</v>
      </c>
      <c r="B262" s="360" t="s">
        <v>848</v>
      </c>
      <c r="C262" s="361">
        <f>C16+C43+C189+C222</f>
        <v>79006137</v>
      </c>
      <c r="D262" s="361">
        <f>+LN_IA2+LN_IB2+LN_IF2+LN_IG2</f>
        <v>82054210</v>
      </c>
      <c r="E262" s="361">
        <f t="shared" si="26"/>
        <v>3048073</v>
      </c>
      <c r="F262" s="415">
        <f t="shared" si="27"/>
        <v>0.038580205484543564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>
      <c r="A263" s="364">
        <v>3</v>
      </c>
      <c r="B263" s="365" t="s">
        <v>849</v>
      </c>
      <c r="C263" s="366">
        <f>IF(C261=0,0,C262/C261)</f>
        <v>0.4848345142565346</v>
      </c>
      <c r="D263" s="366">
        <f>IF(LN_IIA1=0,0,LN_IIA2/LN_IIA1)</f>
        <v>0.4774181568641214</v>
      </c>
      <c r="E263" s="367">
        <f t="shared" si="26"/>
        <v>-0.007416357392413198</v>
      </c>
      <c r="F263" s="371">
        <f t="shared" si="27"/>
        <v>-0.015296677885619897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>
      <c r="A264" s="364">
        <v>4</v>
      </c>
      <c r="B264" s="360" t="s">
        <v>850</v>
      </c>
      <c r="C264" s="369">
        <f>C18+C45+C191+C224</f>
        <v>9722</v>
      </c>
      <c r="D264" s="369">
        <f>LN_IA4+LN_IB4+LN_IF4+LN_IG3</f>
        <v>9955</v>
      </c>
      <c r="E264" s="369">
        <f t="shared" si="26"/>
        <v>233</v>
      </c>
      <c r="F264" s="415">
        <f t="shared" si="27"/>
        <v>0.023966262085990536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>
      <c r="A265" s="364">
        <v>5</v>
      </c>
      <c r="B265" s="360" t="s">
        <v>851</v>
      </c>
      <c r="C265" s="439">
        <f>IF(C264=0,0,C266/C264)</f>
        <v>1.1660980281835014</v>
      </c>
      <c r="D265" s="439">
        <f>IF(LN_IIA4=0,0,LN_IIA6/LN_IIA4)</f>
        <v>1.1781655298844802</v>
      </c>
      <c r="E265" s="439">
        <f t="shared" si="26"/>
        <v>0.012067501700978811</v>
      </c>
      <c r="F265" s="415">
        <f t="shared" si="27"/>
        <v>0.010348616848085284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>
      <c r="A266" s="364">
        <v>6</v>
      </c>
      <c r="B266" s="360" t="s">
        <v>852</v>
      </c>
      <c r="C266" s="376">
        <f>C20+C47+C193+C226</f>
        <v>11336.80503</v>
      </c>
      <c r="D266" s="376">
        <f>LN_IA6+LN_IB6+LN_IF6+LN_IG5</f>
        <v>11728.637850000001</v>
      </c>
      <c r="E266" s="376">
        <f t="shared" si="26"/>
        <v>391.83282000000145</v>
      </c>
      <c r="F266" s="415">
        <f t="shared" si="27"/>
        <v>0.03456289659768467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>
      <c r="A267" s="364">
        <v>7</v>
      </c>
      <c r="B267" s="360" t="s">
        <v>853</v>
      </c>
      <c r="C267" s="361">
        <f>C27+C56+C203+C233</f>
        <v>165498088</v>
      </c>
      <c r="D267" s="361">
        <f>LN_IA11+LN_IB13+LN_IF14+LN_IG9</f>
        <v>175756315</v>
      </c>
      <c r="E267" s="361">
        <f t="shared" si="26"/>
        <v>10258227</v>
      </c>
      <c r="F267" s="415">
        <f t="shared" si="27"/>
        <v>0.061983960805637825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>
      <c r="A268" s="364">
        <v>8</v>
      </c>
      <c r="B268" s="365" t="s">
        <v>774</v>
      </c>
      <c r="C268" s="366">
        <f>IF(C261=0,0,C267/C261)</f>
        <v>1.0156069914652988</v>
      </c>
      <c r="D268" s="366">
        <f>IF(LN_IIA1=0,0,LN_IIA7/LN_IIA1)</f>
        <v>1.0226075659558471</v>
      </c>
      <c r="E268" s="367">
        <f t="shared" si="26"/>
        <v>0.007000574490548361</v>
      </c>
      <c r="F268" s="371">
        <f t="shared" si="27"/>
        <v>0.006892995567555185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>
      <c r="A269" s="364">
        <v>9</v>
      </c>
      <c r="B269" s="360" t="s">
        <v>854</v>
      </c>
      <c r="C269" s="361">
        <f>C28+C57+C204+C234</f>
        <v>80286058</v>
      </c>
      <c r="D269" s="361">
        <f>LN_IA12+LN_IB14+LN_IF15+LN_IG10</f>
        <v>83766837</v>
      </c>
      <c r="E269" s="361">
        <f t="shared" si="26"/>
        <v>3480779</v>
      </c>
      <c r="F269" s="415">
        <f t="shared" si="27"/>
        <v>0.043354712968969034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>
      <c r="A270" s="364">
        <v>10</v>
      </c>
      <c r="B270" s="365" t="s">
        <v>773</v>
      </c>
      <c r="C270" s="366">
        <f>IF(C267=0,0,C269/C267)</f>
        <v>0.4851177374327128</v>
      </c>
      <c r="D270" s="366">
        <f>IF(LN_IIA7=0,0,LN_IIA9/LN_IIA7)</f>
        <v>0.47660783625328057</v>
      </c>
      <c r="E270" s="367">
        <f t="shared" si="26"/>
        <v>-0.008509901179432233</v>
      </c>
      <c r="F270" s="371">
        <f t="shared" si="27"/>
        <v>-0.017541929562228345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>
      <c r="A271" s="364">
        <v>11</v>
      </c>
      <c r="B271" s="360" t="s">
        <v>855</v>
      </c>
      <c r="C271" s="353">
        <f>C261+C267</f>
        <v>328452941</v>
      </c>
      <c r="D271" s="353">
        <f>LN_IIA1+LN_IIA7</f>
        <v>347627051</v>
      </c>
      <c r="E271" s="353">
        <f t="shared" si="26"/>
        <v>19174110</v>
      </c>
      <c r="F271" s="415">
        <f t="shared" si="27"/>
        <v>0.058377038554207984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>
      <c r="A272" s="364">
        <v>12</v>
      </c>
      <c r="B272" s="360" t="s">
        <v>856</v>
      </c>
      <c r="C272" s="353">
        <f>C262+C269</f>
        <v>159292195</v>
      </c>
      <c r="D272" s="353">
        <f>LN_IIA2+LN_IIA9</f>
        <v>165821047</v>
      </c>
      <c r="E272" s="353">
        <f t="shared" si="26"/>
        <v>6528852</v>
      </c>
      <c r="F272" s="415">
        <f t="shared" si="27"/>
        <v>0.04098664093366282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>
      <c r="A273" s="364">
        <v>13</v>
      </c>
      <c r="B273" s="365" t="s">
        <v>857</v>
      </c>
      <c r="C273" s="366">
        <f>IF(C271=0,0,C272/C271)</f>
        <v>0.48497722235344515</v>
      </c>
      <c r="D273" s="366">
        <f>IF(LN_IIA11=0,0,LN_IIA12/LN_IIA11)</f>
        <v>0.47700846790545076</v>
      </c>
      <c r="E273" s="367">
        <f t="shared" si="26"/>
        <v>-0.007968754447994386</v>
      </c>
      <c r="F273" s="371">
        <f t="shared" si="27"/>
        <v>-0.016431193220424814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>
      <c r="A274" s="364">
        <v>14</v>
      </c>
      <c r="B274" s="360" t="s">
        <v>297</v>
      </c>
      <c r="C274" s="421">
        <f>C22+C51+C198+C228</f>
        <v>45363</v>
      </c>
      <c r="D274" s="421">
        <f>LN_IA8+LN_IB10+LN_IF11+LN_IG6</f>
        <v>42873</v>
      </c>
      <c r="E274" s="442">
        <f t="shared" si="26"/>
        <v>-2490</v>
      </c>
      <c r="F274" s="371">
        <f t="shared" si="27"/>
        <v>-0.05489054956682759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>
      <c r="A276" s="437" t="s">
        <v>184</v>
      </c>
      <c r="B276" s="359" t="s">
        <v>858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>
      <c r="A277" s="338">
        <v>1</v>
      </c>
      <c r="B277" s="360" t="s">
        <v>859</v>
      </c>
      <c r="C277" s="361">
        <f>C15+C188+C221</f>
        <v>118753887</v>
      </c>
      <c r="D277" s="361">
        <f>LN_IA1+LN_IF1+LN_IG1</f>
        <v>123520467</v>
      </c>
      <c r="E277" s="361">
        <f aca="true" t="shared" si="28" ref="E277:E291">D277-C277</f>
        <v>4766580</v>
      </c>
      <c r="F277" s="415">
        <f aca="true" t="shared" si="29" ref="F277:F291">IF(C277=0,0,E277/C277)</f>
        <v>0.04013830722020914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>
      <c r="A278" s="364">
        <v>2</v>
      </c>
      <c r="B278" s="360" t="s">
        <v>860</v>
      </c>
      <c r="C278" s="361">
        <f>C16+C189+C222</f>
        <v>51089637</v>
      </c>
      <c r="D278" s="361">
        <f>LN_IA2+LN_IF2+LN_IG2</f>
        <v>51520933</v>
      </c>
      <c r="E278" s="361">
        <f t="shared" si="28"/>
        <v>431296</v>
      </c>
      <c r="F278" s="415">
        <f t="shared" si="29"/>
        <v>0.008441946847263761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>
      <c r="A279" s="364">
        <v>3</v>
      </c>
      <c r="B279" s="365" t="s">
        <v>861</v>
      </c>
      <c r="C279" s="366">
        <f>IF(C277=0,0,C278/C277)</f>
        <v>0.43021444005449694</v>
      </c>
      <c r="D279" s="366">
        <f>IF(D277=0,0,LN_IIB2/D277)</f>
        <v>0.4171044220550105</v>
      </c>
      <c r="E279" s="367">
        <f t="shared" si="28"/>
        <v>-0.013110017999486412</v>
      </c>
      <c r="F279" s="371">
        <f t="shared" si="29"/>
        <v>-0.03047321702596899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>
      <c r="A280" s="364">
        <v>4</v>
      </c>
      <c r="B280" s="360" t="s">
        <v>862</v>
      </c>
      <c r="C280" s="369">
        <f>C18+C191+C224</f>
        <v>6353</v>
      </c>
      <c r="D280" s="369">
        <f>LN_IA4+LN_IF4+LN_IG3</f>
        <v>6565</v>
      </c>
      <c r="E280" s="369">
        <f t="shared" si="28"/>
        <v>212</v>
      </c>
      <c r="F280" s="415">
        <f t="shared" si="29"/>
        <v>0.03337006138832048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>
      <c r="A281" s="364">
        <v>5</v>
      </c>
      <c r="B281" s="360" t="s">
        <v>863</v>
      </c>
      <c r="C281" s="439">
        <f>IF(C280=0,0,C282/C280)</f>
        <v>1.2660321391468596</v>
      </c>
      <c r="D281" s="439">
        <f>IF(LN_IIB4=0,0,LN_IIB6/LN_IIB4)</f>
        <v>1.265853975628332</v>
      </c>
      <c r="E281" s="439">
        <f t="shared" si="28"/>
        <v>-0.0001781635185276187</v>
      </c>
      <c r="F281" s="415">
        <f t="shared" si="29"/>
        <v>-0.00014072590498980352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>
      <c r="A282" s="364">
        <v>6</v>
      </c>
      <c r="B282" s="360" t="s">
        <v>864</v>
      </c>
      <c r="C282" s="376">
        <f>C20+C193+C226</f>
        <v>8043.10218</v>
      </c>
      <c r="D282" s="376">
        <f>LN_IA6+LN_IF6+LN_IG5</f>
        <v>8310.33135</v>
      </c>
      <c r="E282" s="376">
        <f t="shared" si="28"/>
        <v>267.2291700000005</v>
      </c>
      <c r="F282" s="415">
        <f t="shared" si="29"/>
        <v>0.033224639451242245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>
      <c r="A283" s="364">
        <v>7</v>
      </c>
      <c r="B283" s="360" t="s">
        <v>865</v>
      </c>
      <c r="C283" s="361">
        <f>C27+C203+C233</f>
        <v>77155392</v>
      </c>
      <c r="D283" s="361">
        <f>LN_IA11+LN_IF14+LN_IG9</f>
        <v>84714806</v>
      </c>
      <c r="E283" s="361">
        <f t="shared" si="28"/>
        <v>7559414</v>
      </c>
      <c r="F283" s="415">
        <f t="shared" si="29"/>
        <v>0.09797648361374407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>
      <c r="A284" s="364">
        <v>8</v>
      </c>
      <c r="B284" s="360" t="s">
        <v>866</v>
      </c>
      <c r="C284" s="366">
        <f>IF(C277=0,0,C283/C277)</f>
        <v>0.6497083501780451</v>
      </c>
      <c r="D284" s="366">
        <f>IF(D277=0,0,LN_IIB7/D277)</f>
        <v>0.6858361861601446</v>
      </c>
      <c r="E284" s="367">
        <f t="shared" si="28"/>
        <v>0.036127835982099565</v>
      </c>
      <c r="F284" s="371">
        <f t="shared" si="29"/>
        <v>0.05560623620151896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>
      <c r="A285" s="364">
        <v>9</v>
      </c>
      <c r="B285" s="360" t="s">
        <v>867</v>
      </c>
      <c r="C285" s="361">
        <f>C28+C204+C234</f>
        <v>24430068</v>
      </c>
      <c r="D285" s="361">
        <f>LN_IA12+LN_IF15+LN_IG10</f>
        <v>26331500</v>
      </c>
      <c r="E285" s="361">
        <f t="shared" si="28"/>
        <v>1901432</v>
      </c>
      <c r="F285" s="415">
        <f t="shared" si="29"/>
        <v>0.07783162944941455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>
      <c r="A286" s="364">
        <v>10</v>
      </c>
      <c r="B286" s="360" t="s">
        <v>868</v>
      </c>
      <c r="C286" s="366">
        <f>IF(C283=0,0,C285/C283)</f>
        <v>0.3166346170595569</v>
      </c>
      <c r="D286" s="366">
        <f>IF(LN_IIB7=0,0,LN_IIB9/LN_IIB7)</f>
        <v>0.31082524110366255</v>
      </c>
      <c r="E286" s="367">
        <f t="shared" si="28"/>
        <v>-0.005809375955894369</v>
      </c>
      <c r="F286" s="371">
        <f t="shared" si="29"/>
        <v>-0.01834725466799375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>
      <c r="A287" s="364">
        <v>11</v>
      </c>
      <c r="B287" s="365" t="s">
        <v>869</v>
      </c>
      <c r="C287" s="353">
        <f>C277+C283</f>
        <v>195909279</v>
      </c>
      <c r="D287" s="353">
        <f>D277+LN_IIB7</f>
        <v>208235273</v>
      </c>
      <c r="E287" s="353">
        <f t="shared" si="28"/>
        <v>12325994</v>
      </c>
      <c r="F287" s="415">
        <f t="shared" si="29"/>
        <v>0.06291684632252666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>
      <c r="A288" s="364">
        <v>12</v>
      </c>
      <c r="B288" s="365" t="s">
        <v>870</v>
      </c>
      <c r="C288" s="353">
        <f>C278+C285</f>
        <v>75519705</v>
      </c>
      <c r="D288" s="353">
        <f>LN_IIB2+LN_IIB9</f>
        <v>77852433</v>
      </c>
      <c r="E288" s="353">
        <f t="shared" si="28"/>
        <v>2332728</v>
      </c>
      <c r="F288" s="415">
        <f t="shared" si="29"/>
        <v>0.03088899777879164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>
      <c r="A289" s="364">
        <v>13</v>
      </c>
      <c r="B289" s="365" t="s">
        <v>871</v>
      </c>
      <c r="C289" s="366">
        <f>IF(C287=0,0,C288/C287)</f>
        <v>0.38548304289354257</v>
      </c>
      <c r="D289" s="366">
        <f>IF(LN_IIB11=0,0,LN_IIB12/LN_IIB11)</f>
        <v>0.373867654016522</v>
      </c>
      <c r="E289" s="367">
        <f t="shared" si="28"/>
        <v>-0.011615388877020572</v>
      </c>
      <c r="F289" s="371">
        <f t="shared" si="29"/>
        <v>-0.03013203587330909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>
      <c r="A290" s="338">
        <v>14</v>
      </c>
      <c r="B290" s="360" t="s">
        <v>297</v>
      </c>
      <c r="C290" s="421">
        <f>C22+C198+C228</f>
        <v>32978</v>
      </c>
      <c r="D290" s="421">
        <f>LN_IA8+LN_IF11+LN_IG6</f>
        <v>31106</v>
      </c>
      <c r="E290" s="442">
        <f t="shared" si="28"/>
        <v>-1872</v>
      </c>
      <c r="F290" s="371">
        <f t="shared" si="29"/>
        <v>-0.05676511613803142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>
      <c r="A291" s="338">
        <v>15</v>
      </c>
      <c r="B291" s="357" t="s">
        <v>872</v>
      </c>
      <c r="C291" s="361">
        <f>C287-C288</f>
        <v>120389574</v>
      </c>
      <c r="D291" s="429">
        <f>LN_IIB11-LN_IIB12</f>
        <v>130382840</v>
      </c>
      <c r="E291" s="353">
        <f t="shared" si="28"/>
        <v>9993266</v>
      </c>
      <c r="F291" s="415">
        <f t="shared" si="29"/>
        <v>0.08300773620147539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>
      <c r="A293" s="437" t="s">
        <v>194</v>
      </c>
      <c r="B293" s="358" t="s">
        <v>769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>
      <c r="A294" s="338">
        <v>1</v>
      </c>
      <c r="B294" s="365" t="s">
        <v>760</v>
      </c>
      <c r="C294" s="379">
        <f>IF(C18=0,0,C22/C18)</f>
        <v>5.634989200863931</v>
      </c>
      <c r="D294" s="379">
        <f>IF(LN_IA4=0,0,LN_IA8/LN_IA4)</f>
        <v>5.194774851316907</v>
      </c>
      <c r="E294" s="379">
        <f aca="true" t="shared" si="30" ref="E294:E300">D294-C294</f>
        <v>-0.44021434954702343</v>
      </c>
      <c r="F294" s="415">
        <f aca="true" t="shared" si="31" ref="F294:F300">IF(C294=0,0,E294/C294)</f>
        <v>-0.07812159595257641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>
      <c r="A295" s="364">
        <v>2</v>
      </c>
      <c r="B295" s="365" t="s">
        <v>781</v>
      </c>
      <c r="C295" s="379">
        <f>IF(C45=0,0,C51/C45)</f>
        <v>3.6761650341347583</v>
      </c>
      <c r="D295" s="379">
        <f>IF(LN_IB4=0,0,(LN_IB10)/(LN_IB4))</f>
        <v>3.4710914454277284</v>
      </c>
      <c r="E295" s="379">
        <f t="shared" si="30"/>
        <v>-0.20507358870702985</v>
      </c>
      <c r="F295" s="415">
        <f t="shared" si="31"/>
        <v>-0.055784652430680946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>
      <c r="A296" s="364">
        <v>3</v>
      </c>
      <c r="B296" s="365" t="s">
        <v>796</v>
      </c>
      <c r="C296" s="379">
        <f>IF(C86=0,0,C93/C86)</f>
        <v>4.602693602693603</v>
      </c>
      <c r="D296" s="379">
        <f>IF(LN_IC4=0,0,LN_IC11/LN_IC4)</f>
        <v>3.566225165562914</v>
      </c>
      <c r="E296" s="379">
        <f t="shared" si="30"/>
        <v>-1.0364684371306891</v>
      </c>
      <c r="F296" s="415">
        <f t="shared" si="31"/>
        <v>-0.22518736344390244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>
      <c r="A297" s="364">
        <v>4</v>
      </c>
      <c r="B297" s="365" t="s">
        <v>272</v>
      </c>
      <c r="C297" s="379">
        <f>IF(C121=0,0,C128/C121)</f>
        <v>3.7348284960422165</v>
      </c>
      <c r="D297" s="379">
        <f>IF(LN_ID4=0,0,LN_ID11/LN_ID4)</f>
        <v>3.3463035019455254</v>
      </c>
      <c r="E297" s="379">
        <f t="shared" si="30"/>
        <v>-0.38852499409669106</v>
      </c>
      <c r="F297" s="415">
        <f t="shared" si="31"/>
        <v>-0.10402753285951671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>
      <c r="A298" s="364">
        <v>5</v>
      </c>
      <c r="B298" s="365" t="s">
        <v>873</v>
      </c>
      <c r="C298" s="379">
        <f>IF(C156=0,0,C163/C156)</f>
        <v>5.96039603960396</v>
      </c>
      <c r="D298" s="379">
        <f>IF(LN_IE4=0,0,LN_IE11/LN_IE4)</f>
        <v>4.695081967213115</v>
      </c>
      <c r="E298" s="379">
        <f t="shared" si="30"/>
        <v>-1.2653140723908454</v>
      </c>
      <c r="F298" s="415">
        <f t="shared" si="31"/>
        <v>-0.21228691247753387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>
      <c r="A299" s="364">
        <v>6</v>
      </c>
      <c r="B299" s="360" t="s">
        <v>576</v>
      </c>
      <c r="C299" s="379">
        <f>IF(C224=0,0,C228/C224)</f>
        <v>4.4</v>
      </c>
      <c r="D299" s="379">
        <f>IF(LN_IG3=0,0,LN_IG6/LN_IG3)</f>
        <v>5.7</v>
      </c>
      <c r="E299" s="379">
        <f t="shared" si="30"/>
        <v>1.2999999999999998</v>
      </c>
      <c r="F299" s="415">
        <f t="shared" si="31"/>
        <v>0.2954545454545454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>
      <c r="A300" s="364">
        <v>7</v>
      </c>
      <c r="B300" s="365" t="s">
        <v>874</v>
      </c>
      <c r="C300" s="379">
        <f>IF(C264=0,0,C274/C264)</f>
        <v>4.666015223205102</v>
      </c>
      <c r="D300" s="379">
        <f>IF(LN_IIA4=0,0,LN_IIA14/LN_IIA4)</f>
        <v>4.30668006027122</v>
      </c>
      <c r="E300" s="379">
        <f t="shared" si="30"/>
        <v>-0.3593351629338821</v>
      </c>
      <c r="F300" s="415">
        <f t="shared" si="31"/>
        <v>-0.07701114242980406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>
      <c r="A302" s="444" t="s">
        <v>293</v>
      </c>
      <c r="B302" s="446" t="s">
        <v>875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>
      <c r="A304" s="338">
        <v>1</v>
      </c>
      <c r="B304" s="365" t="s">
        <v>869</v>
      </c>
      <c r="C304" s="353">
        <f>C35+C66+C214+C221+C233</f>
        <v>328452941</v>
      </c>
      <c r="D304" s="353">
        <f>LN_IIA11</f>
        <v>347627051</v>
      </c>
      <c r="E304" s="353">
        <f aca="true" t="shared" si="32" ref="E304:E316">D304-C304</f>
        <v>19174110</v>
      </c>
      <c r="F304" s="362">
        <f>IF(C304=0,0,E304/C304)</f>
        <v>0.058377038554207984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>
      <c r="A305" s="364">
        <v>2</v>
      </c>
      <c r="B305" s="357" t="s">
        <v>872</v>
      </c>
      <c r="C305" s="353">
        <f>C291</f>
        <v>120389574</v>
      </c>
      <c r="D305" s="353">
        <f>LN_IIB14</f>
        <v>130382840</v>
      </c>
      <c r="E305" s="353">
        <f t="shared" si="32"/>
        <v>9993266</v>
      </c>
      <c r="F305" s="362">
        <f>IF(C305=0,0,E305/C305)</f>
        <v>0.08300773620147539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>
      <c r="A306" s="364">
        <v>3</v>
      </c>
      <c r="B306" s="360" t="s">
        <v>876</v>
      </c>
      <c r="C306" s="353">
        <f>C250</f>
        <v>12956275</v>
      </c>
      <c r="D306" s="353">
        <f>LN_IH6</f>
        <v>13088202</v>
      </c>
      <c r="E306" s="353">
        <f t="shared" si="32"/>
        <v>131927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>
      <c r="A307" s="364">
        <v>4</v>
      </c>
      <c r="B307" s="360" t="s">
        <v>877</v>
      </c>
      <c r="C307" s="353">
        <f>C73-C74</f>
        <v>33737949</v>
      </c>
      <c r="D307" s="353">
        <f>LN_IB32-LN_IB33</f>
        <v>35779715</v>
      </c>
      <c r="E307" s="353">
        <f t="shared" si="32"/>
        <v>2041766</v>
      </c>
      <c r="F307" s="362">
        <f aca="true" t="shared" si="33" ref="F307:F316">IF(C307=0,0,E307/C307)</f>
        <v>0.06051837946639851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>
      <c r="A308" s="364">
        <v>5</v>
      </c>
      <c r="B308" s="360" t="s">
        <v>878</v>
      </c>
      <c r="C308" s="353">
        <v>2077046</v>
      </c>
      <c r="D308" s="353">
        <v>2555247</v>
      </c>
      <c r="E308" s="353">
        <f t="shared" si="32"/>
        <v>478201</v>
      </c>
      <c r="F308" s="362">
        <f t="shared" si="33"/>
        <v>0.23023129964382108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>
      <c r="A309" s="364">
        <v>6</v>
      </c>
      <c r="B309" s="357" t="s">
        <v>879</v>
      </c>
      <c r="C309" s="353">
        <f>C305+C307+C308+C306</f>
        <v>169160844</v>
      </c>
      <c r="D309" s="353">
        <f>LN_III2+LN_III3+LN_III4+LN_III5</f>
        <v>181806004</v>
      </c>
      <c r="E309" s="353">
        <f t="shared" si="32"/>
        <v>12645160</v>
      </c>
      <c r="F309" s="362">
        <f t="shared" si="33"/>
        <v>0.07475228723734673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>
      <c r="A310" s="364">
        <v>7</v>
      </c>
      <c r="B310" s="357" t="s">
        <v>880</v>
      </c>
      <c r="C310" s="353">
        <f>C304-C309</f>
        <v>159292097</v>
      </c>
      <c r="D310" s="353">
        <f>LN_III1-LN_III6</f>
        <v>165821047</v>
      </c>
      <c r="E310" s="353">
        <f t="shared" si="32"/>
        <v>6528950</v>
      </c>
      <c r="F310" s="362">
        <f t="shared" si="33"/>
        <v>0.04098728137152969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>
      <c r="A311" s="364">
        <v>8</v>
      </c>
      <c r="B311" s="360" t="s">
        <v>881</v>
      </c>
      <c r="C311" s="353">
        <f>C245</f>
        <v>1132791</v>
      </c>
      <c r="D311" s="353">
        <f>LN_IH3</f>
        <v>1261662</v>
      </c>
      <c r="E311" s="353">
        <f t="shared" si="32"/>
        <v>128871</v>
      </c>
      <c r="F311" s="362">
        <f t="shared" si="33"/>
        <v>0.11376414537191767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>
      <c r="A312" s="364">
        <v>9</v>
      </c>
      <c r="B312" s="365" t="s">
        <v>882</v>
      </c>
      <c r="C312" s="353">
        <f>C310+C311</f>
        <v>160424888</v>
      </c>
      <c r="D312" s="353">
        <f>LN_III7+LN_III8</f>
        <v>167082709</v>
      </c>
      <c r="E312" s="353">
        <f t="shared" si="32"/>
        <v>6657821</v>
      </c>
      <c r="F312" s="362">
        <f t="shared" si="33"/>
        <v>0.04150117281054296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>
      <c r="A313" s="364">
        <v>10</v>
      </c>
      <c r="B313" s="360" t="s">
        <v>883</v>
      </c>
      <c r="C313" s="448">
        <f>IF(C304=0,0,C312/C304)</f>
        <v>0.48842579247905105</v>
      </c>
      <c r="D313" s="448">
        <f>IF(LN_III1=0,0,LN_III9/LN_III1)</f>
        <v>0.48063782297540475</v>
      </c>
      <c r="E313" s="448">
        <f t="shared" si="32"/>
        <v>-0.007787969503646297</v>
      </c>
      <c r="F313" s="362">
        <f t="shared" si="33"/>
        <v>-0.015945041444510383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>
      <c r="A314" s="338">
        <v>11</v>
      </c>
      <c r="B314" s="360" t="s">
        <v>841</v>
      </c>
      <c r="C314" s="353">
        <f>C306*C313</f>
        <v>6328178.884451517</v>
      </c>
      <c r="D314" s="353">
        <f>D313*LN_III5</f>
        <v>6290684.915942338</v>
      </c>
      <c r="E314" s="353">
        <f t="shared" si="32"/>
        <v>-37493.96850917861</v>
      </c>
      <c r="F314" s="362">
        <f t="shared" si="33"/>
        <v>-0.005924922350299257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>
      <c r="A315" s="338">
        <v>12</v>
      </c>
      <c r="B315" s="365" t="s">
        <v>844</v>
      </c>
      <c r="C315" s="353">
        <f>(C214*C313)-C215</f>
        <v>7179756.750905741</v>
      </c>
      <c r="D315" s="353">
        <f>D313*LN_IH8-LN_IH9</f>
        <v>7690215.904024031</v>
      </c>
      <c r="E315" s="353">
        <f t="shared" si="32"/>
        <v>510459.15311829</v>
      </c>
      <c r="F315" s="362">
        <f t="shared" si="33"/>
        <v>0.07109699824494674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6" s="451" customFormat="1" ht="12.75" customHeight="1">
      <c r="A316" s="338">
        <v>13</v>
      </c>
      <c r="B316" s="360" t="s">
        <v>884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>
      <c r="A317" s="338">
        <v>14</v>
      </c>
      <c r="B317" s="360" t="s">
        <v>885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>
      <c r="A318" s="338"/>
      <c r="B318" s="360" t="s">
        <v>886</v>
      </c>
      <c r="C318" s="353">
        <f>C314+C315+C316</f>
        <v>13507935.635357257</v>
      </c>
      <c r="D318" s="353">
        <f>D314+D315+D316</f>
        <v>13980900.819966368</v>
      </c>
      <c r="E318" s="353">
        <f>D318-C318</f>
        <v>472965.1846091114</v>
      </c>
      <c r="F318" s="362">
        <f>IF(C318=0,0,E318/C318)</f>
        <v>0.03501387609303651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>
      <c r="A320" s="444" t="s">
        <v>302</v>
      </c>
      <c r="B320" s="445" t="s">
        <v>887</v>
      </c>
      <c r="C320" s="453"/>
      <c r="D320" s="333"/>
      <c r="E320" s="333"/>
      <c r="F320" s="333"/>
      <c r="Q320" s="330"/>
      <c r="U320" s="350"/>
    </row>
    <row r="321" spans="1:21" ht="15" customHeight="1">
      <c r="A321" s="444"/>
      <c r="B321" s="445"/>
      <c r="C321" s="333"/>
      <c r="D321" s="333"/>
      <c r="E321" s="333"/>
      <c r="F321" s="333"/>
      <c r="Q321" s="330"/>
      <c r="U321" s="350"/>
    </row>
    <row r="322" spans="1:21" ht="11.25" customHeight="1">
      <c r="A322" s="364">
        <v>1</v>
      </c>
      <c r="B322" s="357" t="s">
        <v>272</v>
      </c>
      <c r="C322" s="353">
        <f>C141</f>
        <v>6987541.0429988345</v>
      </c>
      <c r="D322" s="353">
        <f>LN_ID22</f>
        <v>7954499.74961202</v>
      </c>
      <c r="E322" s="353">
        <f>LN_IV2-C322</f>
        <v>966958.7066131858</v>
      </c>
      <c r="F322" s="362">
        <f>IF(C322=0,0,E322/C322)</f>
        <v>0.13838325967072923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1" ht="11.25" customHeight="1">
      <c r="A323" s="364">
        <v>2</v>
      </c>
      <c r="B323" s="357" t="s">
        <v>873</v>
      </c>
      <c r="C323" s="353">
        <f>C162+C176</f>
        <v>1943704.1650216873</v>
      </c>
      <c r="D323" s="353">
        <f>LN_IE10+LN_IE22</f>
        <v>3157684.464991851</v>
      </c>
      <c r="E323" s="353">
        <f>LN_IV3-C323</f>
        <v>1213980.2999701635</v>
      </c>
      <c r="F323" s="362">
        <f>IF(C323=0,0,E323/C323)</f>
        <v>0.6245705091425877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1" ht="11.25" customHeight="1">
      <c r="A324" s="338">
        <v>3</v>
      </c>
      <c r="B324" s="454" t="s">
        <v>888</v>
      </c>
      <c r="C324" s="353">
        <f>C92+C106</f>
        <v>4391043.328930574</v>
      </c>
      <c r="D324" s="353">
        <f>LN_IC10+LN_IC22</f>
        <v>4964875.04075276</v>
      </c>
      <c r="E324" s="353">
        <f>LN_IV1-C324</f>
        <v>573831.7118221866</v>
      </c>
      <c r="F324" s="362">
        <f>IF(C324=0,0,E324/C324)</f>
        <v>0.1306823159866067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1" ht="11.25" customHeight="1">
      <c r="A325" s="364">
        <v>4</v>
      </c>
      <c r="B325" s="455" t="s">
        <v>889</v>
      </c>
      <c r="C325" s="429">
        <f>C324+C322+C323</f>
        <v>13322288.536951095</v>
      </c>
      <c r="D325" s="429">
        <f>LN_IV1+LN_IV2+LN_IV3</f>
        <v>16077059.25535663</v>
      </c>
      <c r="E325" s="353">
        <f>LN_IV4-C325</f>
        <v>2754770.7184055354</v>
      </c>
      <c r="F325" s="362">
        <f>IF(C325=0,0,E325/C325)</f>
        <v>0.20677909135242203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2:22" ht="11.25" customHeight="1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6" s="453" customFormat="1" ht="15" customHeight="1">
      <c r="A327" s="444" t="s">
        <v>890</v>
      </c>
      <c r="B327" s="446" t="s">
        <v>891</v>
      </c>
      <c r="C327" s="333"/>
      <c r="D327" s="333"/>
      <c r="E327" s="333"/>
      <c r="F327" s="459"/>
    </row>
    <row r="328" spans="1:6" s="453" customFormat="1" ht="14.25" customHeight="1">
      <c r="A328" s="460"/>
      <c r="B328" s="358"/>
      <c r="C328" s="333"/>
      <c r="D328" s="333"/>
      <c r="E328" s="333"/>
      <c r="F328" s="339"/>
    </row>
    <row r="329" spans="1:6" s="333" customFormat="1" ht="11.25" customHeight="1">
      <c r="A329" s="364">
        <v>1</v>
      </c>
      <c r="B329" s="360" t="s">
        <v>892</v>
      </c>
      <c r="C329" s="431">
        <v>3864659</v>
      </c>
      <c r="D329" s="431">
        <v>4660665</v>
      </c>
      <c r="E329" s="431">
        <f aca="true" t="shared" si="34" ref="E329:E335">D329-C329</f>
        <v>796006</v>
      </c>
      <c r="F329" s="462">
        <f aca="true" t="shared" si="35" ref="F329:F335">IF(C329=0,0,E329/C329)</f>
        <v>0.2059705655790071</v>
      </c>
    </row>
    <row r="330" spans="1:6" s="333" customFormat="1" ht="11.25" customHeight="1">
      <c r="A330" s="364">
        <v>2</v>
      </c>
      <c r="B330" s="360" t="s">
        <v>893</v>
      </c>
      <c r="C330" s="429">
        <v>6041618</v>
      </c>
      <c r="D330" s="429">
        <v>5387626</v>
      </c>
      <c r="E330" s="431">
        <f t="shared" si="34"/>
        <v>-653992</v>
      </c>
      <c r="F330" s="463">
        <f t="shared" si="35"/>
        <v>-0.10824782367902108</v>
      </c>
    </row>
    <row r="331" spans="1:6" s="333" customFormat="1" ht="11.25" customHeight="1">
      <c r="A331" s="339">
        <v>3</v>
      </c>
      <c r="B331" s="360" t="s">
        <v>894</v>
      </c>
      <c r="C331" s="429">
        <v>166466604</v>
      </c>
      <c r="D331" s="429">
        <v>172470335</v>
      </c>
      <c r="E331" s="431">
        <f t="shared" si="34"/>
        <v>6003731</v>
      </c>
      <c r="F331" s="462">
        <f t="shared" si="35"/>
        <v>0.03606567837474476</v>
      </c>
    </row>
    <row r="332" spans="1:6" s="333" customFormat="1" ht="11.25" customHeight="1">
      <c r="A332" s="364">
        <v>4</v>
      </c>
      <c r="B332" s="360" t="s">
        <v>895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6" s="333" customFormat="1" ht="11.25" customHeight="1">
      <c r="A333" s="364">
        <v>5</v>
      </c>
      <c r="B333" s="360" t="s">
        <v>896</v>
      </c>
      <c r="C333" s="429">
        <v>328452941</v>
      </c>
      <c r="D333" s="429">
        <v>347627051</v>
      </c>
      <c r="E333" s="431">
        <f t="shared" si="34"/>
        <v>19174110</v>
      </c>
      <c r="F333" s="462">
        <f t="shared" si="35"/>
        <v>0.058377038554207984</v>
      </c>
    </row>
    <row r="334" spans="1:6" s="333" customFormat="1" ht="11.25" customHeight="1">
      <c r="A334" s="339">
        <v>6</v>
      </c>
      <c r="B334" s="360" t="s">
        <v>897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6" s="333" customFormat="1" ht="11.25" customHeight="1">
      <c r="A335" s="364">
        <v>7</v>
      </c>
      <c r="B335" s="360" t="s">
        <v>898</v>
      </c>
      <c r="C335" s="429">
        <v>12956275</v>
      </c>
      <c r="D335" s="429">
        <v>13088202</v>
      </c>
      <c r="E335" s="429">
        <f t="shared" si="34"/>
        <v>131927</v>
      </c>
      <c r="F335" s="462">
        <f t="shared" si="35"/>
        <v>0.010182479146205218</v>
      </c>
    </row>
    <row r="336" spans="1:6" s="453" customFormat="1" ht="14.25" customHeight="1">
      <c r="A336" s="464"/>
      <c r="B336" s="458"/>
      <c r="C336" s="465"/>
      <c r="F336" s="459"/>
    </row>
    <row r="337" spans="1:17" ht="12.75" customHeight="1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2:17" ht="11.25" customHeight="1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2:17" ht="11.25" customHeight="1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2:17" ht="11.25" customHeight="1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2:17" ht="11.25" customHeight="1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2:17" ht="11.25" customHeight="1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2:17" ht="11.25" customHeight="1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2:17" ht="11.25" customHeight="1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2:17" ht="11.25" customHeight="1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2:17" ht="11.25" customHeight="1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2:17" ht="11.25" customHeight="1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2:17" ht="11.25" customHeight="1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2:17" ht="11.25" customHeight="1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2:17" ht="11.25" customHeight="1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2:17" ht="11.25" customHeight="1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2:17" ht="11.25" customHeight="1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6" ht="11.25" customHeight="1">
      <c r="B386" s="360"/>
      <c r="C386" s="454"/>
      <c r="D386" s="361"/>
      <c r="E386" s="361"/>
      <c r="F386" s="361"/>
    </row>
    <row r="387" spans="2:6" ht="11.25" customHeight="1">
      <c r="B387" s="360"/>
      <c r="C387" s="457"/>
      <c r="D387" s="371"/>
      <c r="E387" s="371"/>
      <c r="F387" s="371"/>
    </row>
    <row r="388" spans="2:6" ht="11.25" customHeight="1">
      <c r="B388" s="360"/>
      <c r="C388" s="474"/>
      <c r="D388" s="369"/>
      <c r="E388" s="369"/>
      <c r="F388" s="369"/>
    </row>
    <row r="389" spans="2:6" ht="11.25" customHeight="1">
      <c r="B389" s="360"/>
      <c r="C389" s="471"/>
      <c r="D389" s="472"/>
      <c r="E389" s="472"/>
      <c r="F389" s="472"/>
    </row>
    <row r="390" spans="2:17" ht="11.25" customHeight="1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6" ht="11.25" customHeight="1">
      <c r="B394" s="360"/>
      <c r="C394" s="474"/>
      <c r="D394" s="369"/>
      <c r="E394" s="369"/>
      <c r="F394" s="369"/>
    </row>
    <row r="395" spans="2:17" ht="11.25" customHeight="1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>
      <c r="B396" s="360"/>
      <c r="C396" s="485"/>
      <c r="D396" s="486"/>
      <c r="E396" s="486"/>
      <c r="F396" s="369"/>
      <c r="Q396" s="400"/>
    </row>
    <row r="397" spans="2:6" ht="11.25" customHeight="1">
      <c r="B397" s="360"/>
      <c r="C397" s="454"/>
      <c r="D397" s="361"/>
      <c r="E397" s="361"/>
      <c r="F397" s="361"/>
    </row>
    <row r="398" spans="2:6" ht="11.25" customHeight="1">
      <c r="B398" s="418"/>
      <c r="C398" s="478"/>
      <c r="D398" s="361"/>
      <c r="E398" s="361"/>
      <c r="F398" s="361"/>
    </row>
    <row r="399" spans="2:6" ht="11.25" customHeight="1">
      <c r="B399" s="360"/>
      <c r="C399" s="454"/>
      <c r="D399" s="361"/>
      <c r="E399" s="361"/>
      <c r="F399" s="361"/>
    </row>
    <row r="400" spans="2:6" ht="11.25" customHeight="1">
      <c r="B400" s="360"/>
      <c r="C400" s="454"/>
      <c r="D400" s="361"/>
      <c r="E400" s="361"/>
      <c r="F400" s="361"/>
    </row>
    <row r="401" spans="2:6" ht="11.25" customHeight="1">
      <c r="B401" s="360"/>
      <c r="C401" s="487"/>
      <c r="D401" s="395"/>
      <c r="E401" s="395"/>
      <c r="F401" s="395"/>
    </row>
    <row r="402" spans="2:6" ht="11.25" customHeight="1">
      <c r="B402" s="360"/>
      <c r="C402" s="457"/>
      <c r="D402" s="415"/>
      <c r="E402" s="415"/>
      <c r="F402" s="415"/>
    </row>
    <row r="403" spans="2:6" ht="11.25" customHeight="1">
      <c r="B403" s="360"/>
      <c r="C403" s="485"/>
      <c r="D403" s="486"/>
      <c r="E403" s="486"/>
      <c r="F403" s="486"/>
    </row>
    <row r="404" spans="2:6" ht="11.25" customHeight="1">
      <c r="B404" s="360"/>
      <c r="C404" s="454"/>
      <c r="D404" s="361"/>
      <c r="E404" s="361"/>
      <c r="F404" s="361"/>
    </row>
    <row r="405" spans="2:6" ht="11.25" customHeight="1">
      <c r="B405" s="360"/>
      <c r="C405" s="454"/>
      <c r="D405" s="361"/>
      <c r="E405" s="361"/>
      <c r="F405" s="361"/>
    </row>
    <row r="406" spans="2:6" ht="11.25" customHeight="1">
      <c r="B406" s="360"/>
      <c r="C406" s="454"/>
      <c r="D406" s="361"/>
      <c r="E406" s="361"/>
      <c r="F406" s="361"/>
    </row>
    <row r="407" spans="2:6" ht="11.25" customHeight="1">
      <c r="B407" s="360"/>
      <c r="C407" s="454"/>
      <c r="D407" s="361"/>
      <c r="E407" s="361"/>
      <c r="F407" s="361"/>
    </row>
    <row r="408" spans="2:6" ht="11.25" customHeight="1">
      <c r="B408" s="418"/>
      <c r="C408" s="454"/>
      <c r="D408" s="361"/>
      <c r="E408" s="361"/>
      <c r="F408" s="361"/>
    </row>
    <row r="409" spans="2:6" ht="11.25" customHeight="1">
      <c r="B409" s="360"/>
      <c r="C409" s="454"/>
      <c r="D409" s="361"/>
      <c r="E409" s="361"/>
      <c r="F409" s="361"/>
    </row>
    <row r="410" spans="2:6" ht="11.25" customHeight="1">
      <c r="B410" s="360"/>
      <c r="C410" s="454"/>
      <c r="D410" s="361"/>
      <c r="E410" s="361"/>
      <c r="F410" s="361"/>
    </row>
    <row r="411" spans="2:6" ht="11.25" customHeight="1">
      <c r="B411" s="360"/>
      <c r="C411" s="454"/>
      <c r="D411" s="361"/>
      <c r="E411" s="361"/>
      <c r="F411" s="361"/>
    </row>
    <row r="412" spans="2:6" ht="11.25" customHeight="1">
      <c r="B412" s="360"/>
      <c r="C412" s="454"/>
      <c r="D412" s="361"/>
      <c r="E412" s="361"/>
      <c r="F412" s="361"/>
    </row>
    <row r="413" spans="2:6" ht="11.25" customHeight="1">
      <c r="B413" s="418"/>
      <c r="C413" s="357"/>
      <c r="D413" s="333"/>
      <c r="E413" s="333"/>
      <c r="F413" s="333"/>
    </row>
    <row r="414" spans="2:6" ht="11.25" customHeight="1">
      <c r="B414" s="360"/>
      <c r="C414" s="482"/>
      <c r="D414" s="386"/>
      <c r="E414" s="386"/>
      <c r="F414" s="386"/>
    </row>
    <row r="415" spans="2:6" ht="11.25" customHeight="1">
      <c r="B415" s="360"/>
      <c r="C415" s="482"/>
      <c r="D415" s="386"/>
      <c r="E415" s="386"/>
      <c r="F415" s="386"/>
    </row>
    <row r="416" spans="2:6" ht="11.25" customHeight="1">
      <c r="B416" s="360"/>
      <c r="C416" s="482"/>
      <c r="D416" s="386"/>
      <c r="E416" s="386"/>
      <c r="F416" s="386"/>
    </row>
    <row r="417" spans="2:6" ht="11.25" customHeight="1">
      <c r="B417" s="360"/>
      <c r="C417" s="482"/>
      <c r="D417" s="386"/>
      <c r="E417" s="386"/>
      <c r="F417" s="386"/>
    </row>
    <row r="418" spans="2:6" ht="11.25" customHeight="1">
      <c r="B418" s="360"/>
      <c r="C418" s="482"/>
      <c r="D418" s="386"/>
      <c r="E418" s="386"/>
      <c r="F418" s="386"/>
    </row>
    <row r="419" spans="2:6" ht="11.25" customHeight="1">
      <c r="B419" s="360"/>
      <c r="C419" s="482"/>
      <c r="D419" s="386"/>
      <c r="E419" s="386"/>
      <c r="F419" s="386"/>
    </row>
    <row r="420" spans="2:6" ht="11.25" customHeight="1">
      <c r="B420" s="360"/>
      <c r="C420" s="482"/>
      <c r="D420" s="386"/>
      <c r="E420" s="386"/>
      <c r="F420" s="386"/>
    </row>
    <row r="421" spans="2:6" ht="11.25" customHeight="1">
      <c r="B421" s="360"/>
      <c r="C421" s="454"/>
      <c r="D421" s="353"/>
      <c r="E421" s="353"/>
      <c r="F421" s="361"/>
    </row>
    <row r="422" spans="2:6" ht="11.25" customHeight="1">
      <c r="B422" s="360"/>
      <c r="C422" s="454"/>
      <c r="D422" s="353"/>
      <c r="E422" s="353"/>
      <c r="F422" s="361"/>
    </row>
    <row r="423" spans="2:6" ht="15" customHeight="1">
      <c r="B423" s="407"/>
      <c r="C423" s="482"/>
      <c r="D423" s="386"/>
      <c r="E423" s="386"/>
      <c r="F423" s="386"/>
    </row>
    <row r="424" spans="2:6" ht="15" customHeight="1">
      <c r="B424" s="407"/>
      <c r="C424" s="482"/>
      <c r="D424" s="386"/>
      <c r="E424" s="386"/>
      <c r="F424" s="386"/>
    </row>
    <row r="425" spans="2:6" ht="11.25" customHeight="1">
      <c r="B425" s="418"/>
      <c r="C425" s="360"/>
      <c r="D425" s="408"/>
      <c r="E425" s="408"/>
      <c r="F425" s="408"/>
    </row>
    <row r="426" spans="2:6" ht="11.25" customHeight="1">
      <c r="B426" s="360"/>
      <c r="C426" s="454"/>
      <c r="D426" s="361"/>
      <c r="E426" s="361"/>
      <c r="F426" s="361"/>
    </row>
    <row r="427" spans="2:17" ht="11.25" customHeight="1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6" ht="11.25" customHeight="1">
      <c r="B432" s="360"/>
      <c r="C432" s="454"/>
      <c r="D432" s="361"/>
      <c r="E432" s="361"/>
      <c r="F432" s="361"/>
    </row>
    <row r="433" spans="2:17" ht="11.25" customHeight="1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2:17" ht="11.25" customHeight="1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2:17" ht="11.25" customHeight="1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2:17" ht="11.25" customHeight="1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2:17" ht="11.25" customHeight="1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2:17" ht="11.25" customHeight="1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2:17" ht="11.25" customHeight="1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2:17" ht="11.25" customHeight="1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2:17" ht="11.25" customHeight="1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2:17" ht="11.25" customHeight="1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2:17" ht="11.25" customHeight="1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sheetProtection/>
  <mergeCells count="5">
    <mergeCell ref="A5:F5"/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FILING&amp;RMIDSTATE MEDICAL CENTER</oddHeader>
    <oddFooter>&amp;L&amp;"Arial,Regular"REPORT 500&amp;C&amp;"Arial,Regular"&amp;P of &amp;N&amp;R&amp;"Arial,Regular"&amp;D, &amp;T</oddFooter>
  </headerFooter>
  <rowBreaks count="8" manualBreakCount="8">
    <brk id="38" max="255" man="1"/>
    <brk id="77" max="255" man="1"/>
    <brk id="114" max="255" man="1"/>
    <brk id="149" max="255" man="1"/>
    <brk id="184" max="255" man="1"/>
    <brk id="217" max="255" man="1"/>
    <brk id="257" max="255" man="1"/>
    <brk id="30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3"/>
  <sheetViews>
    <sheetView zoomScale="75" zoomScaleNormal="75" zoomScaleSheetLayoutView="68" zoomScalePageLayoutView="0" workbookViewId="0" topLeftCell="A1">
      <selection activeCell="B16" sqref="B16"/>
    </sheetView>
  </sheetViews>
  <sheetFormatPr defaultColWidth="9.140625" defaultRowHeight="12.75"/>
  <cols>
    <col min="1" max="1" width="5.28125" style="330" bestFit="1" customWidth="1"/>
    <col min="2" max="2" width="82.57421875" style="331" customWidth="1"/>
    <col min="3" max="3" width="17.00390625" style="331" bestFit="1" customWidth="1"/>
    <col min="4" max="4" width="16.140625" style="330" bestFit="1" customWidth="1"/>
    <col min="5" max="5" width="16.7109375" style="488" bestFit="1" customWidth="1"/>
    <col min="6" max="16384" width="9.140625" style="330" customWidth="1"/>
  </cols>
  <sheetData>
    <row r="1" spans="1:4" ht="12.75">
      <c r="A1" s="333"/>
      <c r="B1" s="357"/>
      <c r="C1" s="357"/>
      <c r="D1" s="333"/>
    </row>
    <row r="2" spans="1:5" s="338" customFormat="1" ht="15.75" customHeight="1">
      <c r="A2" s="710" t="s">
        <v>158</v>
      </c>
      <c r="B2" s="710"/>
      <c r="C2" s="710"/>
      <c r="D2" s="710"/>
      <c r="E2" s="710"/>
    </row>
    <row r="3" spans="1:5" s="338" customFormat="1" ht="15.75" customHeight="1">
      <c r="A3" s="709" t="s">
        <v>751</v>
      </c>
      <c r="B3" s="709"/>
      <c r="C3" s="709"/>
      <c r="D3" s="709"/>
      <c r="E3" s="709"/>
    </row>
    <row r="4" spans="1:5" s="338" customFormat="1" ht="15.75" customHeight="1">
      <c r="A4" s="709" t="s">
        <v>160</v>
      </c>
      <c r="B4" s="709"/>
      <c r="C4" s="709"/>
      <c r="D4" s="709"/>
      <c r="E4" s="709"/>
    </row>
    <row r="5" spans="1:5" s="338" customFormat="1" ht="15.75" customHeight="1">
      <c r="A5" s="709" t="s">
        <v>899</v>
      </c>
      <c r="B5" s="709"/>
      <c r="C5" s="709"/>
      <c r="D5" s="709"/>
      <c r="E5" s="709"/>
    </row>
    <row r="6" spans="1:5" s="338" customFormat="1" ht="15.75" customHeight="1">
      <c r="A6" s="709" t="s">
        <v>900</v>
      </c>
      <c r="B6" s="709"/>
      <c r="C6" s="709"/>
      <c r="D6" s="709"/>
      <c r="E6" s="709"/>
    </row>
    <row r="7" spans="1:5" s="338" customFormat="1" ht="15.75" customHeight="1">
      <c r="A7" s="489"/>
      <c r="B7" s="123"/>
      <c r="C7" s="490"/>
      <c r="D7" s="489"/>
      <c r="E7" s="345"/>
    </row>
    <row r="8" spans="1:5" s="338" customFormat="1" ht="12.75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25" customHeight="1">
      <c r="A9" s="492" t="s">
        <v>166</v>
      </c>
      <c r="B9" s="493" t="s">
        <v>167</v>
      </c>
      <c r="C9" s="494" t="s">
        <v>901</v>
      </c>
      <c r="D9" s="494" t="s">
        <v>902</v>
      </c>
      <c r="E9" s="495" t="s">
        <v>903</v>
      </c>
    </row>
    <row r="10" spans="1:5" s="338" customFormat="1" ht="12.75">
      <c r="A10" s="496"/>
      <c r="B10" s="497"/>
      <c r="C10" s="498"/>
      <c r="D10" s="498"/>
      <c r="E10" s="499"/>
    </row>
    <row r="11" spans="1:5" s="338" customFormat="1" ht="15.75" customHeight="1">
      <c r="A11" s="500" t="s">
        <v>170</v>
      </c>
      <c r="B11" s="501" t="s">
        <v>904</v>
      </c>
      <c r="C11" s="502"/>
      <c r="D11" s="491"/>
      <c r="E11" s="499"/>
    </row>
    <row r="12" spans="1:5" s="503" customFormat="1" ht="12.75">
      <c r="A12" s="504"/>
      <c r="B12" s="499"/>
      <c r="C12" s="505"/>
      <c r="D12" s="340"/>
      <c r="E12" s="499"/>
    </row>
    <row r="13" spans="1:5" s="506" customFormat="1" ht="12.75">
      <c r="A13" s="508" t="s">
        <v>172</v>
      </c>
      <c r="B13" s="509" t="s">
        <v>905</v>
      </c>
      <c r="C13" s="510"/>
      <c r="D13" s="340"/>
      <c r="E13" s="511"/>
    </row>
    <row r="14" spans="1:5" s="506" customFormat="1" ht="12.75">
      <c r="A14" s="512">
        <v>1</v>
      </c>
      <c r="B14" s="511" t="s">
        <v>781</v>
      </c>
      <c r="C14" s="513">
        <v>44200966</v>
      </c>
      <c r="D14" s="513">
        <v>48350269</v>
      </c>
      <c r="E14" s="514">
        <f aca="true" t="shared" si="0" ref="E14:E22">D14-C14</f>
        <v>4149303</v>
      </c>
    </row>
    <row r="15" spans="1:5" s="506" customFormat="1" ht="12.75">
      <c r="A15" s="512">
        <v>2</v>
      </c>
      <c r="B15" s="511" t="s">
        <v>760</v>
      </c>
      <c r="C15" s="513">
        <v>99420943</v>
      </c>
      <c r="D15" s="515">
        <v>102801789</v>
      </c>
      <c r="E15" s="514">
        <f t="shared" si="0"/>
        <v>3380846</v>
      </c>
    </row>
    <row r="16" spans="1:5" s="506" customFormat="1" ht="12.75">
      <c r="A16" s="512">
        <v>3</v>
      </c>
      <c r="B16" s="511" t="s">
        <v>906</v>
      </c>
      <c r="C16" s="513">
        <v>19268487</v>
      </c>
      <c r="D16" s="515">
        <v>20451362</v>
      </c>
      <c r="E16" s="514">
        <f t="shared" si="0"/>
        <v>1182875</v>
      </c>
    </row>
    <row r="17" spans="1:5" s="506" customFormat="1" ht="12.75">
      <c r="A17" s="512">
        <v>4</v>
      </c>
      <c r="B17" s="511" t="s">
        <v>272</v>
      </c>
      <c r="C17" s="513">
        <v>16108020</v>
      </c>
      <c r="D17" s="515">
        <v>15799960</v>
      </c>
      <c r="E17" s="514">
        <f t="shared" si="0"/>
        <v>-308060</v>
      </c>
    </row>
    <row r="18" spans="1:5" s="506" customFormat="1" ht="12.75">
      <c r="A18" s="512">
        <v>5</v>
      </c>
      <c r="B18" s="511" t="s">
        <v>873</v>
      </c>
      <c r="C18" s="513">
        <v>3160467</v>
      </c>
      <c r="D18" s="515">
        <v>4651402</v>
      </c>
      <c r="E18" s="514">
        <f t="shared" si="0"/>
        <v>1490935</v>
      </c>
    </row>
    <row r="19" spans="1:5" s="506" customFormat="1" ht="12.75">
      <c r="A19" s="512">
        <v>6</v>
      </c>
      <c r="B19" s="511" t="s">
        <v>576</v>
      </c>
      <c r="C19" s="513">
        <v>64457</v>
      </c>
      <c r="D19" s="515">
        <v>267316</v>
      </c>
      <c r="E19" s="514">
        <f t="shared" si="0"/>
        <v>202859</v>
      </c>
    </row>
    <row r="20" spans="1:5" s="506" customFormat="1" ht="12.75">
      <c r="A20" s="512">
        <v>7</v>
      </c>
      <c r="B20" s="511" t="s">
        <v>888</v>
      </c>
      <c r="C20" s="513">
        <v>4351081</v>
      </c>
      <c r="D20" s="515">
        <v>4002999</v>
      </c>
      <c r="E20" s="514">
        <f t="shared" si="0"/>
        <v>-348082</v>
      </c>
    </row>
    <row r="21" spans="1:5" s="506" customFormat="1" ht="12.75">
      <c r="A21" s="512"/>
      <c r="B21" s="516" t="s">
        <v>907</v>
      </c>
      <c r="C21" s="517">
        <f>SUM(C15+C16+C19)</f>
        <v>118753887</v>
      </c>
      <c r="D21" s="517">
        <f>SUM(D15+D16+D19)</f>
        <v>123520467</v>
      </c>
      <c r="E21" s="517">
        <f t="shared" si="0"/>
        <v>4766580</v>
      </c>
    </row>
    <row r="22" spans="1:5" s="506" customFormat="1" ht="12.75">
      <c r="A22" s="512"/>
      <c r="B22" s="516" t="s">
        <v>847</v>
      </c>
      <c r="C22" s="517">
        <f>SUM(C14+C21)</f>
        <v>162954853</v>
      </c>
      <c r="D22" s="517">
        <f>SUM(D14+D21)</f>
        <v>171870736</v>
      </c>
      <c r="E22" s="517">
        <f t="shared" si="0"/>
        <v>8915883</v>
      </c>
    </row>
    <row r="23" spans="1:5" s="506" customFormat="1" ht="12.75">
      <c r="A23" s="512"/>
      <c r="B23" s="511"/>
      <c r="C23" s="511"/>
      <c r="D23" s="511"/>
      <c r="E23" s="511"/>
    </row>
    <row r="24" spans="1:5" s="506" customFormat="1" ht="12.75">
      <c r="A24" s="508" t="s">
        <v>184</v>
      </c>
      <c r="B24" s="509" t="s">
        <v>908</v>
      </c>
      <c r="C24" s="511"/>
      <c r="D24" s="511"/>
      <c r="E24" s="511"/>
    </row>
    <row r="25" spans="1:5" s="506" customFormat="1" ht="12.75">
      <c r="A25" s="512">
        <v>1</v>
      </c>
      <c r="B25" s="511" t="s">
        <v>781</v>
      </c>
      <c r="C25" s="513">
        <v>88342696</v>
      </c>
      <c r="D25" s="513">
        <v>91041509</v>
      </c>
      <c r="E25" s="514">
        <f aca="true" t="shared" si="1" ref="E25:E33">D25-C25</f>
        <v>2698813</v>
      </c>
    </row>
    <row r="26" spans="1:5" s="506" customFormat="1" ht="12.75">
      <c r="A26" s="512">
        <v>2</v>
      </c>
      <c r="B26" s="511" t="s">
        <v>760</v>
      </c>
      <c r="C26" s="513">
        <v>54111626</v>
      </c>
      <c r="D26" s="515">
        <v>57089777</v>
      </c>
      <c r="E26" s="514">
        <f t="shared" si="1"/>
        <v>2978151</v>
      </c>
    </row>
    <row r="27" spans="1:5" s="506" customFormat="1" ht="12.75">
      <c r="A27" s="512">
        <v>3</v>
      </c>
      <c r="B27" s="511" t="s">
        <v>906</v>
      </c>
      <c r="C27" s="513">
        <v>22772253</v>
      </c>
      <c r="D27" s="515">
        <v>27345386</v>
      </c>
      <c r="E27" s="514">
        <f t="shared" si="1"/>
        <v>4573133</v>
      </c>
    </row>
    <row r="28" spans="1:5" s="506" customFormat="1" ht="12.75">
      <c r="A28" s="512">
        <v>4</v>
      </c>
      <c r="B28" s="511" t="s">
        <v>272</v>
      </c>
      <c r="C28" s="513">
        <v>18709959</v>
      </c>
      <c r="D28" s="515">
        <v>21605580</v>
      </c>
      <c r="E28" s="514">
        <f t="shared" si="1"/>
        <v>2895621</v>
      </c>
    </row>
    <row r="29" spans="1:5" s="506" customFormat="1" ht="12.75">
      <c r="A29" s="512">
        <v>5</v>
      </c>
      <c r="B29" s="511" t="s">
        <v>873</v>
      </c>
      <c r="C29" s="513">
        <v>4062294</v>
      </c>
      <c r="D29" s="515">
        <v>5739806</v>
      </c>
      <c r="E29" s="514">
        <f t="shared" si="1"/>
        <v>1677512</v>
      </c>
    </row>
    <row r="30" spans="1:5" s="506" customFormat="1" ht="12.75">
      <c r="A30" s="512">
        <v>6</v>
      </c>
      <c r="B30" s="511" t="s">
        <v>576</v>
      </c>
      <c r="C30" s="513">
        <v>271513</v>
      </c>
      <c r="D30" s="515">
        <v>279643</v>
      </c>
      <c r="E30" s="514">
        <f t="shared" si="1"/>
        <v>8130</v>
      </c>
    </row>
    <row r="31" spans="1:5" s="506" customFormat="1" ht="12.75">
      <c r="A31" s="512">
        <v>7</v>
      </c>
      <c r="B31" s="511" t="s">
        <v>888</v>
      </c>
      <c r="C31" s="514">
        <v>6495074</v>
      </c>
      <c r="D31" s="518">
        <v>6982432</v>
      </c>
      <c r="E31" s="514">
        <f t="shared" si="1"/>
        <v>487358</v>
      </c>
    </row>
    <row r="32" spans="1:5" s="506" customFormat="1" ht="12.75">
      <c r="A32" s="512"/>
      <c r="B32" s="516" t="s">
        <v>909</v>
      </c>
      <c r="C32" s="517">
        <f>SUM(C26+C27+C30)</f>
        <v>77155392</v>
      </c>
      <c r="D32" s="517">
        <f>SUM(D26+D27+D30)</f>
        <v>84714806</v>
      </c>
      <c r="E32" s="517">
        <f t="shared" si="1"/>
        <v>7559414</v>
      </c>
    </row>
    <row r="33" spans="1:5" s="506" customFormat="1" ht="12.75">
      <c r="A33" s="512"/>
      <c r="B33" s="516" t="s">
        <v>853</v>
      </c>
      <c r="C33" s="517">
        <f>SUM(C25+C32)</f>
        <v>165498088</v>
      </c>
      <c r="D33" s="517">
        <f>SUM(D25+D32)</f>
        <v>175756315</v>
      </c>
      <c r="E33" s="517">
        <f t="shared" si="1"/>
        <v>10258227</v>
      </c>
    </row>
    <row r="34" spans="1:5" s="506" customFormat="1" ht="12.75">
      <c r="A34" s="512"/>
      <c r="B34" s="511"/>
      <c r="C34" s="511"/>
      <c r="D34" s="511"/>
      <c r="E34" s="511"/>
    </row>
    <row r="35" spans="1:5" s="506" customFormat="1" ht="12.75">
      <c r="A35" s="508" t="s">
        <v>194</v>
      </c>
      <c r="B35" s="509" t="s">
        <v>778</v>
      </c>
      <c r="C35" s="514"/>
      <c r="D35" s="514"/>
      <c r="E35" s="511"/>
    </row>
    <row r="36" spans="1:5" s="506" customFormat="1" ht="12.75">
      <c r="A36" s="512">
        <v>1</v>
      </c>
      <c r="B36" s="511" t="s">
        <v>910</v>
      </c>
      <c r="C36" s="514">
        <f aca="true" t="shared" si="2" ref="C36:D42">C14+C25</f>
        <v>132543662</v>
      </c>
      <c r="D36" s="514">
        <f t="shared" si="2"/>
        <v>139391778</v>
      </c>
      <c r="E36" s="514">
        <f aca="true" t="shared" si="3" ref="E36:E44">D36-C36</f>
        <v>6848116</v>
      </c>
    </row>
    <row r="37" spans="1:5" s="506" customFormat="1" ht="12.75">
      <c r="A37" s="512">
        <v>2</v>
      </c>
      <c r="B37" s="511" t="s">
        <v>911</v>
      </c>
      <c r="C37" s="514">
        <f t="shared" si="2"/>
        <v>153532569</v>
      </c>
      <c r="D37" s="514">
        <f t="shared" si="2"/>
        <v>159891566</v>
      </c>
      <c r="E37" s="514">
        <f t="shared" si="3"/>
        <v>6358997</v>
      </c>
    </row>
    <row r="38" spans="1:5" s="506" customFormat="1" ht="12.75">
      <c r="A38" s="512">
        <v>3</v>
      </c>
      <c r="B38" s="511" t="s">
        <v>912</v>
      </c>
      <c r="C38" s="514">
        <f t="shared" si="2"/>
        <v>42040740</v>
      </c>
      <c r="D38" s="514">
        <f t="shared" si="2"/>
        <v>47796748</v>
      </c>
      <c r="E38" s="514">
        <f t="shared" si="3"/>
        <v>5756008</v>
      </c>
    </row>
    <row r="39" spans="1:5" s="506" customFormat="1" ht="12.75">
      <c r="A39" s="512">
        <v>4</v>
      </c>
      <c r="B39" s="511" t="s">
        <v>913</v>
      </c>
      <c r="C39" s="514">
        <f t="shared" si="2"/>
        <v>34817979</v>
      </c>
      <c r="D39" s="514">
        <f t="shared" si="2"/>
        <v>37405540</v>
      </c>
      <c r="E39" s="514">
        <f t="shared" si="3"/>
        <v>2587561</v>
      </c>
    </row>
    <row r="40" spans="1:5" s="506" customFormat="1" ht="12.75">
      <c r="A40" s="512">
        <v>5</v>
      </c>
      <c r="B40" s="511" t="s">
        <v>914</v>
      </c>
      <c r="C40" s="514">
        <f t="shared" si="2"/>
        <v>7222761</v>
      </c>
      <c r="D40" s="514">
        <f t="shared" si="2"/>
        <v>10391208</v>
      </c>
      <c r="E40" s="514">
        <f t="shared" si="3"/>
        <v>3168447</v>
      </c>
    </row>
    <row r="41" spans="1:5" s="506" customFormat="1" ht="12.75">
      <c r="A41" s="512">
        <v>6</v>
      </c>
      <c r="B41" s="511" t="s">
        <v>915</v>
      </c>
      <c r="C41" s="514">
        <f t="shared" si="2"/>
        <v>335970</v>
      </c>
      <c r="D41" s="514">
        <f t="shared" si="2"/>
        <v>546959</v>
      </c>
      <c r="E41" s="514">
        <f t="shared" si="3"/>
        <v>210989</v>
      </c>
    </row>
    <row r="42" spans="1:5" s="506" customFormat="1" ht="12.75">
      <c r="A42" s="512">
        <v>7</v>
      </c>
      <c r="B42" s="511" t="s">
        <v>916</v>
      </c>
      <c r="C42" s="514">
        <f t="shared" si="2"/>
        <v>10846155</v>
      </c>
      <c r="D42" s="514">
        <f t="shared" si="2"/>
        <v>10985431</v>
      </c>
      <c r="E42" s="514">
        <f t="shared" si="3"/>
        <v>139276</v>
      </c>
    </row>
    <row r="43" spans="1:5" s="506" customFormat="1" ht="12.75">
      <c r="A43" s="512"/>
      <c r="B43" s="516" t="s">
        <v>917</v>
      </c>
      <c r="C43" s="517">
        <f>SUM(C37+C38+C41)</f>
        <v>195909279</v>
      </c>
      <c r="D43" s="517">
        <f>SUM(D37+D38+D41)</f>
        <v>208235273</v>
      </c>
      <c r="E43" s="517">
        <f t="shared" si="3"/>
        <v>12325994</v>
      </c>
    </row>
    <row r="44" spans="1:5" s="506" customFormat="1" ht="12.75">
      <c r="A44" s="512"/>
      <c r="B44" s="516" t="s">
        <v>855</v>
      </c>
      <c r="C44" s="517">
        <f>SUM(C36+C43)</f>
        <v>328452941</v>
      </c>
      <c r="D44" s="517">
        <f>SUM(D36+D43)</f>
        <v>347627051</v>
      </c>
      <c r="E44" s="517">
        <f t="shared" si="3"/>
        <v>19174110</v>
      </c>
    </row>
    <row r="45" spans="1:5" s="506" customFormat="1" ht="12.75">
      <c r="A45" s="512"/>
      <c r="B45" s="511"/>
      <c r="C45" s="514"/>
      <c r="D45" s="515"/>
      <c r="E45" s="511"/>
    </row>
    <row r="46" spans="1:5" s="506" customFormat="1" ht="12.75">
      <c r="A46" s="508" t="s">
        <v>479</v>
      </c>
      <c r="B46" s="509" t="s">
        <v>918</v>
      </c>
      <c r="C46" s="499"/>
      <c r="D46" s="515"/>
      <c r="E46" s="511"/>
    </row>
    <row r="47" spans="1:5" s="506" customFormat="1" ht="12" customHeight="1">
      <c r="A47" s="512">
        <v>1</v>
      </c>
      <c r="B47" s="511" t="s">
        <v>781</v>
      </c>
      <c r="C47" s="513">
        <v>27916500</v>
      </c>
      <c r="D47" s="513">
        <v>30533277</v>
      </c>
      <c r="E47" s="514">
        <f aca="true" t="shared" si="4" ref="E47:E55">D47-C47</f>
        <v>2616777</v>
      </c>
    </row>
    <row r="48" spans="1:5" s="506" customFormat="1" ht="12.75">
      <c r="A48" s="512">
        <v>2</v>
      </c>
      <c r="B48" s="511" t="s">
        <v>760</v>
      </c>
      <c r="C48" s="513">
        <v>43952009</v>
      </c>
      <c r="D48" s="515">
        <v>43847082</v>
      </c>
      <c r="E48" s="514">
        <f t="shared" si="4"/>
        <v>-104927</v>
      </c>
    </row>
    <row r="49" spans="1:5" s="506" customFormat="1" ht="12.75">
      <c r="A49" s="512">
        <v>3</v>
      </c>
      <c r="B49" s="511" t="s">
        <v>906</v>
      </c>
      <c r="C49" s="513">
        <v>7107316</v>
      </c>
      <c r="D49" s="515">
        <v>7587781</v>
      </c>
      <c r="E49" s="514">
        <f t="shared" si="4"/>
        <v>480465</v>
      </c>
    </row>
    <row r="50" spans="1:5" s="506" customFormat="1" ht="12.75">
      <c r="A50" s="512">
        <v>4</v>
      </c>
      <c r="B50" s="511" t="s">
        <v>272</v>
      </c>
      <c r="C50" s="513">
        <v>6318388</v>
      </c>
      <c r="D50" s="515">
        <v>6699224</v>
      </c>
      <c r="E50" s="514">
        <f t="shared" si="4"/>
        <v>380836</v>
      </c>
    </row>
    <row r="51" spans="1:5" s="506" customFormat="1" ht="12.75">
      <c r="A51" s="512">
        <v>5</v>
      </c>
      <c r="B51" s="511" t="s">
        <v>873</v>
      </c>
      <c r="C51" s="513">
        <v>788928</v>
      </c>
      <c r="D51" s="515">
        <v>888557</v>
      </c>
      <c r="E51" s="514">
        <f t="shared" si="4"/>
        <v>99629</v>
      </c>
    </row>
    <row r="52" spans="1:5" s="506" customFormat="1" ht="12.75">
      <c r="A52" s="512">
        <v>6</v>
      </c>
      <c r="B52" s="511" t="s">
        <v>576</v>
      </c>
      <c r="C52" s="513">
        <v>30312</v>
      </c>
      <c r="D52" s="515">
        <v>86070</v>
      </c>
      <c r="E52" s="514">
        <f t="shared" si="4"/>
        <v>55758</v>
      </c>
    </row>
    <row r="53" spans="1:5" s="506" customFormat="1" ht="12.75">
      <c r="A53" s="512">
        <v>7</v>
      </c>
      <c r="B53" s="511" t="s">
        <v>888</v>
      </c>
      <c r="C53" s="513">
        <v>210806</v>
      </c>
      <c r="D53" s="515">
        <v>125703</v>
      </c>
      <c r="E53" s="514">
        <f t="shared" si="4"/>
        <v>-85103</v>
      </c>
    </row>
    <row r="54" spans="1:5" s="506" customFormat="1" ht="12.75">
      <c r="A54" s="512"/>
      <c r="B54" s="516" t="s">
        <v>919</v>
      </c>
      <c r="C54" s="517">
        <f>SUM(C48+C49+C52)</f>
        <v>51089637</v>
      </c>
      <c r="D54" s="517">
        <f>SUM(D48+D49+D52)</f>
        <v>51520933</v>
      </c>
      <c r="E54" s="517">
        <f t="shared" si="4"/>
        <v>431296</v>
      </c>
    </row>
    <row r="55" spans="1:5" s="506" customFormat="1" ht="12.75">
      <c r="A55" s="512"/>
      <c r="B55" s="516" t="s">
        <v>848</v>
      </c>
      <c r="C55" s="517">
        <f>SUM(C47+C54)</f>
        <v>79006137</v>
      </c>
      <c r="D55" s="517">
        <f>SUM(D47+D54)</f>
        <v>82054210</v>
      </c>
      <c r="E55" s="517">
        <f t="shared" si="4"/>
        <v>3048073</v>
      </c>
    </row>
    <row r="56" spans="1:5" s="506" customFormat="1" ht="12.75">
      <c r="A56" s="512"/>
      <c r="B56" s="511"/>
      <c r="C56" s="511"/>
      <c r="D56" s="515"/>
      <c r="E56" s="511"/>
    </row>
    <row r="57" spans="1:5" s="506" customFormat="1" ht="12.75">
      <c r="A57" s="508" t="s">
        <v>500</v>
      </c>
      <c r="B57" s="509" t="s">
        <v>920</v>
      </c>
      <c r="C57" s="499"/>
      <c r="D57" s="515"/>
      <c r="E57" s="511"/>
    </row>
    <row r="58" spans="1:5" s="506" customFormat="1" ht="12.75">
      <c r="A58" s="512">
        <v>1</v>
      </c>
      <c r="B58" s="511" t="s">
        <v>781</v>
      </c>
      <c r="C58" s="513">
        <v>55855990</v>
      </c>
      <c r="D58" s="513">
        <v>57435337</v>
      </c>
      <c r="E58" s="514">
        <f aca="true" t="shared" si="5" ref="E58:E66">D58-C58</f>
        <v>1579347</v>
      </c>
    </row>
    <row r="59" spans="1:5" s="506" customFormat="1" ht="12.75">
      <c r="A59" s="512">
        <v>2</v>
      </c>
      <c r="B59" s="511" t="s">
        <v>760</v>
      </c>
      <c r="C59" s="513">
        <v>18055675</v>
      </c>
      <c r="D59" s="515">
        <v>18546533</v>
      </c>
      <c r="E59" s="514">
        <f t="shared" si="5"/>
        <v>490858</v>
      </c>
    </row>
    <row r="60" spans="1:5" s="506" customFormat="1" ht="12.75">
      <c r="A60" s="512">
        <v>3</v>
      </c>
      <c r="B60" s="511" t="s">
        <v>906</v>
      </c>
      <c r="C60" s="513">
        <f>C61+C62</f>
        <v>6246709</v>
      </c>
      <c r="D60" s="515">
        <f>D61+D62</f>
        <v>7694928</v>
      </c>
      <c r="E60" s="514">
        <f t="shared" si="5"/>
        <v>1448219</v>
      </c>
    </row>
    <row r="61" spans="1:5" s="506" customFormat="1" ht="12.75">
      <c r="A61" s="512">
        <v>4</v>
      </c>
      <c r="B61" s="511" t="s">
        <v>272</v>
      </c>
      <c r="C61" s="513">
        <v>5629279</v>
      </c>
      <c r="D61" s="515">
        <v>7003135</v>
      </c>
      <c r="E61" s="514">
        <f t="shared" si="5"/>
        <v>1373856</v>
      </c>
    </row>
    <row r="62" spans="1:5" s="506" customFormat="1" ht="12.75">
      <c r="A62" s="512">
        <v>5</v>
      </c>
      <c r="B62" s="511" t="s">
        <v>873</v>
      </c>
      <c r="C62" s="513">
        <v>617430</v>
      </c>
      <c r="D62" s="515">
        <v>691793</v>
      </c>
      <c r="E62" s="514">
        <f t="shared" si="5"/>
        <v>74363</v>
      </c>
    </row>
    <row r="63" spans="1:5" s="506" customFormat="1" ht="12.75">
      <c r="A63" s="512">
        <v>6</v>
      </c>
      <c r="B63" s="511" t="s">
        <v>576</v>
      </c>
      <c r="C63" s="513">
        <v>127684</v>
      </c>
      <c r="D63" s="515">
        <v>90039</v>
      </c>
      <c r="E63" s="514">
        <f t="shared" si="5"/>
        <v>-37645</v>
      </c>
    </row>
    <row r="64" spans="1:5" s="506" customFormat="1" ht="12.75">
      <c r="A64" s="512">
        <v>7</v>
      </c>
      <c r="B64" s="511" t="s">
        <v>888</v>
      </c>
      <c r="C64" s="513">
        <v>267402</v>
      </c>
      <c r="D64" s="515">
        <v>369633</v>
      </c>
      <c r="E64" s="514">
        <f t="shared" si="5"/>
        <v>102231</v>
      </c>
    </row>
    <row r="65" spans="1:5" s="506" customFormat="1" ht="12.75">
      <c r="A65" s="512"/>
      <c r="B65" s="516" t="s">
        <v>921</v>
      </c>
      <c r="C65" s="517">
        <f>SUM(C59+C60+C63)</f>
        <v>24430068</v>
      </c>
      <c r="D65" s="517">
        <f>SUM(D59+D60+D63)</f>
        <v>26331500</v>
      </c>
      <c r="E65" s="517">
        <f t="shared" si="5"/>
        <v>1901432</v>
      </c>
    </row>
    <row r="66" spans="1:5" s="506" customFormat="1" ht="12.75">
      <c r="A66" s="512"/>
      <c r="B66" s="516" t="s">
        <v>854</v>
      </c>
      <c r="C66" s="517">
        <f>SUM(C58+C65)</f>
        <v>80286058</v>
      </c>
      <c r="D66" s="517">
        <f>SUM(D58+D65)</f>
        <v>83766837</v>
      </c>
      <c r="E66" s="517">
        <f t="shared" si="5"/>
        <v>3480779</v>
      </c>
    </row>
    <row r="67" spans="1:5" ht="11.25" customHeight="1">
      <c r="A67" s="502"/>
      <c r="B67" s="519"/>
      <c r="C67" s="520"/>
      <c r="D67" s="520"/>
      <c r="E67" s="520"/>
    </row>
    <row r="68" spans="1:5" s="506" customFormat="1" ht="12.75">
      <c r="A68" s="508" t="s">
        <v>512</v>
      </c>
      <c r="B68" s="521" t="s">
        <v>779</v>
      </c>
      <c r="C68" s="511"/>
      <c r="D68" s="511"/>
      <c r="E68" s="511"/>
    </row>
    <row r="69" spans="1:5" s="506" customFormat="1" ht="12.75">
      <c r="A69" s="512">
        <v>1</v>
      </c>
      <c r="B69" s="511" t="s">
        <v>910</v>
      </c>
      <c r="C69" s="514">
        <f aca="true" t="shared" si="6" ref="C69:D75">C47+C58</f>
        <v>83772490</v>
      </c>
      <c r="D69" s="514">
        <f t="shared" si="6"/>
        <v>87968614</v>
      </c>
      <c r="E69" s="514">
        <f aca="true" t="shared" si="7" ref="E69:E77">D69-C69</f>
        <v>4196124</v>
      </c>
    </row>
    <row r="70" spans="1:5" s="506" customFormat="1" ht="12.75">
      <c r="A70" s="512">
        <v>2</v>
      </c>
      <c r="B70" s="511" t="s">
        <v>911</v>
      </c>
      <c r="C70" s="514">
        <f t="shared" si="6"/>
        <v>62007684</v>
      </c>
      <c r="D70" s="514">
        <f t="shared" si="6"/>
        <v>62393615</v>
      </c>
      <c r="E70" s="514">
        <f t="shared" si="7"/>
        <v>385931</v>
      </c>
    </row>
    <row r="71" spans="1:5" s="506" customFormat="1" ht="12.75">
      <c r="A71" s="512">
        <v>3</v>
      </c>
      <c r="B71" s="511" t="s">
        <v>912</v>
      </c>
      <c r="C71" s="514">
        <f t="shared" si="6"/>
        <v>13354025</v>
      </c>
      <c r="D71" s="514">
        <f t="shared" si="6"/>
        <v>15282709</v>
      </c>
      <c r="E71" s="514">
        <f t="shared" si="7"/>
        <v>1928684</v>
      </c>
    </row>
    <row r="72" spans="1:5" s="506" customFormat="1" ht="12.75">
      <c r="A72" s="512">
        <v>4</v>
      </c>
      <c r="B72" s="511" t="s">
        <v>913</v>
      </c>
      <c r="C72" s="514">
        <f t="shared" si="6"/>
        <v>11947667</v>
      </c>
      <c r="D72" s="514">
        <f t="shared" si="6"/>
        <v>13702359</v>
      </c>
      <c r="E72" s="514">
        <f t="shared" si="7"/>
        <v>1754692</v>
      </c>
    </row>
    <row r="73" spans="1:5" s="506" customFormat="1" ht="12.75">
      <c r="A73" s="512">
        <v>5</v>
      </c>
      <c r="B73" s="511" t="s">
        <v>914</v>
      </c>
      <c r="C73" s="514">
        <f t="shared" si="6"/>
        <v>1406358</v>
      </c>
      <c r="D73" s="514">
        <f t="shared" si="6"/>
        <v>1580350</v>
      </c>
      <c r="E73" s="514">
        <f t="shared" si="7"/>
        <v>173992</v>
      </c>
    </row>
    <row r="74" spans="1:5" s="506" customFormat="1" ht="12.75">
      <c r="A74" s="512">
        <v>6</v>
      </c>
      <c r="B74" s="511" t="s">
        <v>915</v>
      </c>
      <c r="C74" s="514">
        <f t="shared" si="6"/>
        <v>157996</v>
      </c>
      <c r="D74" s="514">
        <f t="shared" si="6"/>
        <v>176109</v>
      </c>
      <c r="E74" s="514">
        <f t="shared" si="7"/>
        <v>18113</v>
      </c>
    </row>
    <row r="75" spans="1:5" s="506" customFormat="1" ht="12.75">
      <c r="A75" s="512">
        <v>7</v>
      </c>
      <c r="B75" s="511" t="s">
        <v>916</v>
      </c>
      <c r="C75" s="514">
        <f t="shared" si="6"/>
        <v>478208</v>
      </c>
      <c r="D75" s="514">
        <f t="shared" si="6"/>
        <v>495336</v>
      </c>
      <c r="E75" s="514">
        <f t="shared" si="7"/>
        <v>17128</v>
      </c>
    </row>
    <row r="76" spans="1:5" s="506" customFormat="1" ht="12.75">
      <c r="A76" s="512"/>
      <c r="B76" s="516" t="s">
        <v>922</v>
      </c>
      <c r="C76" s="517">
        <f>SUM(C70+C71+C74)</f>
        <v>75519705</v>
      </c>
      <c r="D76" s="517">
        <f>SUM(D70+D71+D74)</f>
        <v>77852433</v>
      </c>
      <c r="E76" s="517">
        <f t="shared" si="7"/>
        <v>2332728</v>
      </c>
    </row>
    <row r="77" spans="1:5" s="506" customFormat="1" ht="12.75">
      <c r="A77" s="512"/>
      <c r="B77" s="516" t="s">
        <v>856</v>
      </c>
      <c r="C77" s="517">
        <f>SUM(C69+C76)</f>
        <v>159292195</v>
      </c>
      <c r="D77" s="517">
        <f>SUM(D69+D76)</f>
        <v>165821047</v>
      </c>
      <c r="E77" s="517">
        <f t="shared" si="7"/>
        <v>6528852</v>
      </c>
    </row>
    <row r="78" spans="1:5" s="506" customFormat="1" ht="12.75">
      <c r="A78" s="505"/>
      <c r="B78" s="510"/>
      <c r="C78" s="491"/>
      <c r="D78" s="491"/>
      <c r="E78" s="511"/>
    </row>
    <row r="79" spans="1:5" s="506" customFormat="1" ht="15.75" customHeight="1">
      <c r="A79" s="500" t="s">
        <v>202</v>
      </c>
      <c r="B79" s="501" t="s">
        <v>923</v>
      </c>
      <c r="C79" s="340"/>
      <c r="D79" s="340"/>
      <c r="E79" s="511"/>
    </row>
    <row r="80" spans="1:5" s="506" customFormat="1" ht="12.75">
      <c r="A80" s="505"/>
      <c r="B80" s="510"/>
      <c r="C80" s="340"/>
      <c r="D80" s="340"/>
      <c r="E80" s="511"/>
    </row>
    <row r="81" spans="1:5" s="506" customFormat="1" ht="12.75">
      <c r="A81" s="508" t="s">
        <v>172</v>
      </c>
      <c r="B81" s="522" t="s">
        <v>924</v>
      </c>
      <c r="C81" s="510"/>
      <c r="D81" s="510"/>
      <c r="E81" s="511"/>
    </row>
    <row r="82" spans="1:5" s="506" customFormat="1" ht="12.75">
      <c r="A82" s="512"/>
      <c r="B82" s="511"/>
      <c r="C82" s="514"/>
      <c r="D82" s="514"/>
      <c r="E82" s="511"/>
    </row>
    <row r="83" spans="1:5" s="506" customFormat="1" ht="12.75">
      <c r="A83" s="512">
        <v>1</v>
      </c>
      <c r="B83" s="511" t="s">
        <v>781</v>
      </c>
      <c r="C83" s="523">
        <f aca="true" t="shared" si="8" ref="C83:D89">IF(C$44=0,0,C14/C$44)</f>
        <v>0.13457320816013033</v>
      </c>
      <c r="D83" s="523">
        <f t="shared" si="8"/>
        <v>0.1390866126813589</v>
      </c>
      <c r="E83" s="523">
        <f aca="true" t="shared" si="9" ref="E83:E91">D83-C83</f>
        <v>0.004513404521228587</v>
      </c>
    </row>
    <row r="84" spans="1:5" s="506" customFormat="1" ht="12.75">
      <c r="A84" s="512">
        <v>2</v>
      </c>
      <c r="B84" s="511" t="s">
        <v>760</v>
      </c>
      <c r="C84" s="523">
        <f t="shared" si="8"/>
        <v>0.3026946347239436</v>
      </c>
      <c r="D84" s="523">
        <f t="shared" si="8"/>
        <v>0.29572436524797374</v>
      </c>
      <c r="E84" s="523">
        <f t="shared" si="9"/>
        <v>-0.006970269475969848</v>
      </c>
    </row>
    <row r="85" spans="1:5" s="506" customFormat="1" ht="12.75">
      <c r="A85" s="512">
        <v>3</v>
      </c>
      <c r="B85" s="511" t="s">
        <v>906</v>
      </c>
      <c r="C85" s="523">
        <f t="shared" si="8"/>
        <v>0.05866437652022729</v>
      </c>
      <c r="D85" s="523">
        <f t="shared" si="8"/>
        <v>0.05883133070676942</v>
      </c>
      <c r="E85" s="523">
        <f t="shared" si="9"/>
        <v>0.00016695418654213284</v>
      </c>
    </row>
    <row r="86" spans="1:5" s="506" customFormat="1" ht="12.75">
      <c r="A86" s="512">
        <v>4</v>
      </c>
      <c r="B86" s="511" t="s">
        <v>272</v>
      </c>
      <c r="C86" s="523">
        <f t="shared" si="8"/>
        <v>0.04904209397838821</v>
      </c>
      <c r="D86" s="523">
        <f t="shared" si="8"/>
        <v>0.0454508932908101</v>
      </c>
      <c r="E86" s="523">
        <f t="shared" si="9"/>
        <v>-0.0035912006875781152</v>
      </c>
    </row>
    <row r="87" spans="1:5" s="506" customFormat="1" ht="12.75">
      <c r="A87" s="512">
        <v>5</v>
      </c>
      <c r="B87" s="511" t="s">
        <v>873</v>
      </c>
      <c r="C87" s="523">
        <f t="shared" si="8"/>
        <v>0.009622282541839076</v>
      </c>
      <c r="D87" s="523">
        <f t="shared" si="8"/>
        <v>0.013380437415959323</v>
      </c>
      <c r="E87" s="523">
        <f t="shared" si="9"/>
        <v>0.0037581548741202463</v>
      </c>
    </row>
    <row r="88" spans="1:5" s="506" customFormat="1" ht="12.75">
      <c r="A88" s="512">
        <v>6</v>
      </c>
      <c r="B88" s="511" t="s">
        <v>576</v>
      </c>
      <c r="C88" s="523">
        <f t="shared" si="8"/>
        <v>0.00019624424675192663</v>
      </c>
      <c r="D88" s="523">
        <f t="shared" si="8"/>
        <v>0.0007689735284726159</v>
      </c>
      <c r="E88" s="523">
        <f t="shared" si="9"/>
        <v>0.0005727292817206892</v>
      </c>
    </row>
    <row r="89" spans="1:5" s="506" customFormat="1" ht="12.75">
      <c r="A89" s="512">
        <v>7</v>
      </c>
      <c r="B89" s="511" t="s">
        <v>888</v>
      </c>
      <c r="C89" s="523">
        <f t="shared" si="8"/>
        <v>0.01324719756429278</v>
      </c>
      <c r="D89" s="523">
        <f t="shared" si="8"/>
        <v>0.011515211455739098</v>
      </c>
      <c r="E89" s="523">
        <f t="shared" si="9"/>
        <v>-0.0017319861085536813</v>
      </c>
    </row>
    <row r="90" spans="1:5" s="506" customFormat="1" ht="12.75">
      <c r="A90" s="512"/>
      <c r="B90" s="516" t="s">
        <v>925</v>
      </c>
      <c r="C90" s="524">
        <f>SUM(C84+C85+C88)</f>
        <v>0.36155525549092277</v>
      </c>
      <c r="D90" s="524">
        <f>SUM(D84+D85+D88)</f>
        <v>0.3553246694832158</v>
      </c>
      <c r="E90" s="525">
        <f t="shared" si="9"/>
        <v>-0.006230586007706984</v>
      </c>
    </row>
    <row r="91" spans="1:5" s="506" customFormat="1" ht="12.75">
      <c r="A91" s="512"/>
      <c r="B91" s="516" t="s">
        <v>926</v>
      </c>
      <c r="C91" s="524">
        <f>SUM(C83+C90)</f>
        <v>0.4961284636510531</v>
      </c>
      <c r="D91" s="524">
        <f>SUM(D83+D90)</f>
        <v>0.4944112821645747</v>
      </c>
      <c r="E91" s="525">
        <f t="shared" si="9"/>
        <v>-0.0017171814864784252</v>
      </c>
    </row>
    <row r="92" spans="1:5" s="506" customFormat="1" ht="12.75">
      <c r="A92" s="512"/>
      <c r="B92" s="499"/>
      <c r="C92" s="526"/>
      <c r="D92" s="526"/>
      <c r="E92" s="516"/>
    </row>
    <row r="93" spans="1:5" s="506" customFormat="1" ht="12.75">
      <c r="A93" s="508" t="s">
        <v>184</v>
      </c>
      <c r="B93" s="522" t="s">
        <v>927</v>
      </c>
      <c r="C93" s="526"/>
      <c r="D93" s="526"/>
      <c r="E93" s="516"/>
    </row>
    <row r="94" spans="1:5" s="506" customFormat="1" ht="12.75">
      <c r="A94" s="512"/>
      <c r="B94" s="511"/>
      <c r="C94" s="526"/>
      <c r="D94" s="526"/>
      <c r="E94" s="516"/>
    </row>
    <row r="95" spans="1:5" s="506" customFormat="1" ht="12.75">
      <c r="A95" s="512">
        <v>1</v>
      </c>
      <c r="B95" s="511" t="s">
        <v>781</v>
      </c>
      <c r="C95" s="523">
        <f aca="true" t="shared" si="10" ref="C95:D101">IF(C$44=0,0,C25/C$44)</f>
        <v>0.2689660678057378</v>
      </c>
      <c r="D95" s="523">
        <f t="shared" si="10"/>
        <v>0.2618942016684426</v>
      </c>
      <c r="E95" s="523">
        <f aca="true" t="shared" si="11" ref="E95:E103">D95-C95</f>
        <v>-0.0070718661372951575</v>
      </c>
    </row>
    <row r="96" spans="1:5" s="506" customFormat="1" ht="12.75">
      <c r="A96" s="512">
        <v>2</v>
      </c>
      <c r="B96" s="511" t="s">
        <v>760</v>
      </c>
      <c r="C96" s="523">
        <f t="shared" si="10"/>
        <v>0.16474696751154985</v>
      </c>
      <c r="D96" s="523">
        <f t="shared" si="10"/>
        <v>0.16422708427256427</v>
      </c>
      <c r="E96" s="523">
        <f t="shared" si="11"/>
        <v>-0.0005198832389855801</v>
      </c>
    </row>
    <row r="97" spans="1:5" s="506" customFormat="1" ht="12.75">
      <c r="A97" s="512">
        <v>3</v>
      </c>
      <c r="B97" s="511" t="s">
        <v>906</v>
      </c>
      <c r="C97" s="523">
        <f t="shared" si="10"/>
        <v>0.06933185901964568</v>
      </c>
      <c r="D97" s="523">
        <f t="shared" si="10"/>
        <v>0.07866299794948926</v>
      </c>
      <c r="E97" s="523">
        <f t="shared" si="11"/>
        <v>0.00933113892984358</v>
      </c>
    </row>
    <row r="98" spans="1:5" s="506" customFormat="1" ht="12.75">
      <c r="A98" s="512">
        <v>4</v>
      </c>
      <c r="B98" s="511" t="s">
        <v>272</v>
      </c>
      <c r="C98" s="523">
        <f t="shared" si="10"/>
        <v>0.05696389547627768</v>
      </c>
      <c r="D98" s="523">
        <f t="shared" si="10"/>
        <v>0.062151607413313756</v>
      </c>
      <c r="E98" s="523">
        <f t="shared" si="11"/>
        <v>0.005187711937036078</v>
      </c>
    </row>
    <row r="99" spans="1:5" s="506" customFormat="1" ht="12.75">
      <c r="A99" s="512">
        <v>5</v>
      </c>
      <c r="B99" s="511" t="s">
        <v>873</v>
      </c>
      <c r="C99" s="523">
        <f t="shared" si="10"/>
        <v>0.012367963543367997</v>
      </c>
      <c r="D99" s="523">
        <f t="shared" si="10"/>
        <v>0.016511390536175508</v>
      </c>
      <c r="E99" s="523">
        <f t="shared" si="11"/>
        <v>0.00414342699280751</v>
      </c>
    </row>
    <row r="100" spans="1:5" s="506" customFormat="1" ht="12.75">
      <c r="A100" s="512">
        <v>6</v>
      </c>
      <c r="B100" s="511" t="s">
        <v>576</v>
      </c>
      <c r="C100" s="523">
        <f t="shared" si="10"/>
        <v>0.0008266420120135262</v>
      </c>
      <c r="D100" s="523">
        <f t="shared" si="10"/>
        <v>0.0008044339449291017</v>
      </c>
      <c r="E100" s="523">
        <f t="shared" si="11"/>
        <v>-2.220806708442451E-05</v>
      </c>
    </row>
    <row r="101" spans="1:5" s="506" customFormat="1" ht="12.75">
      <c r="A101" s="512">
        <v>7</v>
      </c>
      <c r="B101" s="511" t="s">
        <v>888</v>
      </c>
      <c r="C101" s="523">
        <f t="shared" si="10"/>
        <v>0.019774747579440918</v>
      </c>
      <c r="D101" s="523">
        <f t="shared" si="10"/>
        <v>0.020085985770998013</v>
      </c>
      <c r="E101" s="523">
        <f t="shared" si="11"/>
        <v>0.000311238191557095</v>
      </c>
    </row>
    <row r="102" spans="1:5" s="506" customFormat="1" ht="12.75">
      <c r="A102" s="512"/>
      <c r="B102" s="516" t="s">
        <v>928</v>
      </c>
      <c r="C102" s="524">
        <f>SUM(C96+C97+C100)</f>
        <v>0.23490546854320907</v>
      </c>
      <c r="D102" s="524">
        <f>SUM(D96+D97+D100)</f>
        <v>0.24369451616698265</v>
      </c>
      <c r="E102" s="525">
        <f t="shared" si="11"/>
        <v>0.008789047623773583</v>
      </c>
    </row>
    <row r="103" spans="1:5" s="506" customFormat="1" ht="12.75">
      <c r="A103" s="512"/>
      <c r="B103" s="516" t="s">
        <v>929</v>
      </c>
      <c r="C103" s="524">
        <f>SUM(C95+C102)</f>
        <v>0.5038715363489469</v>
      </c>
      <c r="D103" s="524">
        <f>SUM(D95+D102)</f>
        <v>0.5055887178354252</v>
      </c>
      <c r="E103" s="525">
        <f t="shared" si="11"/>
        <v>0.0017171814864783697</v>
      </c>
    </row>
    <row r="104" spans="1:5" s="506" customFormat="1" ht="12.75">
      <c r="A104" s="505"/>
      <c r="B104" s="527"/>
      <c r="C104" s="525"/>
      <c r="D104" s="523"/>
      <c r="E104" s="524"/>
    </row>
    <row r="105" spans="1:5" s="506" customFormat="1" ht="12.75">
      <c r="A105" s="505"/>
      <c r="B105" s="527" t="s">
        <v>930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ht="12.75">
      <c r="A106" s="508"/>
      <c r="B106" s="510"/>
      <c r="C106" s="528"/>
      <c r="D106" s="528"/>
      <c r="E106" s="524"/>
    </row>
    <row r="107" spans="1:5" s="506" customFormat="1" ht="12.75">
      <c r="A107" s="508" t="s">
        <v>194</v>
      </c>
      <c r="B107" s="522" t="s">
        <v>931</v>
      </c>
      <c r="C107" s="528"/>
      <c r="D107" s="528"/>
      <c r="E107" s="524"/>
    </row>
    <row r="108" spans="1:5" s="506" customFormat="1" ht="12.75">
      <c r="A108" s="508"/>
      <c r="B108" s="510"/>
      <c r="C108" s="528"/>
      <c r="D108" s="528"/>
      <c r="E108" s="524"/>
    </row>
    <row r="109" spans="1:5" s="506" customFormat="1" ht="12.75">
      <c r="A109" s="512">
        <v>1</v>
      </c>
      <c r="B109" s="511" t="s">
        <v>781</v>
      </c>
      <c r="C109" s="523">
        <f aca="true" t="shared" si="12" ref="C109:D115">IF(C$77=0,0,C47/C$77)</f>
        <v>0.17525340773915507</v>
      </c>
      <c r="D109" s="523">
        <f t="shared" si="12"/>
        <v>0.18413390551080044</v>
      </c>
      <c r="E109" s="523">
        <f aca="true" t="shared" si="13" ref="E109:E117">D109-C109</f>
        <v>0.008880497771645374</v>
      </c>
    </row>
    <row r="110" spans="1:5" s="506" customFormat="1" ht="12.75">
      <c r="A110" s="512">
        <v>2</v>
      </c>
      <c r="B110" s="511" t="s">
        <v>760</v>
      </c>
      <c r="C110" s="523">
        <f t="shared" si="12"/>
        <v>0.2759206689317075</v>
      </c>
      <c r="D110" s="523">
        <f t="shared" si="12"/>
        <v>0.2644241053429122</v>
      </c>
      <c r="E110" s="523">
        <f t="shared" si="13"/>
        <v>-0.011496563588795305</v>
      </c>
    </row>
    <row r="111" spans="1:5" s="506" customFormat="1" ht="12.75">
      <c r="A111" s="512">
        <v>3</v>
      </c>
      <c r="B111" s="511" t="s">
        <v>906</v>
      </c>
      <c r="C111" s="523">
        <f t="shared" si="12"/>
        <v>0.044618105739581276</v>
      </c>
      <c r="D111" s="523">
        <f t="shared" si="12"/>
        <v>0.045758853518757484</v>
      </c>
      <c r="E111" s="523">
        <f t="shared" si="13"/>
        <v>0.0011407477791762072</v>
      </c>
    </row>
    <row r="112" spans="1:5" s="506" customFormat="1" ht="12.75">
      <c r="A112" s="512">
        <v>4</v>
      </c>
      <c r="B112" s="511" t="s">
        <v>272</v>
      </c>
      <c r="C112" s="523">
        <f t="shared" si="12"/>
        <v>0.03966539603525458</v>
      </c>
      <c r="D112" s="523">
        <f t="shared" si="12"/>
        <v>0.04040032385032522</v>
      </c>
      <c r="E112" s="523">
        <f t="shared" si="13"/>
        <v>0.0007349278150706393</v>
      </c>
    </row>
    <row r="113" spans="1:5" s="506" customFormat="1" ht="12.75">
      <c r="A113" s="512">
        <v>5</v>
      </c>
      <c r="B113" s="511" t="s">
        <v>873</v>
      </c>
      <c r="C113" s="523">
        <f t="shared" si="12"/>
        <v>0.004952709704326694</v>
      </c>
      <c r="D113" s="523">
        <f t="shared" si="12"/>
        <v>0.005358529668432259</v>
      </c>
      <c r="E113" s="523">
        <f t="shared" si="13"/>
        <v>0.0004058199641055653</v>
      </c>
    </row>
    <row r="114" spans="1:5" s="506" customFormat="1" ht="12.75">
      <c r="A114" s="512">
        <v>6</v>
      </c>
      <c r="B114" s="511" t="s">
        <v>576</v>
      </c>
      <c r="C114" s="523">
        <f t="shared" si="12"/>
        <v>0.00019029180933817882</v>
      </c>
      <c r="D114" s="523">
        <f t="shared" si="12"/>
        <v>0.0005190535312444384</v>
      </c>
      <c r="E114" s="523">
        <f t="shared" si="13"/>
        <v>0.0003287617219062596</v>
      </c>
    </row>
    <row r="115" spans="1:5" s="506" customFormat="1" ht="12.75">
      <c r="A115" s="512">
        <v>7</v>
      </c>
      <c r="B115" s="511" t="s">
        <v>888</v>
      </c>
      <c r="C115" s="523">
        <f t="shared" si="12"/>
        <v>0.001323391896257064</v>
      </c>
      <c r="D115" s="523">
        <f t="shared" si="12"/>
        <v>0.0007580642039969752</v>
      </c>
      <c r="E115" s="523">
        <f t="shared" si="13"/>
        <v>-0.0005653276922600888</v>
      </c>
    </row>
    <row r="116" spans="1:5" s="506" customFormat="1" ht="12.75">
      <c r="A116" s="512"/>
      <c r="B116" s="516" t="s">
        <v>925</v>
      </c>
      <c r="C116" s="524">
        <f>SUM(C110+C111+C114)</f>
        <v>0.32072906648062693</v>
      </c>
      <c r="D116" s="524">
        <f>SUM(D110+D111+D114)</f>
        <v>0.3107020123929141</v>
      </c>
      <c r="E116" s="525">
        <f t="shared" si="13"/>
        <v>-0.010027054087712817</v>
      </c>
    </row>
    <row r="117" spans="1:5" s="506" customFormat="1" ht="12.75">
      <c r="A117" s="512"/>
      <c r="B117" s="516" t="s">
        <v>926</v>
      </c>
      <c r="C117" s="524">
        <f>SUM(C109+C116)</f>
        <v>0.49598247421978203</v>
      </c>
      <c r="D117" s="524">
        <f>SUM(D109+D116)</f>
        <v>0.49483591790371456</v>
      </c>
      <c r="E117" s="525">
        <f t="shared" si="13"/>
        <v>-0.0011465563160674708</v>
      </c>
    </row>
    <row r="118" spans="1:5" s="506" customFormat="1" ht="12.75">
      <c r="A118" s="508"/>
      <c r="B118" s="510"/>
      <c r="C118" s="526"/>
      <c r="D118" s="526"/>
      <c r="E118" s="524"/>
    </row>
    <row r="119" spans="1:5" s="506" customFormat="1" ht="12.75">
      <c r="A119" s="508" t="s">
        <v>479</v>
      </c>
      <c r="B119" s="522" t="s">
        <v>932</v>
      </c>
      <c r="C119" s="526"/>
      <c r="D119" s="526"/>
      <c r="E119" s="524"/>
    </row>
    <row r="120" spans="1:5" s="506" customFormat="1" ht="12.75">
      <c r="A120" s="508"/>
      <c r="B120" s="510"/>
      <c r="C120" s="526"/>
      <c r="D120" s="526"/>
      <c r="E120" s="524"/>
    </row>
    <row r="121" spans="1:5" s="506" customFormat="1" ht="12.75">
      <c r="A121" s="512">
        <v>1</v>
      </c>
      <c r="B121" s="511" t="s">
        <v>781</v>
      </c>
      <c r="C121" s="523">
        <f aca="true" t="shared" si="14" ref="C121:D127">IF(C$77=0,0,C58/C$77)</f>
        <v>0.3506511414448147</v>
      </c>
      <c r="D121" s="523">
        <f t="shared" si="14"/>
        <v>0.3463694026729912</v>
      </c>
      <c r="E121" s="523">
        <f aca="true" t="shared" si="15" ref="E121:E129">D121-C121</f>
        <v>-0.004281738771823473</v>
      </c>
    </row>
    <row r="122" spans="1:5" s="506" customFormat="1" ht="12.75">
      <c r="A122" s="512">
        <v>2</v>
      </c>
      <c r="B122" s="511" t="s">
        <v>760</v>
      </c>
      <c r="C122" s="523">
        <f t="shared" si="14"/>
        <v>0.11334940170797446</v>
      </c>
      <c r="D122" s="523">
        <f t="shared" si="14"/>
        <v>0.1118466764957768</v>
      </c>
      <c r="E122" s="523">
        <f t="shared" si="15"/>
        <v>-0.0015027252121976586</v>
      </c>
    </row>
    <row r="123" spans="1:5" s="506" customFormat="1" ht="12.75">
      <c r="A123" s="512">
        <v>3</v>
      </c>
      <c r="B123" s="511" t="s">
        <v>906</v>
      </c>
      <c r="C123" s="523">
        <f t="shared" si="14"/>
        <v>0.0392154116527806</v>
      </c>
      <c r="D123" s="523">
        <f t="shared" si="14"/>
        <v>0.046405013954591665</v>
      </c>
      <c r="E123" s="523">
        <f t="shared" si="15"/>
        <v>0.0071896023018110655</v>
      </c>
    </row>
    <row r="124" spans="1:5" s="506" customFormat="1" ht="12.75">
      <c r="A124" s="512">
        <v>4</v>
      </c>
      <c r="B124" s="511" t="s">
        <v>272</v>
      </c>
      <c r="C124" s="523">
        <f t="shared" si="14"/>
        <v>0.03533932720306855</v>
      </c>
      <c r="D124" s="523">
        <f t="shared" si="14"/>
        <v>0.04223308878275265</v>
      </c>
      <c r="E124" s="523">
        <f t="shared" si="15"/>
        <v>0.006893761579684098</v>
      </c>
    </row>
    <row r="125" spans="1:5" s="506" customFormat="1" ht="12.75">
      <c r="A125" s="512">
        <v>5</v>
      </c>
      <c r="B125" s="511" t="s">
        <v>873</v>
      </c>
      <c r="C125" s="523">
        <f t="shared" si="14"/>
        <v>0.003876084449712053</v>
      </c>
      <c r="D125" s="523">
        <f t="shared" si="14"/>
        <v>0.004171925171839013</v>
      </c>
      <c r="E125" s="523">
        <f t="shared" si="15"/>
        <v>0.0002958407221269597</v>
      </c>
    </row>
    <row r="126" spans="1:5" s="506" customFormat="1" ht="12.75">
      <c r="A126" s="512">
        <v>6</v>
      </c>
      <c r="B126" s="511" t="s">
        <v>576</v>
      </c>
      <c r="C126" s="523">
        <f t="shared" si="14"/>
        <v>0.0008015709746481929</v>
      </c>
      <c r="D126" s="523">
        <f t="shared" si="14"/>
        <v>0.0005429889729257348</v>
      </c>
      <c r="E126" s="523">
        <f t="shared" si="15"/>
        <v>-0.00025858200172245815</v>
      </c>
    </row>
    <row r="127" spans="1:5" s="506" customFormat="1" ht="12.75">
      <c r="A127" s="512">
        <v>7</v>
      </c>
      <c r="B127" s="511" t="s">
        <v>888</v>
      </c>
      <c r="C127" s="523">
        <f t="shared" si="14"/>
        <v>0.0016786886513805652</v>
      </c>
      <c r="D127" s="523">
        <f t="shared" si="14"/>
        <v>0.002229107864697055</v>
      </c>
      <c r="E127" s="523">
        <f t="shared" si="15"/>
        <v>0.0005504192133164898</v>
      </c>
    </row>
    <row r="128" spans="1:5" s="506" customFormat="1" ht="12.75">
      <c r="A128" s="512"/>
      <c r="B128" s="516" t="s">
        <v>928</v>
      </c>
      <c r="C128" s="524">
        <f>SUM(C122+C123+C126)</f>
        <v>0.15336638433540326</v>
      </c>
      <c r="D128" s="524">
        <f>SUM(D122+D123+D126)</f>
        <v>0.1587946794232942</v>
      </c>
      <c r="E128" s="525">
        <f t="shared" si="15"/>
        <v>0.005428295087890944</v>
      </c>
    </row>
    <row r="129" spans="1:5" s="506" customFormat="1" ht="12.75">
      <c r="A129" s="512"/>
      <c r="B129" s="516" t="s">
        <v>929</v>
      </c>
      <c r="C129" s="524">
        <f>SUM(C121+C128)</f>
        <v>0.504017525780218</v>
      </c>
      <c r="D129" s="524">
        <f>SUM(D121+D128)</f>
        <v>0.5051640820962854</v>
      </c>
      <c r="E129" s="525">
        <f t="shared" si="15"/>
        <v>0.0011465563160674153</v>
      </c>
    </row>
    <row r="130" spans="1:5" s="506" customFormat="1" ht="12.75">
      <c r="A130" s="512"/>
      <c r="B130" s="516"/>
      <c r="C130" s="525"/>
      <c r="D130" s="523"/>
      <c r="E130" s="524"/>
    </row>
    <row r="131" spans="1:5" s="506" customFormat="1" ht="12.75">
      <c r="A131" s="512"/>
      <c r="B131" s="527" t="s">
        <v>933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ht="12.75">
      <c r="A132" s="512"/>
      <c r="B132" s="511"/>
      <c r="C132" s="514"/>
      <c r="D132" s="514"/>
      <c r="E132" s="511"/>
    </row>
    <row r="133" spans="1:5" s="506" customFormat="1" ht="15.75" customHeight="1">
      <c r="A133" s="529" t="s">
        <v>293</v>
      </c>
      <c r="B133" s="501" t="s">
        <v>934</v>
      </c>
      <c r="C133" s="491"/>
      <c r="D133" s="491"/>
      <c r="E133" s="516"/>
    </row>
    <row r="134" spans="1:5" s="506" customFormat="1" ht="12.75">
      <c r="A134" s="512"/>
      <c r="B134" s="511"/>
      <c r="C134" s="340"/>
      <c r="D134" s="340"/>
      <c r="E134" s="511"/>
    </row>
    <row r="135" spans="1:5" s="506" customFormat="1" ht="12.75">
      <c r="A135" s="508" t="s">
        <v>172</v>
      </c>
      <c r="B135" s="509" t="s">
        <v>935</v>
      </c>
      <c r="C135" s="340"/>
      <c r="D135" s="340"/>
      <c r="E135" s="511"/>
    </row>
    <row r="136" spans="1:5" s="506" customFormat="1" ht="12.75">
      <c r="A136" s="512"/>
      <c r="B136" s="511"/>
      <c r="C136" s="511"/>
      <c r="D136" s="511"/>
      <c r="E136" s="511"/>
    </row>
    <row r="137" spans="1:5" s="506" customFormat="1" ht="12.75">
      <c r="A137" s="512">
        <v>1</v>
      </c>
      <c r="B137" s="511" t="s">
        <v>781</v>
      </c>
      <c r="C137" s="530">
        <v>3369</v>
      </c>
      <c r="D137" s="530">
        <v>3390</v>
      </c>
      <c r="E137" s="531">
        <f aca="true" t="shared" si="16" ref="E137:E145">D137-C137</f>
        <v>21</v>
      </c>
    </row>
    <row r="138" spans="1:5" s="506" customFormat="1" ht="12.75">
      <c r="A138" s="512">
        <v>2</v>
      </c>
      <c r="B138" s="511" t="s">
        <v>760</v>
      </c>
      <c r="C138" s="530">
        <v>4630</v>
      </c>
      <c r="D138" s="530">
        <v>4708</v>
      </c>
      <c r="E138" s="531">
        <f t="shared" si="16"/>
        <v>78</v>
      </c>
    </row>
    <row r="139" spans="1:5" s="506" customFormat="1" ht="12.75">
      <c r="A139" s="512">
        <v>3</v>
      </c>
      <c r="B139" s="511" t="s">
        <v>906</v>
      </c>
      <c r="C139" s="530">
        <f>C140+C141</f>
        <v>1718</v>
      </c>
      <c r="D139" s="530">
        <f>D140+D141</f>
        <v>1847</v>
      </c>
      <c r="E139" s="531">
        <f t="shared" si="16"/>
        <v>129</v>
      </c>
    </row>
    <row r="140" spans="1:5" s="506" customFormat="1" ht="12.75">
      <c r="A140" s="512">
        <v>4</v>
      </c>
      <c r="B140" s="511" t="s">
        <v>272</v>
      </c>
      <c r="C140" s="530">
        <v>1516</v>
      </c>
      <c r="D140" s="530">
        <v>1542</v>
      </c>
      <c r="E140" s="531">
        <f t="shared" si="16"/>
        <v>26</v>
      </c>
    </row>
    <row r="141" spans="1:5" s="506" customFormat="1" ht="12.75">
      <c r="A141" s="512">
        <v>5</v>
      </c>
      <c r="B141" s="511" t="s">
        <v>873</v>
      </c>
      <c r="C141" s="530">
        <v>202</v>
      </c>
      <c r="D141" s="530">
        <v>305</v>
      </c>
      <c r="E141" s="531">
        <f t="shared" si="16"/>
        <v>103</v>
      </c>
    </row>
    <row r="142" spans="1:5" s="506" customFormat="1" ht="12.75">
      <c r="A142" s="512">
        <v>6</v>
      </c>
      <c r="B142" s="511" t="s">
        <v>576</v>
      </c>
      <c r="C142" s="530">
        <v>5</v>
      </c>
      <c r="D142" s="530">
        <v>10</v>
      </c>
      <c r="E142" s="531">
        <f t="shared" si="16"/>
        <v>5</v>
      </c>
    </row>
    <row r="143" spans="1:5" s="506" customFormat="1" ht="12.75">
      <c r="A143" s="512">
        <v>7</v>
      </c>
      <c r="B143" s="511" t="s">
        <v>888</v>
      </c>
      <c r="C143" s="530">
        <v>297</v>
      </c>
      <c r="D143" s="530">
        <v>302</v>
      </c>
      <c r="E143" s="531">
        <f t="shared" si="16"/>
        <v>5</v>
      </c>
    </row>
    <row r="144" spans="1:5" s="506" customFormat="1" ht="12.75">
      <c r="A144" s="512"/>
      <c r="B144" s="516" t="s">
        <v>936</v>
      </c>
      <c r="C144" s="532">
        <f>SUM(C138+C139+C142)</f>
        <v>6353</v>
      </c>
      <c r="D144" s="532">
        <f>SUM(D138+D139+D142)</f>
        <v>6565</v>
      </c>
      <c r="E144" s="533">
        <f t="shared" si="16"/>
        <v>212</v>
      </c>
    </row>
    <row r="145" spans="1:5" s="506" customFormat="1" ht="12.75">
      <c r="A145" s="512"/>
      <c r="B145" s="516" t="s">
        <v>850</v>
      </c>
      <c r="C145" s="532">
        <f>SUM(C137+C144)</f>
        <v>9722</v>
      </c>
      <c r="D145" s="532">
        <f>SUM(D137+D144)</f>
        <v>9955</v>
      </c>
      <c r="E145" s="533">
        <f t="shared" si="16"/>
        <v>233</v>
      </c>
    </row>
    <row r="146" spans="1:5" s="506" customFormat="1" ht="12.75">
      <c r="A146" s="512"/>
      <c r="B146" s="511"/>
      <c r="C146" s="534"/>
      <c r="D146" s="534"/>
      <c r="E146" s="511"/>
    </row>
    <row r="147" spans="1:5" s="506" customFormat="1" ht="12.75">
      <c r="A147" s="508" t="s">
        <v>184</v>
      </c>
      <c r="B147" s="509" t="s">
        <v>297</v>
      </c>
      <c r="C147" s="534"/>
      <c r="D147" s="534"/>
      <c r="E147" s="511"/>
    </row>
    <row r="148" spans="1:5" s="506" customFormat="1" ht="12.75">
      <c r="A148" s="512"/>
      <c r="B148" s="511"/>
      <c r="C148" s="534"/>
      <c r="D148" s="534"/>
      <c r="E148" s="511"/>
    </row>
    <row r="149" spans="1:5" s="506" customFormat="1" ht="12.75">
      <c r="A149" s="512">
        <v>1</v>
      </c>
      <c r="B149" s="511" t="s">
        <v>781</v>
      </c>
      <c r="C149" s="534">
        <v>12385</v>
      </c>
      <c r="D149" s="534">
        <v>11767</v>
      </c>
      <c r="E149" s="531">
        <f aca="true" t="shared" si="17" ref="E149:E157">D149-C149</f>
        <v>-618</v>
      </c>
    </row>
    <row r="150" spans="1:5" s="506" customFormat="1" ht="12.75">
      <c r="A150" s="512">
        <v>2</v>
      </c>
      <c r="B150" s="511" t="s">
        <v>760</v>
      </c>
      <c r="C150" s="534">
        <v>26090</v>
      </c>
      <c r="D150" s="534">
        <v>24457</v>
      </c>
      <c r="E150" s="531">
        <f t="shared" si="17"/>
        <v>-1633</v>
      </c>
    </row>
    <row r="151" spans="1:5" s="506" customFormat="1" ht="12.75">
      <c r="A151" s="512">
        <v>3</v>
      </c>
      <c r="B151" s="511" t="s">
        <v>906</v>
      </c>
      <c r="C151" s="534">
        <f>C152+C153</f>
        <v>6866</v>
      </c>
      <c r="D151" s="534">
        <f>D152+D153</f>
        <v>6592</v>
      </c>
      <c r="E151" s="531">
        <f t="shared" si="17"/>
        <v>-274</v>
      </c>
    </row>
    <row r="152" spans="1:5" s="506" customFormat="1" ht="12.75">
      <c r="A152" s="512">
        <v>4</v>
      </c>
      <c r="B152" s="511" t="s">
        <v>272</v>
      </c>
      <c r="C152" s="534">
        <v>5662</v>
      </c>
      <c r="D152" s="534">
        <v>5160</v>
      </c>
      <c r="E152" s="531">
        <f t="shared" si="17"/>
        <v>-502</v>
      </c>
    </row>
    <row r="153" spans="1:5" s="506" customFormat="1" ht="12.75">
      <c r="A153" s="512">
        <v>5</v>
      </c>
      <c r="B153" s="511" t="s">
        <v>873</v>
      </c>
      <c r="C153" s="535">
        <v>1204</v>
      </c>
      <c r="D153" s="534">
        <v>1432</v>
      </c>
      <c r="E153" s="531">
        <f t="shared" si="17"/>
        <v>228</v>
      </c>
    </row>
    <row r="154" spans="1:5" s="506" customFormat="1" ht="12.75">
      <c r="A154" s="512">
        <v>6</v>
      </c>
      <c r="B154" s="511" t="s">
        <v>576</v>
      </c>
      <c r="C154" s="534">
        <v>22</v>
      </c>
      <c r="D154" s="534">
        <v>57</v>
      </c>
      <c r="E154" s="531">
        <f t="shared" si="17"/>
        <v>35</v>
      </c>
    </row>
    <row r="155" spans="1:5" s="506" customFormat="1" ht="12.75">
      <c r="A155" s="512">
        <v>7</v>
      </c>
      <c r="B155" s="511" t="s">
        <v>888</v>
      </c>
      <c r="C155" s="534">
        <v>1367</v>
      </c>
      <c r="D155" s="534">
        <v>1077</v>
      </c>
      <c r="E155" s="531">
        <f t="shared" si="17"/>
        <v>-290</v>
      </c>
    </row>
    <row r="156" spans="1:5" s="506" customFormat="1" ht="12.75">
      <c r="A156" s="512"/>
      <c r="B156" s="516" t="s">
        <v>937</v>
      </c>
      <c r="C156" s="532">
        <f>SUM(C150+C151+C154)</f>
        <v>32978</v>
      </c>
      <c r="D156" s="532">
        <f>SUM(D150+D151+D154)</f>
        <v>31106</v>
      </c>
      <c r="E156" s="533">
        <f t="shared" si="17"/>
        <v>-1872</v>
      </c>
    </row>
    <row r="157" spans="1:5" s="506" customFormat="1" ht="12.75">
      <c r="A157" s="512"/>
      <c r="B157" s="516" t="s">
        <v>938</v>
      </c>
      <c r="C157" s="532">
        <f>SUM(C149+C156)</f>
        <v>45363</v>
      </c>
      <c r="D157" s="532">
        <f>SUM(D149+D156)</f>
        <v>42873</v>
      </c>
      <c r="E157" s="533">
        <f t="shared" si="17"/>
        <v>-2490</v>
      </c>
    </row>
    <row r="158" spans="1:5" s="506" customFormat="1" ht="12.75">
      <c r="A158" s="512"/>
      <c r="B158" s="511"/>
      <c r="C158" s="534"/>
      <c r="D158" s="534"/>
      <c r="E158" s="511"/>
    </row>
    <row r="159" spans="1:5" s="506" customFormat="1" ht="12.75">
      <c r="A159" s="508" t="s">
        <v>194</v>
      </c>
      <c r="B159" s="509" t="s">
        <v>939</v>
      </c>
      <c r="C159" s="534"/>
      <c r="D159" s="534"/>
      <c r="E159" s="511"/>
    </row>
    <row r="160" spans="1:5" s="506" customFormat="1" ht="12.75">
      <c r="A160" s="512"/>
      <c r="B160" s="511"/>
      <c r="C160" s="534"/>
      <c r="D160" s="534"/>
      <c r="E160" s="511"/>
    </row>
    <row r="161" spans="1:5" s="506" customFormat="1" ht="12.75">
      <c r="A161" s="512">
        <v>1</v>
      </c>
      <c r="B161" s="511" t="s">
        <v>781</v>
      </c>
      <c r="C161" s="536">
        <f aca="true" t="shared" si="18" ref="C161:D169">IF(C137=0,0,C149/C137)</f>
        <v>3.6761650341347583</v>
      </c>
      <c r="D161" s="536">
        <f t="shared" si="18"/>
        <v>3.4710914454277284</v>
      </c>
      <c r="E161" s="537">
        <f aca="true" t="shared" si="19" ref="E161:E169">D161-C161</f>
        <v>-0.20507358870702985</v>
      </c>
    </row>
    <row r="162" spans="1:5" s="506" customFormat="1" ht="12.75">
      <c r="A162" s="512">
        <v>2</v>
      </c>
      <c r="B162" s="511" t="s">
        <v>760</v>
      </c>
      <c r="C162" s="536">
        <f t="shared" si="18"/>
        <v>5.634989200863931</v>
      </c>
      <c r="D162" s="536">
        <f t="shared" si="18"/>
        <v>5.194774851316907</v>
      </c>
      <c r="E162" s="537">
        <f t="shared" si="19"/>
        <v>-0.44021434954702343</v>
      </c>
    </row>
    <row r="163" spans="1:5" s="506" customFormat="1" ht="12.75">
      <c r="A163" s="512">
        <v>3</v>
      </c>
      <c r="B163" s="511" t="s">
        <v>906</v>
      </c>
      <c r="C163" s="536">
        <f t="shared" si="18"/>
        <v>3.9965075669383006</v>
      </c>
      <c r="D163" s="536">
        <f t="shared" si="18"/>
        <v>3.5690308608554413</v>
      </c>
      <c r="E163" s="537">
        <f t="shared" si="19"/>
        <v>-0.42747670608285926</v>
      </c>
    </row>
    <row r="164" spans="1:5" s="506" customFormat="1" ht="12.75">
      <c r="A164" s="512">
        <v>4</v>
      </c>
      <c r="B164" s="511" t="s">
        <v>272</v>
      </c>
      <c r="C164" s="536">
        <f t="shared" si="18"/>
        <v>3.7348284960422165</v>
      </c>
      <c r="D164" s="536">
        <f t="shared" si="18"/>
        <v>3.3463035019455254</v>
      </c>
      <c r="E164" s="537">
        <f t="shared" si="19"/>
        <v>-0.38852499409669106</v>
      </c>
    </row>
    <row r="165" spans="1:5" s="506" customFormat="1" ht="12.75">
      <c r="A165" s="512">
        <v>5</v>
      </c>
      <c r="B165" s="511" t="s">
        <v>873</v>
      </c>
      <c r="C165" s="536">
        <f t="shared" si="18"/>
        <v>5.96039603960396</v>
      </c>
      <c r="D165" s="536">
        <f t="shared" si="18"/>
        <v>4.695081967213115</v>
      </c>
      <c r="E165" s="537">
        <f t="shared" si="19"/>
        <v>-1.2653140723908454</v>
      </c>
    </row>
    <row r="166" spans="1:5" s="506" customFormat="1" ht="12.75">
      <c r="A166" s="512">
        <v>6</v>
      </c>
      <c r="B166" s="511" t="s">
        <v>576</v>
      </c>
      <c r="C166" s="536">
        <f t="shared" si="18"/>
        <v>4.4</v>
      </c>
      <c r="D166" s="536">
        <f t="shared" si="18"/>
        <v>5.7</v>
      </c>
      <c r="E166" s="537">
        <f t="shared" si="19"/>
        <v>1.2999999999999998</v>
      </c>
    </row>
    <row r="167" spans="1:5" s="506" customFormat="1" ht="12.75">
      <c r="A167" s="512">
        <v>7</v>
      </c>
      <c r="B167" s="511" t="s">
        <v>888</v>
      </c>
      <c r="C167" s="536">
        <f t="shared" si="18"/>
        <v>4.602693602693603</v>
      </c>
      <c r="D167" s="536">
        <f t="shared" si="18"/>
        <v>3.566225165562914</v>
      </c>
      <c r="E167" s="537">
        <f t="shared" si="19"/>
        <v>-1.0364684371306891</v>
      </c>
    </row>
    <row r="168" spans="1:5" s="506" customFormat="1" ht="12.75">
      <c r="A168" s="512"/>
      <c r="B168" s="516" t="s">
        <v>940</v>
      </c>
      <c r="C168" s="538">
        <f t="shared" si="18"/>
        <v>5.190933417283174</v>
      </c>
      <c r="D168" s="538">
        <f t="shared" si="18"/>
        <v>4.738156892612338</v>
      </c>
      <c r="E168" s="539">
        <f t="shared" si="19"/>
        <v>-0.45277652467083573</v>
      </c>
    </row>
    <row r="169" spans="1:5" s="506" customFormat="1" ht="12.75">
      <c r="A169" s="512"/>
      <c r="B169" s="516" t="s">
        <v>874</v>
      </c>
      <c r="C169" s="538">
        <f t="shared" si="18"/>
        <v>4.666015223205102</v>
      </c>
      <c r="D169" s="538">
        <f t="shared" si="18"/>
        <v>4.30668006027122</v>
      </c>
      <c r="E169" s="539">
        <f t="shared" si="19"/>
        <v>-0.3593351629338821</v>
      </c>
    </row>
    <row r="170" spans="1:5" s="506" customFormat="1" ht="12.75">
      <c r="A170" s="512"/>
      <c r="B170" s="511"/>
      <c r="C170" s="534"/>
      <c r="D170" s="534"/>
      <c r="E170" s="540"/>
    </row>
    <row r="171" spans="1:5" s="506" customFormat="1" ht="12.75">
      <c r="A171" s="508" t="s">
        <v>479</v>
      </c>
      <c r="B171" s="509" t="s">
        <v>941</v>
      </c>
      <c r="C171" s="511"/>
      <c r="D171" s="511"/>
      <c r="E171" s="540"/>
    </row>
    <row r="172" spans="1:5" s="506" customFormat="1" ht="12.75">
      <c r="A172" s="512"/>
      <c r="B172" s="511"/>
      <c r="C172" s="511"/>
      <c r="D172" s="511"/>
      <c r="E172" s="540"/>
    </row>
    <row r="173" spans="1:5" s="506" customFormat="1" ht="12.75">
      <c r="A173" s="512">
        <v>1</v>
      </c>
      <c r="B173" s="511" t="s">
        <v>781</v>
      </c>
      <c r="C173" s="541">
        <f aca="true" t="shared" si="20" ref="C173:D181">IF(C137=0,0,C203/C137)</f>
        <v>0.97765</v>
      </c>
      <c r="D173" s="541">
        <f t="shared" si="20"/>
        <v>1.00835</v>
      </c>
      <c r="E173" s="542">
        <f aca="true" t="shared" si="21" ref="E173:E181">D173-C173</f>
        <v>0.03070000000000006</v>
      </c>
    </row>
    <row r="174" spans="1:5" s="506" customFormat="1" ht="12.75">
      <c r="A174" s="512">
        <v>2</v>
      </c>
      <c r="B174" s="511" t="s">
        <v>760</v>
      </c>
      <c r="C174" s="541">
        <f t="shared" si="20"/>
        <v>1.43384</v>
      </c>
      <c r="D174" s="541">
        <f t="shared" si="20"/>
        <v>1.44517</v>
      </c>
      <c r="E174" s="542">
        <f t="shared" si="21"/>
        <v>0.011330000000000062</v>
      </c>
    </row>
    <row r="175" spans="1:5" s="506" customFormat="1" ht="12.75">
      <c r="A175" s="512">
        <v>0</v>
      </c>
      <c r="B175" s="511" t="s">
        <v>906</v>
      </c>
      <c r="C175" s="541">
        <f t="shared" si="20"/>
        <v>0.8143832246798604</v>
      </c>
      <c r="D175" s="541">
        <f t="shared" si="20"/>
        <v>0.8052678884677855</v>
      </c>
      <c r="E175" s="542">
        <f t="shared" si="21"/>
        <v>-0.009115336212074832</v>
      </c>
    </row>
    <row r="176" spans="1:5" s="506" customFormat="1" ht="12.75">
      <c r="A176" s="512">
        <v>4</v>
      </c>
      <c r="B176" s="511" t="s">
        <v>272</v>
      </c>
      <c r="C176" s="541">
        <f t="shared" si="20"/>
        <v>0.77447</v>
      </c>
      <c r="D176" s="541">
        <f t="shared" si="20"/>
        <v>0.7564199999999999</v>
      </c>
      <c r="E176" s="542">
        <f t="shared" si="21"/>
        <v>-0.01805000000000012</v>
      </c>
    </row>
    <row r="177" spans="1:5" s="506" customFormat="1" ht="12.75">
      <c r="A177" s="512">
        <v>5</v>
      </c>
      <c r="B177" s="511" t="s">
        <v>873</v>
      </c>
      <c r="C177" s="541">
        <f t="shared" si="20"/>
        <v>1.11393</v>
      </c>
      <c r="D177" s="541">
        <f t="shared" si="20"/>
        <v>1.05223</v>
      </c>
      <c r="E177" s="542">
        <f t="shared" si="21"/>
        <v>-0.06170000000000009</v>
      </c>
    </row>
    <row r="178" spans="1:5" s="506" customFormat="1" ht="12.75">
      <c r="A178" s="512">
        <v>6</v>
      </c>
      <c r="B178" s="511" t="s">
        <v>576</v>
      </c>
      <c r="C178" s="541">
        <f t="shared" si="20"/>
        <v>1.06252</v>
      </c>
      <c r="D178" s="541">
        <f t="shared" si="20"/>
        <v>1.91412</v>
      </c>
      <c r="E178" s="542">
        <f t="shared" si="21"/>
        <v>0.8516000000000001</v>
      </c>
    </row>
    <row r="179" spans="1:5" s="506" customFormat="1" ht="12.75">
      <c r="A179" s="512">
        <v>7</v>
      </c>
      <c r="B179" s="511" t="s">
        <v>888</v>
      </c>
      <c r="C179" s="541">
        <f t="shared" si="20"/>
        <v>0.86082</v>
      </c>
      <c r="D179" s="541">
        <f t="shared" si="20"/>
        <v>0.88553</v>
      </c>
      <c r="E179" s="542">
        <f t="shared" si="21"/>
        <v>0.02471000000000001</v>
      </c>
    </row>
    <row r="180" spans="1:5" s="506" customFormat="1" ht="12.75">
      <c r="A180" s="512"/>
      <c r="B180" s="516" t="s">
        <v>942</v>
      </c>
      <c r="C180" s="543">
        <f t="shared" si="20"/>
        <v>1.2660321391468596</v>
      </c>
      <c r="D180" s="543">
        <f t="shared" si="20"/>
        <v>1.265853975628332</v>
      </c>
      <c r="E180" s="544">
        <f t="shared" si="21"/>
        <v>-0.0001781635185276187</v>
      </c>
    </row>
    <row r="181" spans="1:5" s="506" customFormat="1" ht="12.75">
      <c r="A181" s="512"/>
      <c r="B181" s="516" t="s">
        <v>851</v>
      </c>
      <c r="C181" s="543">
        <f t="shared" si="20"/>
        <v>1.1660980281835014</v>
      </c>
      <c r="D181" s="543">
        <f t="shared" si="20"/>
        <v>1.1781655298844802</v>
      </c>
      <c r="E181" s="544">
        <f t="shared" si="21"/>
        <v>0.012067501700978811</v>
      </c>
    </row>
    <row r="182" spans="1:5" s="506" customFormat="1" ht="12.75">
      <c r="A182" s="508"/>
      <c r="B182" s="511"/>
      <c r="C182" s="545"/>
      <c r="D182" s="545"/>
      <c r="E182" s="511"/>
    </row>
    <row r="183" spans="1:5" s="506" customFormat="1" ht="12.75">
      <c r="A183" s="508" t="s">
        <v>500</v>
      </c>
      <c r="B183" s="509" t="s">
        <v>943</v>
      </c>
      <c r="C183" s="340"/>
      <c r="D183" s="340"/>
      <c r="E183" s="511"/>
    </row>
    <row r="184" spans="1:5" s="506" customFormat="1" ht="12.75">
      <c r="A184" s="505"/>
      <c r="B184" s="511"/>
      <c r="C184" s="545"/>
      <c r="D184" s="545"/>
      <c r="E184" s="511"/>
    </row>
    <row r="185" spans="1:5" s="506" customFormat="1" ht="12.75">
      <c r="A185" s="512">
        <v>1</v>
      </c>
      <c r="B185" s="511" t="s">
        <v>944</v>
      </c>
      <c r="C185" s="513">
        <v>117832946</v>
      </c>
      <c r="D185" s="513">
        <v>123130052</v>
      </c>
      <c r="E185" s="514">
        <f>D185-C185</f>
        <v>5297106</v>
      </c>
    </row>
    <row r="186" spans="1:5" s="506" customFormat="1" ht="25.5">
      <c r="A186" s="512">
        <v>2</v>
      </c>
      <c r="B186" s="511" t="s">
        <v>945</v>
      </c>
      <c r="C186" s="513">
        <v>84094997</v>
      </c>
      <c r="D186" s="513">
        <v>87350337</v>
      </c>
      <c r="E186" s="514">
        <f>D186-C186</f>
        <v>3255340</v>
      </c>
    </row>
    <row r="187" spans="1:5" s="506" customFormat="1" ht="12.75">
      <c r="A187" s="512"/>
      <c r="B187" s="511" t="s">
        <v>793</v>
      </c>
      <c r="C187" s="510"/>
      <c r="D187" s="510"/>
      <c r="E187" s="511"/>
    </row>
    <row r="188" spans="1:5" s="506" customFormat="1" ht="12.75">
      <c r="A188" s="512">
        <v>3</v>
      </c>
      <c r="B188" s="511" t="s">
        <v>877</v>
      </c>
      <c r="C188" s="546">
        <f>+C185-C186</f>
        <v>33737949</v>
      </c>
      <c r="D188" s="546">
        <f>+D185-D186</f>
        <v>35779715</v>
      </c>
      <c r="E188" s="514">
        <f aca="true" t="shared" si="22" ref="E188:E197">D188-C188</f>
        <v>2041766</v>
      </c>
    </row>
    <row r="189" spans="1:5" s="506" customFormat="1" ht="12.75">
      <c r="A189" s="512">
        <v>4</v>
      </c>
      <c r="B189" s="511" t="s">
        <v>795</v>
      </c>
      <c r="C189" s="547">
        <f>IF(C185=0,0,+C188/C185)</f>
        <v>0.2863201688940205</v>
      </c>
      <c r="D189" s="547">
        <f>IF(D185=0,0,+D188/D185)</f>
        <v>0.29058474693083053</v>
      </c>
      <c r="E189" s="523">
        <f t="shared" si="22"/>
        <v>0.004264578036810018</v>
      </c>
    </row>
    <row r="190" spans="1:5" s="506" customFormat="1" ht="12.75">
      <c r="A190" s="512">
        <v>5</v>
      </c>
      <c r="B190" s="511" t="s">
        <v>892</v>
      </c>
      <c r="C190" s="513">
        <v>3864659</v>
      </c>
      <c r="D190" s="513">
        <v>4660665</v>
      </c>
      <c r="E190" s="546">
        <f t="shared" si="22"/>
        <v>796006</v>
      </c>
    </row>
    <row r="191" spans="1:5" s="506" customFormat="1" ht="12.75">
      <c r="A191" s="512">
        <v>6</v>
      </c>
      <c r="B191" s="511" t="s">
        <v>878</v>
      </c>
      <c r="C191" s="513">
        <v>2077046</v>
      </c>
      <c r="D191" s="513">
        <v>2555247</v>
      </c>
      <c r="E191" s="546">
        <f t="shared" si="22"/>
        <v>478201</v>
      </c>
    </row>
    <row r="192" spans="1:5" ht="29.25">
      <c r="A192" s="512">
        <v>7</v>
      </c>
      <c r="B192" s="548" t="s">
        <v>946</v>
      </c>
      <c r="C192" s="513">
        <v>1132791</v>
      </c>
      <c r="D192" s="513">
        <v>1261662</v>
      </c>
      <c r="E192" s="546">
        <f t="shared" si="22"/>
        <v>128871</v>
      </c>
    </row>
    <row r="193" spans="1:5" s="506" customFormat="1" ht="12.75">
      <c r="A193" s="512">
        <v>8</v>
      </c>
      <c r="B193" s="511" t="s">
        <v>947</v>
      </c>
      <c r="C193" s="513">
        <v>3077163</v>
      </c>
      <c r="D193" s="513">
        <v>3370587</v>
      </c>
      <c r="E193" s="546">
        <f t="shared" si="22"/>
        <v>293424</v>
      </c>
    </row>
    <row r="194" spans="1:5" s="506" customFormat="1" ht="12.75">
      <c r="A194" s="512">
        <v>9</v>
      </c>
      <c r="B194" s="511" t="s">
        <v>948</v>
      </c>
      <c r="C194" s="513">
        <v>9879112</v>
      </c>
      <c r="D194" s="513">
        <v>9717615</v>
      </c>
      <c r="E194" s="546">
        <f t="shared" si="22"/>
        <v>-161497</v>
      </c>
    </row>
    <row r="195" spans="1:5" s="506" customFormat="1" ht="12.75">
      <c r="A195" s="512">
        <v>10</v>
      </c>
      <c r="B195" s="511" t="s">
        <v>949</v>
      </c>
      <c r="C195" s="513">
        <f>+C193+C194</f>
        <v>12956275</v>
      </c>
      <c r="D195" s="513">
        <f>+D193+D194</f>
        <v>13088202</v>
      </c>
      <c r="E195" s="549">
        <f t="shared" si="22"/>
        <v>131927</v>
      </c>
    </row>
    <row r="196" spans="1:5" s="506" customFormat="1" ht="12.75">
      <c r="A196" s="512">
        <v>11</v>
      </c>
      <c r="B196" s="511" t="s">
        <v>950</v>
      </c>
      <c r="C196" s="513">
        <v>117832946</v>
      </c>
      <c r="D196" s="513">
        <v>123130052</v>
      </c>
      <c r="E196" s="546">
        <f t="shared" si="22"/>
        <v>5297106</v>
      </c>
    </row>
    <row r="197" spans="1:5" s="506" customFormat="1" ht="12.75">
      <c r="A197" s="512">
        <v>12</v>
      </c>
      <c r="B197" s="511" t="s">
        <v>835</v>
      </c>
      <c r="C197" s="513">
        <v>159022197</v>
      </c>
      <c r="D197" s="513">
        <v>173269841</v>
      </c>
      <c r="E197" s="546">
        <f t="shared" si="22"/>
        <v>14247644</v>
      </c>
    </row>
    <row r="198" spans="1:5" s="506" customFormat="1" ht="12.75">
      <c r="A198" s="512"/>
      <c r="B198" s="511"/>
      <c r="C198" s="513"/>
      <c r="D198" s="513"/>
      <c r="E198" s="510"/>
    </row>
    <row r="199" spans="1:5" s="506" customFormat="1" ht="15.75" customHeight="1">
      <c r="A199" s="529" t="s">
        <v>302</v>
      </c>
      <c r="B199" s="550" t="s">
        <v>951</v>
      </c>
      <c r="C199" s="510"/>
      <c r="D199" s="510"/>
      <c r="E199" s="510"/>
    </row>
    <row r="200" spans="1:5" s="506" customFormat="1" ht="12.75">
      <c r="A200" s="508"/>
      <c r="B200" s="551"/>
      <c r="C200" s="510"/>
      <c r="D200" s="510"/>
      <c r="E200" s="510"/>
    </row>
    <row r="201" spans="1:5" s="506" customFormat="1" ht="12.75">
      <c r="A201" s="508" t="s">
        <v>172</v>
      </c>
      <c r="B201" s="509" t="s">
        <v>952</v>
      </c>
      <c r="C201" s="510"/>
      <c r="D201" s="510"/>
      <c r="E201" s="510"/>
    </row>
    <row r="202" spans="2:5" s="506" customFormat="1" ht="12.75">
      <c r="B202" s="552"/>
      <c r="C202" s="510"/>
      <c r="D202" s="510"/>
      <c r="E202" s="510"/>
    </row>
    <row r="203" spans="1:5" s="506" customFormat="1" ht="12.75">
      <c r="A203" s="512">
        <v>1</v>
      </c>
      <c r="B203" s="511" t="s">
        <v>781</v>
      </c>
      <c r="C203" s="553">
        <v>3293.70285</v>
      </c>
      <c r="D203" s="553">
        <v>3418.3065</v>
      </c>
      <c r="E203" s="554">
        <f aca="true" t="shared" si="23" ref="E203:E211">D203-C203</f>
        <v>124.60365000000002</v>
      </c>
    </row>
    <row r="204" spans="1:5" s="506" customFormat="1" ht="12.75">
      <c r="A204" s="512">
        <v>2</v>
      </c>
      <c r="B204" s="511" t="s">
        <v>760</v>
      </c>
      <c r="C204" s="553">
        <v>6638.6792</v>
      </c>
      <c r="D204" s="553">
        <v>6803.860360000001</v>
      </c>
      <c r="E204" s="554">
        <f t="shared" si="23"/>
        <v>165.181160000001</v>
      </c>
    </row>
    <row r="205" spans="1:5" s="506" customFormat="1" ht="12.75">
      <c r="A205" s="512">
        <v>3</v>
      </c>
      <c r="B205" s="511" t="s">
        <v>906</v>
      </c>
      <c r="C205" s="553">
        <f>C206+C207</f>
        <v>1399.11038</v>
      </c>
      <c r="D205" s="553">
        <f>D206+D207</f>
        <v>1487.3297899999998</v>
      </c>
      <c r="E205" s="554">
        <f t="shared" si="23"/>
        <v>88.2194099999997</v>
      </c>
    </row>
    <row r="206" spans="1:5" s="506" customFormat="1" ht="12.75">
      <c r="A206" s="512">
        <v>4</v>
      </c>
      <c r="B206" s="511" t="s">
        <v>272</v>
      </c>
      <c r="C206" s="553">
        <v>1174.09652</v>
      </c>
      <c r="D206" s="553">
        <v>1166.3996399999999</v>
      </c>
      <c r="E206" s="554">
        <f t="shared" si="23"/>
        <v>-7.696880000000192</v>
      </c>
    </row>
    <row r="207" spans="1:5" s="506" customFormat="1" ht="12.75">
      <c r="A207" s="512">
        <v>5</v>
      </c>
      <c r="B207" s="511" t="s">
        <v>873</v>
      </c>
      <c r="C207" s="553">
        <v>225.01386000000002</v>
      </c>
      <c r="D207" s="553">
        <v>320.93015</v>
      </c>
      <c r="E207" s="554">
        <f t="shared" si="23"/>
        <v>95.91629</v>
      </c>
    </row>
    <row r="208" spans="1:5" s="506" customFormat="1" ht="12.75">
      <c r="A208" s="512">
        <v>6</v>
      </c>
      <c r="B208" s="511" t="s">
        <v>576</v>
      </c>
      <c r="C208" s="553">
        <v>5.3126</v>
      </c>
      <c r="D208" s="553">
        <v>19.1412</v>
      </c>
      <c r="E208" s="554">
        <f t="shared" si="23"/>
        <v>13.828600000000002</v>
      </c>
    </row>
    <row r="209" spans="1:5" s="506" customFormat="1" ht="12.75">
      <c r="A209" s="512">
        <v>7</v>
      </c>
      <c r="B209" s="511" t="s">
        <v>888</v>
      </c>
      <c r="C209" s="553">
        <v>255.66354</v>
      </c>
      <c r="D209" s="553">
        <v>267.43006</v>
      </c>
      <c r="E209" s="554">
        <f t="shared" si="23"/>
        <v>11.766520000000014</v>
      </c>
    </row>
    <row r="210" spans="1:5" s="506" customFormat="1" ht="12.75">
      <c r="A210" s="512"/>
      <c r="B210" s="516" t="s">
        <v>953</v>
      </c>
      <c r="C210" s="555">
        <f>C204+C205+C208</f>
        <v>8043.10218</v>
      </c>
      <c r="D210" s="555">
        <f>D204+D205+D208</f>
        <v>8310.33135</v>
      </c>
      <c r="E210" s="556">
        <f t="shared" si="23"/>
        <v>267.2291700000005</v>
      </c>
    </row>
    <row r="211" spans="1:5" s="506" customFormat="1" ht="12.75">
      <c r="A211" s="512"/>
      <c r="B211" s="516" t="s">
        <v>852</v>
      </c>
      <c r="C211" s="555">
        <f>C210+C203</f>
        <v>11336.80503</v>
      </c>
      <c r="D211" s="555">
        <f>D210+D203</f>
        <v>11728.637850000001</v>
      </c>
      <c r="E211" s="556">
        <f t="shared" si="23"/>
        <v>391.83282000000145</v>
      </c>
    </row>
    <row r="212" spans="1:5" s="506" customFormat="1" ht="12.75">
      <c r="A212" s="512"/>
      <c r="B212" s="551"/>
      <c r="C212" s="510"/>
      <c r="D212" s="510"/>
      <c r="E212" s="555"/>
    </row>
    <row r="213" spans="1:5" s="506" customFormat="1" ht="12.75">
      <c r="A213" s="508" t="s">
        <v>184</v>
      </c>
      <c r="B213" s="509" t="s">
        <v>954</v>
      </c>
      <c r="C213" s="510"/>
      <c r="D213" s="510"/>
      <c r="E213" s="555"/>
    </row>
    <row r="214" spans="1:5" s="506" customFormat="1" ht="12.75">
      <c r="A214" s="505"/>
      <c r="B214" s="551"/>
      <c r="C214" s="510"/>
      <c r="D214" s="510"/>
      <c r="E214" s="510"/>
    </row>
    <row r="215" spans="1:5" s="506" customFormat="1" ht="12.75">
      <c r="A215" s="512">
        <v>1</v>
      </c>
      <c r="B215" s="511" t="s">
        <v>781</v>
      </c>
      <c r="C215" s="557">
        <f>IF(C14*C137=0,0,C25/C14*C137)</f>
        <v>6733.485028901857</v>
      </c>
      <c r="D215" s="557">
        <f>IF(D14*D137=0,0,D25/D14*D137)</f>
        <v>6383.226440994568</v>
      </c>
      <c r="E215" s="557">
        <f aca="true" t="shared" si="24" ref="E215:E223">D215-C215</f>
        <v>-350.25858790728853</v>
      </c>
    </row>
    <row r="216" spans="1:5" s="506" customFormat="1" ht="12.75">
      <c r="A216" s="512">
        <v>2</v>
      </c>
      <c r="B216" s="511" t="s">
        <v>760</v>
      </c>
      <c r="C216" s="557">
        <f>IF(C15*C138=0,0,C26/C15*C138)</f>
        <v>2519.960290257959</v>
      </c>
      <c r="D216" s="557">
        <f>IF(D15*D138=0,0,D26/D15*D138)</f>
        <v>2614.5330030783803</v>
      </c>
      <c r="E216" s="557">
        <f t="shared" si="24"/>
        <v>94.5727128204212</v>
      </c>
    </row>
    <row r="217" spans="1:5" s="506" customFormat="1" ht="12.75">
      <c r="A217" s="512">
        <v>3</v>
      </c>
      <c r="B217" s="511" t="s">
        <v>906</v>
      </c>
      <c r="C217" s="557">
        <f>C218+C219</f>
        <v>2020.5203874763713</v>
      </c>
      <c r="D217" s="557">
        <f>D218+D219</f>
        <v>2484.968972709536</v>
      </c>
      <c r="E217" s="557">
        <f t="shared" si="24"/>
        <v>464.44858523316475</v>
      </c>
    </row>
    <row r="218" spans="1:5" s="506" customFormat="1" ht="12.75">
      <c r="A218" s="512">
        <v>4</v>
      </c>
      <c r="B218" s="511" t="s">
        <v>272</v>
      </c>
      <c r="C218" s="557">
        <f aca="true" t="shared" si="25" ref="C218:D221">IF(C17*C140=0,0,C28/C17*C140)</f>
        <v>1760.8804709703613</v>
      </c>
      <c r="D218" s="557">
        <f t="shared" si="25"/>
        <v>2108.6005508874705</v>
      </c>
      <c r="E218" s="557">
        <f t="shared" si="24"/>
        <v>347.72007991710916</v>
      </c>
    </row>
    <row r="219" spans="1:5" s="506" customFormat="1" ht="12.75">
      <c r="A219" s="512">
        <v>5</v>
      </c>
      <c r="B219" s="511" t="s">
        <v>873</v>
      </c>
      <c r="C219" s="557">
        <f t="shared" si="25"/>
        <v>259.63991650601</v>
      </c>
      <c r="D219" s="557">
        <f t="shared" si="25"/>
        <v>376.3684218220657</v>
      </c>
      <c r="E219" s="557">
        <f t="shared" si="24"/>
        <v>116.7285053160557</v>
      </c>
    </row>
    <row r="220" spans="1:5" s="506" customFormat="1" ht="12.75">
      <c r="A220" s="512">
        <v>6</v>
      </c>
      <c r="B220" s="511" t="s">
        <v>576</v>
      </c>
      <c r="C220" s="557">
        <f t="shared" si="25"/>
        <v>21.061560420125044</v>
      </c>
      <c r="D220" s="557">
        <f t="shared" si="25"/>
        <v>10.461139625013093</v>
      </c>
      <c r="E220" s="557">
        <f t="shared" si="24"/>
        <v>-10.600420795111951</v>
      </c>
    </row>
    <row r="221" spans="1:5" s="506" customFormat="1" ht="12.75">
      <c r="A221" s="512">
        <v>7</v>
      </c>
      <c r="B221" s="511" t="s">
        <v>888</v>
      </c>
      <c r="C221" s="557">
        <f t="shared" si="25"/>
        <v>443.3466023730654</v>
      </c>
      <c r="D221" s="557">
        <f t="shared" si="25"/>
        <v>526.7786636968932</v>
      </c>
      <c r="E221" s="557">
        <f t="shared" si="24"/>
        <v>83.43206132382778</v>
      </c>
    </row>
    <row r="222" spans="1:5" s="506" customFormat="1" ht="12.75">
      <c r="A222" s="512"/>
      <c r="B222" s="516" t="s">
        <v>955</v>
      </c>
      <c r="C222" s="558">
        <f>C216+C218+C219+C220</f>
        <v>4561.542238154456</v>
      </c>
      <c r="D222" s="558">
        <f>D216+D218+D219+D220</f>
        <v>5109.963115412929</v>
      </c>
      <c r="E222" s="558">
        <f t="shared" si="24"/>
        <v>548.4208772584734</v>
      </c>
    </row>
    <row r="223" spans="1:5" s="506" customFormat="1" ht="12.75">
      <c r="A223" s="512"/>
      <c r="B223" s="516" t="s">
        <v>956</v>
      </c>
      <c r="C223" s="558">
        <f>C215+C222</f>
        <v>11295.027267056314</v>
      </c>
      <c r="D223" s="558">
        <f>D215+D222</f>
        <v>11493.189556407498</v>
      </c>
      <c r="E223" s="558">
        <f t="shared" si="24"/>
        <v>198.16228935118488</v>
      </c>
    </row>
    <row r="224" spans="1:5" s="506" customFormat="1" ht="12.75">
      <c r="A224" s="505"/>
      <c r="B224" s="551"/>
      <c r="C224" s="510"/>
      <c r="D224" s="510"/>
      <c r="E224" s="559"/>
    </row>
    <row r="225" spans="1:5" s="506" customFormat="1" ht="12.75">
      <c r="A225" s="508" t="s">
        <v>194</v>
      </c>
      <c r="B225" s="509" t="s">
        <v>957</v>
      </c>
      <c r="C225" s="510"/>
      <c r="D225" s="510"/>
      <c r="E225" s="559"/>
    </row>
    <row r="226" spans="1:5" s="506" customFormat="1" ht="12.75">
      <c r="A226" s="505"/>
      <c r="B226" s="551"/>
      <c r="C226" s="510"/>
      <c r="D226" s="510"/>
      <c r="E226" s="559"/>
    </row>
    <row r="227" spans="1:5" s="506" customFormat="1" ht="12.75">
      <c r="A227" s="512">
        <v>1</v>
      </c>
      <c r="B227" s="511" t="s">
        <v>781</v>
      </c>
      <c r="C227" s="560">
        <f aca="true" t="shared" si="26" ref="C227:D235">IF(C203=0,0,C47/C203)</f>
        <v>8475.719052797978</v>
      </c>
      <c r="D227" s="560">
        <f t="shared" si="26"/>
        <v>8932.281818496966</v>
      </c>
      <c r="E227" s="560">
        <f aca="true" t="shared" si="27" ref="E227:E235">D227-C227</f>
        <v>456.5627656989873</v>
      </c>
    </row>
    <row r="228" spans="1:5" s="506" customFormat="1" ht="12.75">
      <c r="A228" s="512">
        <v>2</v>
      </c>
      <c r="B228" s="511" t="s">
        <v>760</v>
      </c>
      <c r="C228" s="560">
        <f t="shared" si="26"/>
        <v>6620.595403977346</v>
      </c>
      <c r="D228" s="560">
        <f t="shared" si="26"/>
        <v>6444.441784516576</v>
      </c>
      <c r="E228" s="560">
        <f t="shared" si="27"/>
        <v>-176.15361946076973</v>
      </c>
    </row>
    <row r="229" spans="1:5" s="506" customFormat="1" ht="12.75">
      <c r="A229" s="512">
        <v>3</v>
      </c>
      <c r="B229" s="511" t="s">
        <v>906</v>
      </c>
      <c r="C229" s="560">
        <f t="shared" si="26"/>
        <v>5079.882260611918</v>
      </c>
      <c r="D229" s="560">
        <f t="shared" si="26"/>
        <v>5101.613005411531</v>
      </c>
      <c r="E229" s="560">
        <f t="shared" si="27"/>
        <v>21.730744799612694</v>
      </c>
    </row>
    <row r="230" spans="1:5" s="506" customFormat="1" ht="12.75">
      <c r="A230" s="512">
        <v>4</v>
      </c>
      <c r="B230" s="511" t="s">
        <v>272</v>
      </c>
      <c r="C230" s="560">
        <f t="shared" si="26"/>
        <v>5381.48941962625</v>
      </c>
      <c r="D230" s="560">
        <f t="shared" si="26"/>
        <v>5743.506573784609</v>
      </c>
      <c r="E230" s="560">
        <f t="shared" si="27"/>
        <v>362.0171541583586</v>
      </c>
    </row>
    <row r="231" spans="1:5" s="506" customFormat="1" ht="12.75">
      <c r="A231" s="512">
        <v>5</v>
      </c>
      <c r="B231" s="511" t="s">
        <v>873</v>
      </c>
      <c r="C231" s="560">
        <f t="shared" si="26"/>
        <v>3506.1306890162227</v>
      </c>
      <c r="D231" s="560">
        <f t="shared" si="26"/>
        <v>2768.69281368547</v>
      </c>
      <c r="E231" s="560">
        <f t="shared" si="27"/>
        <v>-737.4378753307528</v>
      </c>
    </row>
    <row r="232" spans="1:5" s="506" customFormat="1" ht="12.75">
      <c r="A232" s="512">
        <v>6</v>
      </c>
      <c r="B232" s="511" t="s">
        <v>576</v>
      </c>
      <c r="C232" s="560">
        <f t="shared" si="26"/>
        <v>5705.68083424312</v>
      </c>
      <c r="D232" s="560">
        <f t="shared" si="26"/>
        <v>4496.583286314338</v>
      </c>
      <c r="E232" s="560">
        <f t="shared" si="27"/>
        <v>-1209.0975479287827</v>
      </c>
    </row>
    <row r="233" spans="1:5" s="506" customFormat="1" ht="12.75">
      <c r="A233" s="512">
        <v>7</v>
      </c>
      <c r="B233" s="511" t="s">
        <v>888</v>
      </c>
      <c r="C233" s="560">
        <f t="shared" si="26"/>
        <v>824.5446339356796</v>
      </c>
      <c r="D233" s="560">
        <f t="shared" si="26"/>
        <v>470.04065287200694</v>
      </c>
      <c r="E233" s="560">
        <f t="shared" si="27"/>
        <v>-354.50398106367265</v>
      </c>
    </row>
    <row r="234" spans="1:5" ht="12.75">
      <c r="A234" s="512"/>
      <c r="B234" s="516" t="s">
        <v>958</v>
      </c>
      <c r="C234" s="561">
        <f t="shared" si="26"/>
        <v>6351.981593251374</v>
      </c>
      <c r="D234" s="561">
        <f t="shared" si="26"/>
        <v>6199.624398851437</v>
      </c>
      <c r="E234" s="561">
        <f t="shared" si="27"/>
        <v>-152.35719439993682</v>
      </c>
    </row>
    <row r="235" spans="1:5" s="506" customFormat="1" ht="12.75">
      <c r="A235" s="512"/>
      <c r="B235" s="516" t="s">
        <v>959</v>
      </c>
      <c r="C235" s="561">
        <f t="shared" si="26"/>
        <v>6968.994949717328</v>
      </c>
      <c r="D235" s="561">
        <f t="shared" si="26"/>
        <v>6996.056238534127</v>
      </c>
      <c r="E235" s="561">
        <f t="shared" si="27"/>
        <v>27.06128881679888</v>
      </c>
    </row>
    <row r="236" spans="1:5" s="506" customFormat="1" ht="12.75">
      <c r="A236" s="505"/>
      <c r="B236" s="551"/>
      <c r="C236" s="510"/>
      <c r="D236" s="510"/>
      <c r="E236" s="561"/>
    </row>
    <row r="237" spans="1:5" s="506" customFormat="1" ht="12.75">
      <c r="A237" s="508" t="s">
        <v>479</v>
      </c>
      <c r="B237" s="509" t="s">
        <v>960</v>
      </c>
      <c r="C237" s="340"/>
      <c r="D237" s="340"/>
      <c r="E237" s="561"/>
    </row>
    <row r="238" spans="1:5" s="506" customFormat="1" ht="12.75">
      <c r="A238" s="505"/>
      <c r="B238" s="519"/>
      <c r="C238" s="520"/>
      <c r="D238" s="520"/>
      <c r="E238" s="520"/>
    </row>
    <row r="239" spans="1:5" s="506" customFormat="1" ht="12.75">
      <c r="A239" s="512">
        <v>1</v>
      </c>
      <c r="B239" s="511" t="s">
        <v>781</v>
      </c>
      <c r="C239" s="560">
        <f aca="true" t="shared" si="28" ref="C239:D247">IF(C215=0,0,C58/C215)</f>
        <v>8295.257175185163</v>
      </c>
      <c r="D239" s="560">
        <f t="shared" si="28"/>
        <v>8997.853598164225</v>
      </c>
      <c r="E239" s="562">
        <f aca="true" t="shared" si="29" ref="E239:E247">D239-C239</f>
        <v>702.5964229790625</v>
      </c>
    </row>
    <row r="240" spans="1:5" s="506" customFormat="1" ht="12.75">
      <c r="A240" s="512">
        <v>2</v>
      </c>
      <c r="B240" s="511" t="s">
        <v>760</v>
      </c>
      <c r="C240" s="560">
        <f t="shared" si="28"/>
        <v>7165.063302704547</v>
      </c>
      <c r="D240" s="560">
        <f t="shared" si="28"/>
        <v>7093.631244341956</v>
      </c>
      <c r="E240" s="562">
        <f t="shared" si="29"/>
        <v>-71.4320583625913</v>
      </c>
    </row>
    <row r="241" spans="1:5" ht="12.75">
      <c r="A241" s="512">
        <v>3</v>
      </c>
      <c r="B241" s="511" t="s">
        <v>906</v>
      </c>
      <c r="C241" s="560">
        <f t="shared" si="28"/>
        <v>3091.6337388716656</v>
      </c>
      <c r="D241" s="560">
        <f t="shared" si="28"/>
        <v>3096.5891665076524</v>
      </c>
      <c r="E241" s="562">
        <f t="shared" si="29"/>
        <v>4.95542763598678</v>
      </c>
    </row>
    <row r="242" spans="1:5" ht="12.75">
      <c r="A242" s="512">
        <v>4</v>
      </c>
      <c r="B242" s="511" t="s">
        <v>272</v>
      </c>
      <c r="C242" s="560">
        <f t="shared" si="28"/>
        <v>3196.8546944574246</v>
      </c>
      <c r="D242" s="560">
        <f t="shared" si="28"/>
        <v>3321.2241157067474</v>
      </c>
      <c r="E242" s="562">
        <f t="shared" si="29"/>
        <v>124.36942124932284</v>
      </c>
    </row>
    <row r="243" spans="1:5" ht="12.75">
      <c r="A243" s="512">
        <v>5</v>
      </c>
      <c r="B243" s="511" t="s">
        <v>873</v>
      </c>
      <c r="C243" s="560">
        <f t="shared" si="28"/>
        <v>2378.024181754457</v>
      </c>
      <c r="D243" s="560">
        <f t="shared" si="28"/>
        <v>1838.073971910046</v>
      </c>
      <c r="E243" s="562">
        <f t="shared" si="29"/>
        <v>-539.9502098444109</v>
      </c>
    </row>
    <row r="244" spans="1:5" ht="12.75">
      <c r="A244" s="512">
        <v>6</v>
      </c>
      <c r="B244" s="511" t="s">
        <v>576</v>
      </c>
      <c r="C244" s="560">
        <f t="shared" si="28"/>
        <v>6062.418807202602</v>
      </c>
      <c r="D244" s="560">
        <f t="shared" si="28"/>
        <v>8606.997251495657</v>
      </c>
      <c r="E244" s="562">
        <f t="shared" si="29"/>
        <v>2544.5784442930553</v>
      </c>
    </row>
    <row r="245" spans="1:5" ht="12.75">
      <c r="A245" s="512">
        <v>7</v>
      </c>
      <c r="B245" s="511" t="s">
        <v>888</v>
      </c>
      <c r="C245" s="560">
        <f t="shared" si="28"/>
        <v>603.1443538051244</v>
      </c>
      <c r="D245" s="560">
        <f t="shared" si="28"/>
        <v>701.6855948681431</v>
      </c>
      <c r="E245" s="562">
        <f t="shared" si="29"/>
        <v>98.54124106301867</v>
      </c>
    </row>
    <row r="246" spans="1:5" ht="25.5">
      <c r="A246" s="512"/>
      <c r="B246" s="516" t="s">
        <v>961</v>
      </c>
      <c r="C246" s="561">
        <f t="shared" si="28"/>
        <v>5355.659714308402</v>
      </c>
      <c r="D246" s="561">
        <f t="shared" si="28"/>
        <v>5152.972615512154</v>
      </c>
      <c r="E246" s="563">
        <f t="shared" si="29"/>
        <v>-202.68709879624748</v>
      </c>
    </row>
    <row r="247" spans="1:5" ht="12.75">
      <c r="A247" s="512"/>
      <c r="B247" s="516" t="s">
        <v>962</v>
      </c>
      <c r="C247" s="561">
        <f t="shared" si="28"/>
        <v>7108.08890512081</v>
      </c>
      <c r="D247" s="561">
        <f t="shared" si="28"/>
        <v>7288.389057613659</v>
      </c>
      <c r="E247" s="563">
        <f t="shared" si="29"/>
        <v>180.30015249284952</v>
      </c>
    </row>
    <row r="248" spans="1:5" ht="12.75">
      <c r="A248" s="505"/>
      <c r="B248" s="519"/>
      <c r="C248" s="560"/>
      <c r="D248" s="560"/>
      <c r="E248" s="563"/>
    </row>
    <row r="249" spans="1:5" s="506" customFormat="1" ht="15.75" customHeight="1">
      <c r="A249" s="529" t="s">
        <v>890</v>
      </c>
      <c r="B249" s="550" t="s">
        <v>887</v>
      </c>
      <c r="C249" s="520"/>
      <c r="D249" s="520"/>
      <c r="E249" s="561"/>
    </row>
    <row r="250" spans="1:5" ht="12.75">
      <c r="A250" s="505"/>
      <c r="B250" s="519"/>
      <c r="C250" s="560"/>
      <c r="D250" s="560"/>
      <c r="E250" s="561"/>
    </row>
    <row r="251" spans="1:5" ht="12.75">
      <c r="A251" s="512">
        <v>1</v>
      </c>
      <c r="B251" s="511" t="s">
        <v>272</v>
      </c>
      <c r="C251" s="546">
        <f>((IF((IF(C15=0,0,C26/C15)*C138)=0,0,C59/(IF(C15=0,0,C26/C15)*C138)))-(IF((IF(C17=0,0,C28/C17)*C140)=0,0,C61/(IF(C17=0,0,C28/C17)*C140))))*(IF(C17=0,0,C28/C17)*C140)</f>
        <v>6987541.0429988345</v>
      </c>
      <c r="D251" s="546">
        <f>((IF((IF(D15=0,0,D26/D15)*D138)=0,0,D59/(IF(D15=0,0,D26/D15)*D138)))-(IF((IF(D17=0,0,D28/D17)*D140)=0,0,D61/(IF(D17=0,0,D28/D17)*D140))))*(IF(D17=0,0,D28/D17)*D140)</f>
        <v>7954499.74961202</v>
      </c>
      <c r="E251" s="546">
        <f>D251-C251</f>
        <v>966958.7066131858</v>
      </c>
    </row>
    <row r="252" spans="1:5" ht="12.75">
      <c r="A252" s="512">
        <v>2</v>
      </c>
      <c r="B252" s="511" t="s">
        <v>873</v>
      </c>
      <c r="C252" s="546">
        <f>IF(C231=0,0,(C228-C231)*C207)+IF(C243=0,0,(C240-C243)*C219)</f>
        <v>1943704.1650216873</v>
      </c>
      <c r="D252" s="546">
        <f>IF(D231=0,0,(D228-D231)*D207)+IF(D243=0,0,(D240-D243)*D219)</f>
        <v>3157684.464991851</v>
      </c>
      <c r="E252" s="546">
        <f>D252-C252</f>
        <v>1213980.2999701635</v>
      </c>
    </row>
    <row r="253" spans="1:5" ht="12.75">
      <c r="A253" s="512">
        <v>3</v>
      </c>
      <c r="B253" s="511" t="s">
        <v>888</v>
      </c>
      <c r="C253" s="546">
        <f>IF(C233=0,0,(C228-C233)*C209+IF(C221=0,0,(C240-C245)*C221))</f>
        <v>4391043.328930574</v>
      </c>
      <c r="D253" s="546">
        <f>IF(D233=0,0,(D228-D233)*D209+IF(D221=0,0,(D240-D245)*D221))</f>
        <v>4964875.04075276</v>
      </c>
      <c r="E253" s="546">
        <f>D253-C253</f>
        <v>573831.7118221866</v>
      </c>
    </row>
    <row r="254" spans="1:5" ht="15" customHeight="1">
      <c r="A254" s="512"/>
      <c r="B254" s="516" t="s">
        <v>889</v>
      </c>
      <c r="C254" s="564">
        <f>+C251+C252+C253</f>
        <v>13322288.536951095</v>
      </c>
      <c r="D254" s="564">
        <f>+D251+D252+D253</f>
        <v>16077059.255356632</v>
      </c>
      <c r="E254" s="564">
        <f>D254-C254</f>
        <v>2754770.7184055373</v>
      </c>
    </row>
    <row r="255" spans="1:5" ht="12.75">
      <c r="A255" s="502"/>
      <c r="B255" s="519"/>
      <c r="C255" s="520"/>
      <c r="D255" s="520"/>
      <c r="E255" s="564"/>
    </row>
    <row r="256" spans="1:5" ht="15.75" customHeight="1">
      <c r="A256" s="529" t="s">
        <v>963</v>
      </c>
      <c r="B256" s="550" t="s">
        <v>964</v>
      </c>
      <c r="C256" s="520"/>
      <c r="D256" s="520"/>
      <c r="E256" s="564"/>
    </row>
    <row r="257" spans="1:5" ht="11.25" customHeight="1">
      <c r="A257" s="502"/>
      <c r="B257" s="519"/>
      <c r="C257" s="520"/>
      <c r="D257" s="520"/>
      <c r="E257" s="520"/>
    </row>
    <row r="258" spans="1:5" ht="12.75">
      <c r="A258" s="512">
        <v>1</v>
      </c>
      <c r="B258" s="511" t="s">
        <v>855</v>
      </c>
      <c r="C258" s="546">
        <f>+C44</f>
        <v>328452941</v>
      </c>
      <c r="D258" s="549">
        <f>+D44</f>
        <v>347627051</v>
      </c>
      <c r="E258" s="546">
        <f aca="true" t="shared" si="30" ref="E258:E271">D258-C258</f>
        <v>19174110</v>
      </c>
    </row>
    <row r="259" spans="1:5" ht="12.75">
      <c r="A259" s="512">
        <v>2</v>
      </c>
      <c r="B259" s="511" t="s">
        <v>872</v>
      </c>
      <c r="C259" s="546">
        <f>+(C43-C76)</f>
        <v>120389574</v>
      </c>
      <c r="D259" s="549">
        <f>+(D43-D76)</f>
        <v>130382840</v>
      </c>
      <c r="E259" s="546">
        <f t="shared" si="30"/>
        <v>9993266</v>
      </c>
    </row>
    <row r="260" spans="1:5" ht="12.75">
      <c r="A260" s="512">
        <v>3</v>
      </c>
      <c r="B260" s="511" t="s">
        <v>876</v>
      </c>
      <c r="C260" s="546">
        <f>C195</f>
        <v>12956275</v>
      </c>
      <c r="D260" s="546">
        <f>D195</f>
        <v>13088202</v>
      </c>
      <c r="E260" s="546">
        <f t="shared" si="30"/>
        <v>131927</v>
      </c>
    </row>
    <row r="261" spans="1:5" ht="12.75">
      <c r="A261" s="512">
        <v>4</v>
      </c>
      <c r="B261" s="511" t="s">
        <v>877</v>
      </c>
      <c r="C261" s="546">
        <f>C188</f>
        <v>33737949</v>
      </c>
      <c r="D261" s="546">
        <f>D188</f>
        <v>35779715</v>
      </c>
      <c r="E261" s="546">
        <f t="shared" si="30"/>
        <v>2041766</v>
      </c>
    </row>
    <row r="262" spans="1:5" ht="12.75">
      <c r="A262" s="512">
        <v>5</v>
      </c>
      <c r="B262" s="511" t="s">
        <v>878</v>
      </c>
      <c r="C262" s="546">
        <f>C191</f>
        <v>2077046</v>
      </c>
      <c r="D262" s="546">
        <f>D191</f>
        <v>2555247</v>
      </c>
      <c r="E262" s="546">
        <f t="shared" si="30"/>
        <v>478201</v>
      </c>
    </row>
    <row r="263" spans="1:5" ht="12.75">
      <c r="A263" s="512">
        <v>6</v>
      </c>
      <c r="B263" s="511" t="s">
        <v>879</v>
      </c>
      <c r="C263" s="546">
        <f>+C259+C260+C261+C262</f>
        <v>169160844</v>
      </c>
      <c r="D263" s="546">
        <f>+D259+D260+D261+D262</f>
        <v>181806004</v>
      </c>
      <c r="E263" s="546">
        <f t="shared" si="30"/>
        <v>12645160</v>
      </c>
    </row>
    <row r="264" spans="1:5" ht="12.75">
      <c r="A264" s="512">
        <v>7</v>
      </c>
      <c r="B264" s="511" t="s">
        <v>779</v>
      </c>
      <c r="C264" s="546">
        <f>+C258-C263</f>
        <v>159292097</v>
      </c>
      <c r="D264" s="546">
        <f>+D258-D263</f>
        <v>165821047</v>
      </c>
      <c r="E264" s="546">
        <f t="shared" si="30"/>
        <v>6528950</v>
      </c>
    </row>
    <row r="265" spans="1:5" ht="12.75">
      <c r="A265" s="512">
        <v>8</v>
      </c>
      <c r="B265" s="511" t="s">
        <v>965</v>
      </c>
      <c r="C265" s="565">
        <f>C192</f>
        <v>1132791</v>
      </c>
      <c r="D265" s="565">
        <f>D192</f>
        <v>1261662</v>
      </c>
      <c r="E265" s="546">
        <f t="shared" si="30"/>
        <v>128871</v>
      </c>
    </row>
    <row r="266" spans="1:5" ht="12.75">
      <c r="A266" s="512">
        <v>9</v>
      </c>
      <c r="B266" s="511" t="s">
        <v>966</v>
      </c>
      <c r="C266" s="546">
        <f>+C264+C265</f>
        <v>160424888</v>
      </c>
      <c r="D266" s="546">
        <f>+D264+D265</f>
        <v>167082709</v>
      </c>
      <c r="E266" s="565">
        <f t="shared" si="30"/>
        <v>6657821</v>
      </c>
    </row>
    <row r="267" spans="1:5" ht="12.75">
      <c r="A267" s="512">
        <v>10</v>
      </c>
      <c r="B267" s="511" t="s">
        <v>967</v>
      </c>
      <c r="C267" s="566">
        <f>IF(C258=0,0,C266/C258)</f>
        <v>0.48842579247905105</v>
      </c>
      <c r="D267" s="566">
        <f>IF(D258=0,0,D266/D258)</f>
        <v>0.48063782297540475</v>
      </c>
      <c r="E267" s="567">
        <f t="shared" si="30"/>
        <v>-0.007787969503646297</v>
      </c>
    </row>
    <row r="268" spans="1:5" ht="12.75">
      <c r="A268" s="512">
        <v>11</v>
      </c>
      <c r="B268" s="511" t="s">
        <v>841</v>
      </c>
      <c r="C268" s="546">
        <f>+C260*C267</f>
        <v>6328178.884451517</v>
      </c>
      <c r="D268" s="568">
        <f>+D260*D267</f>
        <v>6290684.915942338</v>
      </c>
      <c r="E268" s="546">
        <f t="shared" si="30"/>
        <v>-37493.96850917861</v>
      </c>
    </row>
    <row r="269" spans="1:5" ht="12.75">
      <c r="A269" s="512">
        <v>12</v>
      </c>
      <c r="B269" s="511" t="s">
        <v>968</v>
      </c>
      <c r="C269" s="546">
        <f>((C17+C18+C28+C29)*C267)-(C50+C51+C61+C62)</f>
        <v>7179756.750905741</v>
      </c>
      <c r="D269" s="568">
        <f>((D17+D18+D28+D29)*D267)-(D50+D51+D61+D62)</f>
        <v>7690215.904024031</v>
      </c>
      <c r="E269" s="546">
        <f t="shared" si="30"/>
        <v>510459.15311829</v>
      </c>
    </row>
    <row r="270" spans="1:5" s="569" customFormat="1" ht="12.75">
      <c r="A270" s="570">
        <v>13</v>
      </c>
      <c r="B270" s="571" t="s">
        <v>969</v>
      </c>
      <c r="C270" s="572">
        <v>0</v>
      </c>
      <c r="D270" s="572">
        <v>0</v>
      </c>
      <c r="E270" s="546">
        <f t="shared" si="30"/>
        <v>0</v>
      </c>
    </row>
    <row r="271" spans="1:5" ht="12.75">
      <c r="A271" s="512">
        <v>14</v>
      </c>
      <c r="B271" s="511" t="s">
        <v>970</v>
      </c>
      <c r="C271" s="546">
        <f>+C268+C269+C270</f>
        <v>13507935.635357257</v>
      </c>
      <c r="D271" s="546">
        <f>+D268+D269+D270</f>
        <v>13980900.819966368</v>
      </c>
      <c r="E271" s="549">
        <f t="shared" si="30"/>
        <v>472965.1846091114</v>
      </c>
    </row>
    <row r="272" spans="1:5" ht="12.75">
      <c r="A272" s="512"/>
      <c r="B272" s="511"/>
      <c r="C272" s="546"/>
      <c r="D272" s="546"/>
      <c r="E272" s="564"/>
    </row>
    <row r="273" spans="1:5" ht="15.75" customHeight="1">
      <c r="A273" s="500" t="s">
        <v>971</v>
      </c>
      <c r="B273" s="550" t="s">
        <v>972</v>
      </c>
      <c r="C273" s="546"/>
      <c r="D273" s="546"/>
      <c r="E273" s="564"/>
    </row>
    <row r="274" spans="1:5" ht="15.75" customHeight="1">
      <c r="A274" s="508"/>
      <c r="B274" s="573"/>
      <c r="C274" s="546"/>
      <c r="D274" s="546"/>
      <c r="E274" s="564"/>
    </row>
    <row r="275" spans="1:5" ht="12.75">
      <c r="A275" s="340" t="s">
        <v>172</v>
      </c>
      <c r="B275" s="509" t="s">
        <v>973</v>
      </c>
      <c r="C275" s="340"/>
      <c r="D275" s="340"/>
      <c r="E275" s="520"/>
    </row>
    <row r="276" spans="1:5" ht="12.75">
      <c r="A276" s="512">
        <v>1</v>
      </c>
      <c r="B276" s="511" t="s">
        <v>781</v>
      </c>
      <c r="C276" s="547">
        <f aca="true" t="shared" si="31" ref="C276:D284">IF(C14=0,0,+C47/C14)</f>
        <v>0.6315812192882844</v>
      </c>
      <c r="D276" s="547">
        <f t="shared" si="31"/>
        <v>0.631501698573797</v>
      </c>
      <c r="E276" s="574">
        <f aca="true" t="shared" si="32" ref="E276:E284">D276-C276</f>
        <v>-7.952071448735776E-05</v>
      </c>
    </row>
    <row r="277" spans="1:5" ht="12.75">
      <c r="A277" s="512">
        <v>2</v>
      </c>
      <c r="B277" s="511" t="s">
        <v>760</v>
      </c>
      <c r="C277" s="547">
        <f t="shared" si="31"/>
        <v>0.44207998509931656</v>
      </c>
      <c r="D277" s="547">
        <f t="shared" si="31"/>
        <v>0.4265206123990702</v>
      </c>
      <c r="E277" s="574">
        <f t="shared" si="32"/>
        <v>-0.015559372700246377</v>
      </c>
    </row>
    <row r="278" spans="1:5" ht="12.75">
      <c r="A278" s="512">
        <v>3</v>
      </c>
      <c r="B278" s="511" t="s">
        <v>906</v>
      </c>
      <c r="C278" s="547">
        <f t="shared" si="31"/>
        <v>0.3688569839448214</v>
      </c>
      <c r="D278" s="547">
        <f t="shared" si="31"/>
        <v>0.3710159254919061</v>
      </c>
      <c r="E278" s="574">
        <f t="shared" si="32"/>
        <v>0.0021589415470846807</v>
      </c>
    </row>
    <row r="279" spans="1:5" ht="12.75">
      <c r="A279" s="512">
        <v>4</v>
      </c>
      <c r="B279" s="511" t="s">
        <v>272</v>
      </c>
      <c r="C279" s="547">
        <f t="shared" si="31"/>
        <v>0.39225106499743606</v>
      </c>
      <c r="D279" s="547">
        <f t="shared" si="31"/>
        <v>0.42400259241162636</v>
      </c>
      <c r="E279" s="574">
        <f t="shared" si="32"/>
        <v>0.031751527414190295</v>
      </c>
    </row>
    <row r="280" spans="1:5" ht="12.75">
      <c r="A280" s="512">
        <v>5</v>
      </c>
      <c r="B280" s="511" t="s">
        <v>873</v>
      </c>
      <c r="C280" s="547">
        <f t="shared" si="31"/>
        <v>0.24962386887760574</v>
      </c>
      <c r="D280" s="547">
        <f t="shared" si="31"/>
        <v>0.1910299303306831</v>
      </c>
      <c r="E280" s="574">
        <f t="shared" si="32"/>
        <v>-0.05859393854692263</v>
      </c>
    </row>
    <row r="281" spans="1:5" ht="12.75">
      <c r="A281" s="512">
        <v>6</v>
      </c>
      <c r="B281" s="511" t="s">
        <v>576</v>
      </c>
      <c r="C281" s="547">
        <f t="shared" si="31"/>
        <v>0.47026699970522984</v>
      </c>
      <c r="D281" s="547">
        <f t="shared" si="31"/>
        <v>0.3219784823953673</v>
      </c>
      <c r="E281" s="574">
        <f t="shared" si="32"/>
        <v>-0.14828851730986253</v>
      </c>
    </row>
    <row r="282" spans="1:5" ht="12.75">
      <c r="A282" s="512">
        <v>7</v>
      </c>
      <c r="B282" s="511" t="s">
        <v>888</v>
      </c>
      <c r="C282" s="547">
        <f t="shared" si="31"/>
        <v>0.04844910954312273</v>
      </c>
      <c r="D282" s="547">
        <f t="shared" si="31"/>
        <v>0.03140220619590462</v>
      </c>
      <c r="E282" s="574">
        <f t="shared" si="32"/>
        <v>-0.01704690334721811</v>
      </c>
    </row>
    <row r="283" spans="1:5" ht="29.25" customHeight="1">
      <c r="A283" s="512"/>
      <c r="B283" s="516" t="s">
        <v>974</v>
      </c>
      <c r="C283" s="575">
        <f t="shared" si="31"/>
        <v>0.43021444005449694</v>
      </c>
      <c r="D283" s="575">
        <f t="shared" si="31"/>
        <v>0.4171044220550105</v>
      </c>
      <c r="E283" s="576">
        <f t="shared" si="32"/>
        <v>-0.013110017999486412</v>
      </c>
    </row>
    <row r="284" spans="1:5" ht="12.75">
      <c r="A284" s="512"/>
      <c r="B284" s="516" t="s">
        <v>975</v>
      </c>
      <c r="C284" s="575">
        <f t="shared" si="31"/>
        <v>0.4848345142565346</v>
      </c>
      <c r="D284" s="575">
        <f t="shared" si="31"/>
        <v>0.4774181568641214</v>
      </c>
      <c r="E284" s="576">
        <f t="shared" si="32"/>
        <v>-0.007416357392413198</v>
      </c>
    </row>
    <row r="285" spans="1:5" ht="11.25" customHeight="1">
      <c r="A285" s="502"/>
      <c r="B285" s="519"/>
      <c r="C285" s="520"/>
      <c r="D285" s="520"/>
      <c r="E285" s="520"/>
    </row>
    <row r="286" spans="1:5" ht="12.75">
      <c r="A286" s="340" t="s">
        <v>184</v>
      </c>
      <c r="B286" s="509" t="s">
        <v>976</v>
      </c>
      <c r="C286" s="520"/>
      <c r="D286" s="520"/>
      <c r="E286" s="520"/>
    </row>
    <row r="287" spans="1:5" ht="12.75">
      <c r="A287" s="512">
        <v>1</v>
      </c>
      <c r="B287" s="511" t="s">
        <v>781</v>
      </c>
      <c r="C287" s="547">
        <f aca="true" t="shared" si="33" ref="C287:D295">IF(C25=0,0,+C58/C25)</f>
        <v>0.632264946951585</v>
      </c>
      <c r="D287" s="547">
        <f t="shared" si="33"/>
        <v>0.6308697827053811</v>
      </c>
      <c r="E287" s="574">
        <f aca="true" t="shared" si="34" ref="E287:E295">D287-C287</f>
        <v>-0.001395164246203895</v>
      </c>
    </row>
    <row r="288" spans="1:5" ht="12.75">
      <c r="A288" s="512">
        <v>2</v>
      </c>
      <c r="B288" s="511" t="s">
        <v>760</v>
      </c>
      <c r="C288" s="547">
        <f t="shared" si="33"/>
        <v>0.3336745970265244</v>
      </c>
      <c r="D288" s="547">
        <f t="shared" si="33"/>
        <v>0.3248660964291383</v>
      </c>
      <c r="E288" s="574">
        <f t="shared" si="34"/>
        <v>-0.008808500597386137</v>
      </c>
    </row>
    <row r="289" spans="1:5" ht="12.75">
      <c r="A289" s="512">
        <v>3</v>
      </c>
      <c r="B289" s="511" t="s">
        <v>906</v>
      </c>
      <c r="C289" s="547">
        <f t="shared" si="33"/>
        <v>0.2743122957574729</v>
      </c>
      <c r="D289" s="547">
        <f t="shared" si="33"/>
        <v>0.28139767345028516</v>
      </c>
      <c r="E289" s="574">
        <f t="shared" si="34"/>
        <v>0.007085377692812256</v>
      </c>
    </row>
    <row r="290" spans="1:5" ht="12.75">
      <c r="A290" s="512">
        <v>4</v>
      </c>
      <c r="B290" s="511" t="s">
        <v>272</v>
      </c>
      <c r="C290" s="547">
        <f t="shared" si="33"/>
        <v>0.30087072879208343</v>
      </c>
      <c r="D290" s="547">
        <f t="shared" si="33"/>
        <v>0.3241354779644888</v>
      </c>
      <c r="E290" s="574">
        <f t="shared" si="34"/>
        <v>0.023264749172405397</v>
      </c>
    </row>
    <row r="291" spans="1:5" ht="12.75">
      <c r="A291" s="512">
        <v>5</v>
      </c>
      <c r="B291" s="511" t="s">
        <v>873</v>
      </c>
      <c r="C291" s="547">
        <f t="shared" si="33"/>
        <v>0.15199047631707602</v>
      </c>
      <c r="D291" s="547">
        <f t="shared" si="33"/>
        <v>0.12052550208142923</v>
      </c>
      <c r="E291" s="574">
        <f t="shared" si="34"/>
        <v>-0.031464974235646787</v>
      </c>
    </row>
    <row r="292" spans="1:5" ht="12.75">
      <c r="A292" s="512">
        <v>6</v>
      </c>
      <c r="B292" s="511" t="s">
        <v>576</v>
      </c>
      <c r="C292" s="547">
        <f t="shared" si="33"/>
        <v>0.470268458600509</v>
      </c>
      <c r="D292" s="547">
        <f t="shared" si="33"/>
        <v>0.3219783795768176</v>
      </c>
      <c r="E292" s="574">
        <f t="shared" si="34"/>
        <v>-0.1482900790236914</v>
      </c>
    </row>
    <row r="293" spans="1:5" ht="12.75">
      <c r="A293" s="512">
        <v>7</v>
      </c>
      <c r="B293" s="511" t="s">
        <v>888</v>
      </c>
      <c r="C293" s="547">
        <f t="shared" si="33"/>
        <v>0.041169969733986095</v>
      </c>
      <c r="D293" s="547">
        <f t="shared" si="33"/>
        <v>0.05293757246758723</v>
      </c>
      <c r="E293" s="574">
        <f t="shared" si="34"/>
        <v>0.011767602733601133</v>
      </c>
    </row>
    <row r="294" spans="1:5" ht="29.25" customHeight="1">
      <c r="A294" s="512"/>
      <c r="B294" s="516" t="s">
        <v>977</v>
      </c>
      <c r="C294" s="575">
        <f t="shared" si="33"/>
        <v>0.3166346170595569</v>
      </c>
      <c r="D294" s="575">
        <f t="shared" si="33"/>
        <v>0.31082524110366255</v>
      </c>
      <c r="E294" s="576">
        <f t="shared" si="34"/>
        <v>-0.005809375955894369</v>
      </c>
    </row>
    <row r="295" spans="1:5" ht="12.75">
      <c r="A295" s="512"/>
      <c r="B295" s="516" t="s">
        <v>978</v>
      </c>
      <c r="C295" s="575">
        <f t="shared" si="33"/>
        <v>0.4851177374327128</v>
      </c>
      <c r="D295" s="575">
        <f t="shared" si="33"/>
        <v>0.47660783625328057</v>
      </c>
      <c r="E295" s="576">
        <f t="shared" si="34"/>
        <v>-0.008509901179432233</v>
      </c>
    </row>
    <row r="296" spans="1:5" ht="12.75">
      <c r="A296" s="502"/>
      <c r="B296" s="519"/>
      <c r="C296" s="519"/>
      <c r="D296" s="520"/>
      <c r="E296" s="576"/>
    </row>
    <row r="297" spans="1:5" ht="15.75" customHeight="1">
      <c r="A297" s="500" t="s">
        <v>979</v>
      </c>
      <c r="B297" s="501" t="s">
        <v>0</v>
      </c>
      <c r="C297" s="340"/>
      <c r="E297" s="576"/>
    </row>
    <row r="298" spans="1:5" ht="15.75" customHeight="1">
      <c r="A298" s="340"/>
      <c r="B298" s="577"/>
      <c r="C298" s="499"/>
      <c r="E298" s="576"/>
    </row>
    <row r="299" spans="1:5" ht="12.75">
      <c r="A299" s="508" t="s">
        <v>172</v>
      </c>
      <c r="B299" s="509" t="s">
        <v>1</v>
      </c>
      <c r="C299" s="510"/>
      <c r="D299" s="510"/>
      <c r="E299" s="576"/>
    </row>
    <row r="300" spans="1:5" ht="12.75">
      <c r="A300" s="511"/>
      <c r="B300" s="511"/>
      <c r="C300" s="510"/>
      <c r="D300" s="510"/>
      <c r="E300" s="576"/>
    </row>
    <row r="301" spans="1:5" ht="12.75">
      <c r="A301" s="512">
        <v>1</v>
      </c>
      <c r="B301" s="511" t="s">
        <v>779</v>
      </c>
      <c r="C301" s="514">
        <f>+C48+C47+C50+C51+C52+C59+C58+C61+C62+C63</f>
        <v>159292195</v>
      </c>
      <c r="D301" s="514">
        <f>+D48+D47+D50+D51+D52+D59+D58+D61+D62+D63</f>
        <v>165821047</v>
      </c>
      <c r="E301" s="514">
        <f>D301-C301</f>
        <v>6528852</v>
      </c>
    </row>
    <row r="302" spans="1:5" ht="25.5">
      <c r="A302" s="512">
        <v>2</v>
      </c>
      <c r="B302" s="511" t="s">
        <v>2</v>
      </c>
      <c r="C302" s="546">
        <f>C265</f>
        <v>1132791</v>
      </c>
      <c r="D302" s="546">
        <f>D265</f>
        <v>1261662</v>
      </c>
      <c r="E302" s="514">
        <f>D302-C302</f>
        <v>128871</v>
      </c>
    </row>
    <row r="303" spans="1:5" ht="12.75">
      <c r="A303" s="512"/>
      <c r="B303" s="516" t="s">
        <v>3</v>
      </c>
      <c r="C303" s="517">
        <f>+C301+C302</f>
        <v>160424986</v>
      </c>
      <c r="D303" s="517">
        <f>+D301+D302</f>
        <v>167082709</v>
      </c>
      <c r="E303" s="517">
        <f>D303-C303</f>
        <v>6657723</v>
      </c>
    </row>
    <row r="304" spans="1:5" ht="12.75">
      <c r="A304" s="512"/>
      <c r="B304" s="511"/>
      <c r="C304" s="511"/>
      <c r="D304" s="511"/>
      <c r="E304" s="514"/>
    </row>
    <row r="305" spans="1:5" ht="12.75">
      <c r="A305" s="512">
        <v>3</v>
      </c>
      <c r="B305" s="511" t="s">
        <v>4</v>
      </c>
      <c r="C305" s="513">
        <v>6041618</v>
      </c>
      <c r="D305" s="578">
        <v>5387626</v>
      </c>
      <c r="E305" s="579">
        <f>D305-C305</f>
        <v>-653992</v>
      </c>
    </row>
    <row r="306" spans="1:5" ht="12.75">
      <c r="A306" s="512">
        <v>4</v>
      </c>
      <c r="B306" s="516" t="s">
        <v>5</v>
      </c>
      <c r="C306" s="580">
        <f>+C303+C305+C194+C190-C191</f>
        <v>178133329</v>
      </c>
      <c r="D306" s="580">
        <f>+D303+D305</f>
        <v>172470335</v>
      </c>
      <c r="E306" s="580">
        <f>D306-C306</f>
        <v>-5662994</v>
      </c>
    </row>
    <row r="307" spans="1:5" ht="12.75">
      <c r="A307" s="512"/>
      <c r="B307" s="510"/>
      <c r="C307" s="510"/>
      <c r="D307" s="510"/>
      <c r="E307" s="514"/>
    </row>
    <row r="308" spans="1:5" ht="25.5">
      <c r="A308" s="512">
        <v>5</v>
      </c>
      <c r="B308" s="511" t="s">
        <v>6</v>
      </c>
      <c r="C308" s="513">
        <v>166466604</v>
      </c>
      <c r="D308" s="513">
        <v>172470335</v>
      </c>
      <c r="E308" s="514">
        <f>D308-C308</f>
        <v>6003731</v>
      </c>
    </row>
    <row r="309" spans="1:5" ht="12.75">
      <c r="A309" s="512"/>
      <c r="B309" s="511"/>
      <c r="C309" s="511"/>
      <c r="D309" s="511"/>
      <c r="E309" s="514"/>
    </row>
    <row r="310" spans="1:5" ht="12.75">
      <c r="A310" s="512">
        <v>6</v>
      </c>
      <c r="B310" s="516" t="s">
        <v>7</v>
      </c>
      <c r="C310" s="581">
        <f>C306-C308</f>
        <v>11666725</v>
      </c>
      <c r="D310" s="582">
        <f>D306-D308</f>
        <v>0</v>
      </c>
      <c r="E310" s="580">
        <f>D310-C310</f>
        <v>-11666725</v>
      </c>
    </row>
    <row r="311" spans="1:5" ht="12.75">
      <c r="A311" s="512"/>
      <c r="B311" s="511"/>
      <c r="C311" s="511"/>
      <c r="D311" s="511"/>
      <c r="E311" s="514"/>
    </row>
    <row r="312" spans="1:5" ht="12.75">
      <c r="A312" s="340" t="s">
        <v>184</v>
      </c>
      <c r="B312" s="509" t="s">
        <v>8</v>
      </c>
      <c r="C312" s="510"/>
      <c r="D312" s="510"/>
      <c r="E312" s="514"/>
    </row>
    <row r="313" spans="1:5" ht="12.75">
      <c r="A313" s="510"/>
      <c r="B313" s="551"/>
      <c r="C313" s="510"/>
      <c r="D313" s="510"/>
      <c r="E313" s="514"/>
    </row>
    <row r="314" spans="1:5" ht="12.75">
      <c r="A314" s="512">
        <v>1</v>
      </c>
      <c r="B314" s="511" t="s">
        <v>9</v>
      </c>
      <c r="C314" s="514">
        <f>+C14+C15+C16+C19+C25+C26+C27+C30</f>
        <v>328452941</v>
      </c>
      <c r="D314" s="514">
        <f>+D14+D15+D16+D19+D25+D26+D27+D30</f>
        <v>347627051</v>
      </c>
      <c r="E314" s="514">
        <f>D314-C314</f>
        <v>19174110</v>
      </c>
    </row>
    <row r="315" spans="1:5" ht="12.75">
      <c r="A315" s="512">
        <v>2</v>
      </c>
      <c r="B315" s="583" t="s">
        <v>10</v>
      </c>
      <c r="C315" s="513">
        <v>0</v>
      </c>
      <c r="D315" s="513">
        <v>0</v>
      </c>
      <c r="E315" s="514">
        <f>D315-C315</f>
        <v>0</v>
      </c>
    </row>
    <row r="316" spans="1:5" ht="12.75">
      <c r="A316" s="512"/>
      <c r="B316" s="516" t="s">
        <v>11</v>
      </c>
      <c r="C316" s="581">
        <f>C314+C315</f>
        <v>328452941</v>
      </c>
      <c r="D316" s="581">
        <f>D314+D315</f>
        <v>347627051</v>
      </c>
      <c r="E316" s="517">
        <f>D316-C316</f>
        <v>19174110</v>
      </c>
    </row>
    <row r="317" spans="1:5" ht="12.75">
      <c r="A317" s="512"/>
      <c r="B317" s="510"/>
      <c r="C317" s="513"/>
      <c r="D317" s="513"/>
      <c r="E317" s="514"/>
    </row>
    <row r="318" spans="1:5" ht="25.5">
      <c r="A318" s="512">
        <v>3</v>
      </c>
      <c r="B318" s="511" t="s">
        <v>12</v>
      </c>
      <c r="C318" s="513">
        <v>328452941</v>
      </c>
      <c r="D318" s="513">
        <v>347627051</v>
      </c>
      <c r="E318" s="514">
        <f>D318-C318</f>
        <v>19174110</v>
      </c>
    </row>
    <row r="319" spans="1:5" ht="12.75">
      <c r="A319" s="512"/>
      <c r="B319" s="511"/>
      <c r="C319" s="513"/>
      <c r="D319" s="513"/>
      <c r="E319" s="514"/>
    </row>
    <row r="320" spans="1:5" ht="12.75">
      <c r="A320" s="512">
        <v>4</v>
      </c>
      <c r="B320" s="516" t="s">
        <v>7</v>
      </c>
      <c r="C320" s="581">
        <f>C316-C318</f>
        <v>0</v>
      </c>
      <c r="D320" s="581">
        <f>D316-D318</f>
        <v>0</v>
      </c>
      <c r="E320" s="517">
        <f>D320-C320</f>
        <v>0</v>
      </c>
    </row>
    <row r="321" spans="1:5" ht="12.75">
      <c r="A321" s="511"/>
      <c r="B321" s="510"/>
      <c r="C321" s="510"/>
      <c r="D321" s="510"/>
      <c r="E321" s="514"/>
    </row>
    <row r="322" spans="1:5" ht="12.75">
      <c r="A322" s="508" t="s">
        <v>194</v>
      </c>
      <c r="B322" s="509" t="s">
        <v>13</v>
      </c>
      <c r="C322" s="510"/>
      <c r="D322" s="510"/>
      <c r="E322" s="514"/>
    </row>
    <row r="323" spans="1:5" ht="12.75">
      <c r="A323" s="510"/>
      <c r="B323" s="551"/>
      <c r="C323" s="510"/>
      <c r="D323" s="510"/>
      <c r="E323" s="514"/>
    </row>
    <row r="324" spans="1:5" ht="12.75">
      <c r="A324" s="512">
        <v>1</v>
      </c>
      <c r="B324" s="511" t="s">
        <v>14</v>
      </c>
      <c r="C324" s="513">
        <f>+C193+C194</f>
        <v>12956275</v>
      </c>
      <c r="D324" s="513">
        <f>+D193+D194</f>
        <v>13088202</v>
      </c>
      <c r="E324" s="514">
        <f>D324-C324</f>
        <v>131927</v>
      </c>
    </row>
    <row r="325" spans="1:5" ht="12.75">
      <c r="A325" s="512">
        <v>2</v>
      </c>
      <c r="B325" s="511" t="s">
        <v>15</v>
      </c>
      <c r="C325" s="513">
        <v>0</v>
      </c>
      <c r="D325" s="513">
        <v>0</v>
      </c>
      <c r="E325" s="514">
        <f>D325-C325</f>
        <v>0</v>
      </c>
    </row>
    <row r="326" spans="1:5" ht="12.75">
      <c r="A326" s="512"/>
      <c r="B326" s="516" t="s">
        <v>16</v>
      </c>
      <c r="C326" s="581">
        <f>C324+C325</f>
        <v>12956275</v>
      </c>
      <c r="D326" s="581">
        <f>D324+D325</f>
        <v>13088202</v>
      </c>
      <c r="E326" s="517">
        <f>D326-C326</f>
        <v>131927</v>
      </c>
    </row>
    <row r="327" spans="1:5" ht="12.75">
      <c r="A327" s="512"/>
      <c r="B327" s="510"/>
      <c r="C327" s="513"/>
      <c r="D327" s="513"/>
      <c r="E327" s="514"/>
    </row>
    <row r="328" spans="1:5" ht="25.5">
      <c r="A328" s="512">
        <v>3</v>
      </c>
      <c r="B328" s="511" t="s">
        <v>17</v>
      </c>
      <c r="C328" s="513">
        <v>12956275</v>
      </c>
      <c r="D328" s="513">
        <v>13088202</v>
      </c>
      <c r="E328" s="514">
        <f>D328-C328</f>
        <v>131927</v>
      </c>
    </row>
    <row r="329" spans="1:5" ht="12.75">
      <c r="A329" s="512"/>
      <c r="B329" s="511"/>
      <c r="C329" s="513"/>
      <c r="D329" s="513"/>
      <c r="E329" s="514"/>
    </row>
    <row r="330" spans="1:5" ht="12.75">
      <c r="A330" s="512">
        <v>4</v>
      </c>
      <c r="B330" s="516" t="s">
        <v>18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ht="12.75">
      <c r="E331" s="514"/>
    </row>
    <row r="332" ht="12.75">
      <c r="E332" s="514"/>
    </row>
    <row r="333" ht="12.75">
      <c r="E333" s="517"/>
    </row>
  </sheetData>
  <sheetProtection/>
  <mergeCells count="5">
    <mergeCell ref="A6:E6"/>
    <mergeCell ref="A2:E2"/>
    <mergeCell ref="A3:E3"/>
    <mergeCell ref="A4:E4"/>
    <mergeCell ref="A5:E5"/>
  </mergeCells>
  <printOptions gridLines="1"/>
  <pageMargins left="0.5" right="0.5" top="0.5" bottom="0.5" header="0.25" footer="0.25"/>
  <pageSetup horizontalDpi="1200" verticalDpi="1200" orientation="portrait" scale="70"/>
  <headerFooter alignWithMargins="0">
    <oddHeader>&amp;LOFFICE OF HEALTH CARE ACCESS&amp;CTWELVE MONTHS ACTUAL FILING&amp;RMIDSTATE MEDICAL CENTER</oddHeader>
    <oddFooter>&amp;LREPORT 550&amp;CPAGE &amp;P of &amp;N&amp;R&amp;D, &amp;T</oddFooter>
  </headerFooter>
  <rowBreaks count="5" manualBreakCount="5">
    <brk id="78" max="255" man="1"/>
    <brk id="132" max="255" man="1"/>
    <brk id="198" max="255" man="1"/>
    <brk id="248" max="255" man="1"/>
    <brk id="29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BF143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 customWidth="1"/>
    <col min="44" max="44" width="9.140625" style="331" customWidth="1"/>
    <col min="45" max="16384" width="9.140625" style="330" customWidth="1"/>
  </cols>
  <sheetData>
    <row r="2" spans="1:4" s="338" customFormat="1" ht="15.75" customHeight="1">
      <c r="A2" s="705" t="s">
        <v>158</v>
      </c>
      <c r="B2" s="705"/>
      <c r="C2" s="705"/>
      <c r="D2" s="585"/>
    </row>
    <row r="3" spans="1:4" s="338" customFormat="1" ht="15.75" customHeight="1">
      <c r="A3" s="695" t="s">
        <v>751</v>
      </c>
      <c r="B3" s="696"/>
      <c r="C3" s="697"/>
      <c r="D3" s="585"/>
    </row>
    <row r="4" spans="1:4" s="338" customFormat="1" ht="15.75" customHeight="1">
      <c r="A4" s="695" t="s">
        <v>160</v>
      </c>
      <c r="B4" s="696"/>
      <c r="C4" s="697"/>
      <c r="D4" s="585"/>
    </row>
    <row r="5" spans="1:4" s="338" customFormat="1" ht="15.75" customHeight="1">
      <c r="A5" s="695" t="s">
        <v>19</v>
      </c>
      <c r="B5" s="696"/>
      <c r="C5" s="697"/>
      <c r="D5" s="585"/>
    </row>
    <row r="6" spans="1:4" s="338" customFormat="1" ht="15.75" customHeight="1">
      <c r="A6" s="695" t="s">
        <v>20</v>
      </c>
      <c r="B6" s="696"/>
      <c r="C6" s="697"/>
      <c r="D6" s="585"/>
    </row>
    <row r="7" spans="1:4" s="338" customFormat="1" ht="15.75" customHeight="1">
      <c r="A7" s="709"/>
      <c r="B7" s="709"/>
      <c r="C7" s="709"/>
      <c r="D7" s="585"/>
    </row>
    <row r="8" spans="1:4" s="338" customFormat="1" ht="15.75" customHeight="1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>
      <c r="A9" s="587" t="s">
        <v>166</v>
      </c>
      <c r="B9" s="493" t="s">
        <v>167</v>
      </c>
      <c r="C9" s="494" t="s">
        <v>21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>
      <c r="A11" s="500" t="s">
        <v>170</v>
      </c>
      <c r="B11" s="501" t="s">
        <v>22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ht="12.75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ht="12.75">
      <c r="A13" s="508" t="s">
        <v>172</v>
      </c>
      <c r="B13" s="509" t="s">
        <v>905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ht="12.75">
      <c r="A14" s="512">
        <v>1</v>
      </c>
      <c r="B14" s="511" t="s">
        <v>781</v>
      </c>
      <c r="C14" s="513">
        <v>48350269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ht="12.75">
      <c r="A15" s="512">
        <v>2</v>
      </c>
      <c r="B15" s="511" t="s">
        <v>760</v>
      </c>
      <c r="C15" s="515">
        <v>102801789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ht="12.75">
      <c r="A16" s="512">
        <v>3</v>
      </c>
      <c r="B16" s="511" t="s">
        <v>906</v>
      </c>
      <c r="C16" s="515">
        <v>20451362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ht="12.75">
      <c r="A17" s="512">
        <v>4</v>
      </c>
      <c r="B17" s="511" t="s">
        <v>272</v>
      </c>
      <c r="C17" s="515">
        <v>15799960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ht="12.75">
      <c r="A18" s="512">
        <v>5</v>
      </c>
      <c r="B18" s="511" t="s">
        <v>873</v>
      </c>
      <c r="C18" s="515">
        <v>4651402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ht="12.75">
      <c r="A19" s="512">
        <v>6</v>
      </c>
      <c r="B19" s="511" t="s">
        <v>576</v>
      </c>
      <c r="C19" s="515">
        <v>267316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ht="12.75">
      <c r="A20" s="512">
        <v>7</v>
      </c>
      <c r="B20" s="511" t="s">
        <v>888</v>
      </c>
      <c r="C20" s="515">
        <v>4002999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ht="12.75">
      <c r="A21" s="512"/>
      <c r="B21" s="516" t="s">
        <v>907</v>
      </c>
      <c r="C21" s="517">
        <f>SUM(C15+C16+C19)</f>
        <v>123520467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ht="12.75">
      <c r="A22" s="512"/>
      <c r="B22" s="516" t="s">
        <v>847</v>
      </c>
      <c r="C22" s="517">
        <f>SUM(C14+C21)</f>
        <v>171870736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ht="12.75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ht="12.75">
      <c r="A24" s="508" t="s">
        <v>184</v>
      </c>
      <c r="B24" s="509" t="s">
        <v>908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ht="12.75">
      <c r="A25" s="512">
        <v>1</v>
      </c>
      <c r="B25" s="511" t="s">
        <v>781</v>
      </c>
      <c r="C25" s="513">
        <v>91041509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ht="12.75">
      <c r="A26" s="512">
        <v>2</v>
      </c>
      <c r="B26" s="511" t="s">
        <v>760</v>
      </c>
      <c r="C26" s="515">
        <v>57089777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ht="12.75">
      <c r="A27" s="512">
        <v>3</v>
      </c>
      <c r="B27" s="511" t="s">
        <v>906</v>
      </c>
      <c r="C27" s="515">
        <v>27345386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ht="12.75">
      <c r="A28" s="512">
        <v>4</v>
      </c>
      <c r="B28" s="511" t="s">
        <v>272</v>
      </c>
      <c r="C28" s="515">
        <v>21605580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ht="12.75">
      <c r="A29" s="512">
        <v>5</v>
      </c>
      <c r="B29" s="511" t="s">
        <v>873</v>
      </c>
      <c r="C29" s="515">
        <v>5739806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ht="12.75">
      <c r="A30" s="512">
        <v>6</v>
      </c>
      <c r="B30" s="511" t="s">
        <v>576</v>
      </c>
      <c r="C30" s="515">
        <v>279643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ht="12.75">
      <c r="A31" s="512">
        <v>7</v>
      </c>
      <c r="B31" s="511" t="s">
        <v>888</v>
      </c>
      <c r="C31" s="518">
        <v>6982432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ht="12.75">
      <c r="A32" s="512"/>
      <c r="B32" s="516" t="s">
        <v>909</v>
      </c>
      <c r="C32" s="517">
        <f>SUM(C26+C27+C30)</f>
        <v>84714806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ht="12.75">
      <c r="A33" s="512"/>
      <c r="B33" s="516" t="s">
        <v>853</v>
      </c>
      <c r="C33" s="517">
        <f>SUM(C25+C32)</f>
        <v>175756315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ht="12.75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ht="12.75">
      <c r="A35" s="508" t="s">
        <v>194</v>
      </c>
      <c r="B35" s="509" t="s">
        <v>778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ht="12.75">
      <c r="A36" s="512">
        <v>1</v>
      </c>
      <c r="B36" s="511" t="s">
        <v>23</v>
      </c>
      <c r="C36" s="514">
        <f>SUM(C14+C25)</f>
        <v>139391778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ht="12.75">
      <c r="A37" s="512">
        <v>2</v>
      </c>
      <c r="B37" s="511" t="s">
        <v>24</v>
      </c>
      <c r="C37" s="518">
        <f>SUM(C21+C32)</f>
        <v>208235273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ht="12.75">
      <c r="A38" s="512"/>
      <c r="B38" s="516" t="s">
        <v>778</v>
      </c>
      <c r="C38" s="517">
        <f>SUM(+C36+C37)</f>
        <v>347627051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ht="12.75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ht="12.75">
      <c r="A40" s="508" t="s">
        <v>479</v>
      </c>
      <c r="B40" s="509" t="s">
        <v>918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>
      <c r="A41" s="512">
        <v>1</v>
      </c>
      <c r="B41" s="511" t="s">
        <v>781</v>
      </c>
      <c r="C41" s="513">
        <v>30533277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ht="12.75">
      <c r="A42" s="512">
        <v>2</v>
      </c>
      <c r="B42" s="511" t="s">
        <v>760</v>
      </c>
      <c r="C42" s="515">
        <v>43847082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ht="12.75">
      <c r="A43" s="512">
        <v>3</v>
      </c>
      <c r="B43" s="511" t="s">
        <v>906</v>
      </c>
      <c r="C43" s="515">
        <v>7587781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ht="12.75">
      <c r="A44" s="512">
        <v>4</v>
      </c>
      <c r="B44" s="511" t="s">
        <v>272</v>
      </c>
      <c r="C44" s="515">
        <v>6699224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ht="12.75">
      <c r="A45" s="512">
        <v>5</v>
      </c>
      <c r="B45" s="511" t="s">
        <v>873</v>
      </c>
      <c r="C45" s="515">
        <v>888557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ht="12.75">
      <c r="A46" s="512">
        <v>6</v>
      </c>
      <c r="B46" s="511" t="s">
        <v>576</v>
      </c>
      <c r="C46" s="515">
        <v>86070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ht="12.75">
      <c r="A47" s="512">
        <v>7</v>
      </c>
      <c r="B47" s="511" t="s">
        <v>888</v>
      </c>
      <c r="C47" s="515">
        <v>125703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ht="12.75">
      <c r="A48" s="512"/>
      <c r="B48" s="516" t="s">
        <v>919</v>
      </c>
      <c r="C48" s="517">
        <f>SUM(C42+C43+C46)</f>
        <v>51520933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ht="12.75">
      <c r="A49" s="512"/>
      <c r="B49" s="516" t="s">
        <v>848</v>
      </c>
      <c r="C49" s="517">
        <f>SUM(C41+C48)</f>
        <v>82054210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ht="12.75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ht="12.75">
      <c r="A51" s="508" t="s">
        <v>500</v>
      </c>
      <c r="B51" s="509" t="s">
        <v>920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ht="12.75">
      <c r="A52" s="512">
        <v>1</v>
      </c>
      <c r="B52" s="511" t="s">
        <v>781</v>
      </c>
      <c r="C52" s="513">
        <v>57435337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ht="12.75">
      <c r="A53" s="512">
        <v>2</v>
      </c>
      <c r="B53" s="511" t="s">
        <v>760</v>
      </c>
      <c r="C53" s="515">
        <v>18546533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ht="12.75">
      <c r="A54" s="512">
        <v>3</v>
      </c>
      <c r="B54" s="511" t="s">
        <v>906</v>
      </c>
      <c r="C54" s="515">
        <v>7694928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ht="12.75">
      <c r="A55" s="512">
        <v>4</v>
      </c>
      <c r="B55" s="511" t="s">
        <v>272</v>
      </c>
      <c r="C55" s="515">
        <v>7003135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ht="12.75">
      <c r="A56" s="512">
        <v>5</v>
      </c>
      <c r="B56" s="511" t="s">
        <v>873</v>
      </c>
      <c r="C56" s="515">
        <v>691793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ht="12.75">
      <c r="A57" s="512">
        <v>6</v>
      </c>
      <c r="B57" s="511" t="s">
        <v>576</v>
      </c>
      <c r="C57" s="515">
        <v>90039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ht="12.75">
      <c r="A58" s="512">
        <v>7</v>
      </c>
      <c r="B58" s="511" t="s">
        <v>888</v>
      </c>
      <c r="C58" s="515">
        <v>369633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ht="12.75">
      <c r="A59" s="512"/>
      <c r="B59" s="516" t="s">
        <v>921</v>
      </c>
      <c r="C59" s="517">
        <f>SUM(C53+C54+C57)</f>
        <v>26331500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ht="12.75">
      <c r="A60" s="512"/>
      <c r="B60" s="516" t="s">
        <v>854</v>
      </c>
      <c r="C60" s="517">
        <f>SUM(C52+C59)</f>
        <v>83766837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3" ht="12.75">
      <c r="A61" s="520"/>
      <c r="B61" s="519"/>
      <c r="C61" s="520"/>
    </row>
    <row r="62" spans="1:58" s="506" customFormat="1" ht="12.75">
      <c r="A62" s="508" t="s">
        <v>512</v>
      </c>
      <c r="B62" s="521" t="s">
        <v>779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ht="12.75">
      <c r="A63" s="512">
        <v>1</v>
      </c>
      <c r="B63" s="511" t="s">
        <v>25</v>
      </c>
      <c r="C63" s="514">
        <f>SUM(C41+C52)</f>
        <v>87968614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ht="12.75">
      <c r="A64" s="512">
        <v>2</v>
      </c>
      <c r="B64" s="511" t="s">
        <v>26</v>
      </c>
      <c r="C64" s="518">
        <f>SUM(C48+C59)</f>
        <v>77852433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ht="12.75">
      <c r="A65" s="512"/>
      <c r="B65" s="516" t="s">
        <v>779</v>
      </c>
      <c r="C65" s="517">
        <f>SUM(+C63+C64)</f>
        <v>165821047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ht="12.75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>
      <c r="A67" s="335" t="s">
        <v>202</v>
      </c>
      <c r="B67" s="501" t="s">
        <v>27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ht="12.75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ht="12.75">
      <c r="A69" s="508" t="s">
        <v>172</v>
      </c>
      <c r="B69" s="509" t="s">
        <v>28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ht="12.75">
      <c r="A70" s="512">
        <v>1</v>
      </c>
      <c r="B70" s="511" t="s">
        <v>781</v>
      </c>
      <c r="C70" s="530">
        <v>3390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ht="12.75">
      <c r="A71" s="512">
        <v>2</v>
      </c>
      <c r="B71" s="511" t="s">
        <v>760</v>
      </c>
      <c r="C71" s="530">
        <v>4708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ht="12.75">
      <c r="A72" s="512">
        <v>3</v>
      </c>
      <c r="B72" s="511" t="s">
        <v>906</v>
      </c>
      <c r="C72" s="530">
        <v>1847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ht="12.75">
      <c r="A73" s="512">
        <v>4</v>
      </c>
      <c r="B73" s="511" t="s">
        <v>272</v>
      </c>
      <c r="C73" s="530">
        <v>1542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ht="12.75">
      <c r="A74" s="512">
        <v>5</v>
      </c>
      <c r="B74" s="511" t="s">
        <v>873</v>
      </c>
      <c r="C74" s="530">
        <v>305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ht="12.75">
      <c r="A75" s="512">
        <v>6</v>
      </c>
      <c r="B75" s="511" t="s">
        <v>576</v>
      </c>
      <c r="C75" s="545">
        <v>10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ht="12.75">
      <c r="A76" s="512">
        <v>7</v>
      </c>
      <c r="B76" s="511" t="s">
        <v>888</v>
      </c>
      <c r="C76" s="545">
        <v>302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ht="12.75">
      <c r="A77" s="512"/>
      <c r="B77" s="516" t="s">
        <v>936</v>
      </c>
      <c r="C77" s="532">
        <f>SUM(C71+C72+C75)</f>
        <v>6565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ht="12.75">
      <c r="A78" s="512"/>
      <c r="B78" s="516" t="s">
        <v>850</v>
      </c>
      <c r="C78" s="596">
        <f>SUM(C70+C77)</f>
        <v>9955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ht="12.75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ht="12.75">
      <c r="A80" s="508" t="s">
        <v>184</v>
      </c>
      <c r="B80" s="509" t="s">
        <v>941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ht="12.75">
      <c r="A81" s="512">
        <v>1</v>
      </c>
      <c r="B81" s="511" t="s">
        <v>781</v>
      </c>
      <c r="C81" s="541">
        <v>1.00835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ht="12.75">
      <c r="A82" s="512">
        <v>2</v>
      </c>
      <c r="B82" s="511" t="s">
        <v>760</v>
      </c>
      <c r="C82" s="541">
        <v>1.44517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ht="12.75">
      <c r="A83" s="512">
        <v>3</v>
      </c>
      <c r="B83" s="511" t="s">
        <v>906</v>
      </c>
      <c r="C83" s="541">
        <f>((C73*C84)+(C74*C85))/(C73+C74)</f>
        <v>0.8052678884677855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ht="12.75">
      <c r="A84" s="512">
        <v>4</v>
      </c>
      <c r="B84" s="511" t="s">
        <v>272</v>
      </c>
      <c r="C84" s="541">
        <v>0.75642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ht="12.75">
      <c r="A85" s="512">
        <v>5</v>
      </c>
      <c r="B85" s="511" t="s">
        <v>873</v>
      </c>
      <c r="C85" s="541">
        <v>1.05223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ht="12.75">
      <c r="A86" s="512">
        <v>6</v>
      </c>
      <c r="B86" s="511" t="s">
        <v>576</v>
      </c>
      <c r="C86" s="541">
        <v>1.91412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ht="12.75">
      <c r="A87" s="512">
        <v>7</v>
      </c>
      <c r="B87" s="511" t="s">
        <v>888</v>
      </c>
      <c r="C87" s="541">
        <v>0.88553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ht="12.75">
      <c r="A88" s="512"/>
      <c r="B88" s="516" t="s">
        <v>942</v>
      </c>
      <c r="C88" s="543">
        <f>((C71*C82)+(C73*C84)+(C74*C85)+(C75*C86))/(C71+C73+C74+C75)</f>
        <v>1.265853975628332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ht="12.75">
      <c r="A89" s="512"/>
      <c r="B89" s="516" t="s">
        <v>851</v>
      </c>
      <c r="C89" s="543">
        <f>((C70*C81)+(C71*C82)+(C73*C84)+(C74*C85)+(C75*C86))/(C70+C71+C73+C74+C75)</f>
        <v>1.1781655298844802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ht="12.75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ht="12.75">
      <c r="A91" s="508" t="s">
        <v>194</v>
      </c>
      <c r="B91" s="509" t="s">
        <v>943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ht="12.75">
      <c r="A92" s="512">
        <v>1</v>
      </c>
      <c r="B92" s="511" t="s">
        <v>944</v>
      </c>
      <c r="C92" s="513">
        <v>123130052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ht="12.75">
      <c r="A93" s="512">
        <v>2</v>
      </c>
      <c r="B93" s="511" t="s">
        <v>945</v>
      </c>
      <c r="C93" s="546">
        <v>87350337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ht="12.75">
      <c r="A94" s="512"/>
      <c r="B94" s="511" t="s">
        <v>793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ht="12.75">
      <c r="A95" s="512">
        <v>3</v>
      </c>
      <c r="B95" s="511" t="s">
        <v>877</v>
      </c>
      <c r="C95" s="513">
        <f>+C92-C93</f>
        <v>35779715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ht="12.75">
      <c r="A96" s="512">
        <v>4</v>
      </c>
      <c r="B96" s="511" t="s">
        <v>795</v>
      </c>
      <c r="C96" s="597">
        <f>(+C92-C93)/C92</f>
        <v>0.29058474693083053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ht="12.75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ht="12.75">
      <c r="A98" s="512">
        <v>5</v>
      </c>
      <c r="B98" s="511" t="s">
        <v>892</v>
      </c>
      <c r="C98" s="513">
        <v>4660665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ht="12.75">
      <c r="A99" s="512">
        <v>6</v>
      </c>
      <c r="B99" s="511" t="s">
        <v>878</v>
      </c>
      <c r="C99" s="513">
        <v>2555247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ht="12.75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>
      <c r="A101" s="512">
        <v>7</v>
      </c>
      <c r="B101" s="548" t="s">
        <v>29</v>
      </c>
      <c r="C101" s="513">
        <v>1261662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ht="12.75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ht="12.75">
      <c r="A103" s="512">
        <v>8</v>
      </c>
      <c r="B103" s="511" t="s">
        <v>947</v>
      </c>
      <c r="C103" s="513">
        <v>3370587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ht="12.75">
      <c r="A104" s="512">
        <v>9</v>
      </c>
      <c r="B104" s="511" t="s">
        <v>948</v>
      </c>
      <c r="C104" s="513">
        <v>9717615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ht="12.75">
      <c r="A105" s="570">
        <v>10</v>
      </c>
      <c r="B105" s="571" t="s">
        <v>949</v>
      </c>
      <c r="C105" s="578">
        <f>+C103+C104</f>
        <v>13088202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ht="12.75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ht="12.75">
      <c r="A107" s="512">
        <v>11</v>
      </c>
      <c r="B107" s="511" t="s">
        <v>950</v>
      </c>
      <c r="C107" s="513">
        <v>6541587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ht="12.75">
      <c r="A108" s="512">
        <v>12</v>
      </c>
      <c r="B108" s="511" t="s">
        <v>835</v>
      </c>
      <c r="C108" s="513">
        <v>173269841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ht="12.75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>
      <c r="A110" s="500" t="s">
        <v>293</v>
      </c>
      <c r="B110" s="501" t="s">
        <v>0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ht="12.75">
      <c r="A112" s="508" t="s">
        <v>172</v>
      </c>
      <c r="B112" s="509" t="s">
        <v>1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ht="12.75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ht="12.75">
      <c r="A114" s="512">
        <v>1</v>
      </c>
      <c r="B114" s="511" t="s">
        <v>779</v>
      </c>
      <c r="C114" s="514">
        <f>+C65</f>
        <v>165821047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ht="12.75">
      <c r="A115" s="512">
        <v>2</v>
      </c>
      <c r="B115" s="511" t="s">
        <v>2</v>
      </c>
      <c r="C115" s="546">
        <f>+C101</f>
        <v>1261662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ht="12.75">
      <c r="A116" s="512"/>
      <c r="B116" s="516" t="s">
        <v>3</v>
      </c>
      <c r="C116" s="517">
        <f>+C114+C115</f>
        <v>167082709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ht="12.75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ht="12.75">
      <c r="A118" s="512">
        <v>3</v>
      </c>
      <c r="B118" s="511" t="s">
        <v>4</v>
      </c>
      <c r="C118" s="578">
        <v>5387626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ht="12.75">
      <c r="A119" s="512"/>
      <c r="B119" s="516" t="s">
        <v>5</v>
      </c>
      <c r="C119" s="580">
        <f>+C116+C118</f>
        <v>172470335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ht="12.75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ht="12.75">
      <c r="A121" s="512">
        <v>4</v>
      </c>
      <c r="B121" s="511" t="s">
        <v>6</v>
      </c>
      <c r="C121" s="513">
        <v>172470335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ht="12.75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ht="12.75">
      <c r="A123" s="512"/>
      <c r="B123" s="516" t="s">
        <v>7</v>
      </c>
      <c r="C123" s="582">
        <f>C119-C121</f>
        <v>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ht="12.75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ht="12.75">
      <c r="A125" s="340" t="s">
        <v>184</v>
      </c>
      <c r="B125" s="509" t="s">
        <v>8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ht="12.75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44" s="506" customFormat="1" ht="12.75">
      <c r="A127" s="512">
        <v>1</v>
      </c>
      <c r="B127" s="511" t="s">
        <v>9</v>
      </c>
      <c r="C127" s="514">
        <f>+C38</f>
        <v>347627051</v>
      </c>
      <c r="D127" s="588"/>
      <c r="AR127" s="507"/>
    </row>
    <row r="128" spans="1:44" s="506" customFormat="1" ht="12.75">
      <c r="A128" s="512">
        <v>2</v>
      </c>
      <c r="B128" s="583" t="s">
        <v>10</v>
      </c>
      <c r="C128" s="513">
        <v>0</v>
      </c>
      <c r="D128" s="588"/>
      <c r="AR128" s="507"/>
    </row>
    <row r="129" spans="1:44" s="506" customFormat="1" ht="12.75">
      <c r="A129" s="512"/>
      <c r="B129" s="516" t="s">
        <v>11</v>
      </c>
      <c r="C129" s="581">
        <f>C127+C128</f>
        <v>347627051</v>
      </c>
      <c r="D129" s="588"/>
      <c r="AR129" s="507"/>
    </row>
    <row r="130" spans="1:44" s="506" customFormat="1" ht="12.75">
      <c r="A130" s="512"/>
      <c r="B130" s="510"/>
      <c r="C130" s="513"/>
      <c r="D130" s="588"/>
      <c r="AR130" s="507"/>
    </row>
    <row r="131" spans="1:44" s="506" customFormat="1" ht="12.75">
      <c r="A131" s="512">
        <v>3</v>
      </c>
      <c r="B131" s="511" t="s">
        <v>12</v>
      </c>
      <c r="C131" s="513">
        <v>347627051</v>
      </c>
      <c r="D131" s="588"/>
      <c r="AR131" s="507"/>
    </row>
    <row r="132" spans="1:44" s="506" customFormat="1" ht="12.75">
      <c r="A132" s="512"/>
      <c r="B132" s="511"/>
      <c r="C132" s="513"/>
      <c r="D132" s="588"/>
      <c r="AR132" s="507"/>
    </row>
    <row r="133" spans="1:44" s="506" customFormat="1" ht="12.75">
      <c r="A133" s="512"/>
      <c r="B133" s="516" t="s">
        <v>7</v>
      </c>
      <c r="C133" s="581">
        <f>C129-C131</f>
        <v>0</v>
      </c>
      <c r="D133" s="588"/>
      <c r="AR133" s="507"/>
    </row>
    <row r="134" spans="1:44" s="506" customFormat="1" ht="12.75">
      <c r="A134" s="511"/>
      <c r="B134" s="510"/>
      <c r="C134" s="510"/>
      <c r="D134" s="588"/>
      <c r="AR134" s="507"/>
    </row>
    <row r="135" spans="1:44" s="506" customFormat="1" ht="12.75">
      <c r="A135" s="508" t="s">
        <v>194</v>
      </c>
      <c r="B135" s="509" t="s">
        <v>13</v>
      </c>
      <c r="C135" s="510"/>
      <c r="D135" s="588"/>
      <c r="AR135" s="507"/>
    </row>
    <row r="136" spans="1:44" s="506" customFormat="1" ht="12.75">
      <c r="A136" s="510"/>
      <c r="B136" s="551"/>
      <c r="C136" s="510"/>
      <c r="D136" s="588"/>
      <c r="AR136" s="507"/>
    </row>
    <row r="137" spans="1:44" s="506" customFormat="1" ht="12.75">
      <c r="A137" s="512">
        <v>1</v>
      </c>
      <c r="B137" s="511" t="s">
        <v>14</v>
      </c>
      <c r="C137" s="513">
        <f>C105</f>
        <v>13088202</v>
      </c>
      <c r="D137" s="588"/>
      <c r="AR137" s="507"/>
    </row>
    <row r="138" spans="1:44" s="506" customFormat="1" ht="12.75">
      <c r="A138" s="512">
        <v>2</v>
      </c>
      <c r="B138" s="511" t="s">
        <v>30</v>
      </c>
      <c r="C138" s="513">
        <v>0</v>
      </c>
      <c r="D138" s="588"/>
      <c r="AR138" s="507"/>
    </row>
    <row r="139" spans="1:44" s="506" customFormat="1" ht="12.75">
      <c r="A139" s="512"/>
      <c r="B139" s="516" t="s">
        <v>16</v>
      </c>
      <c r="C139" s="581">
        <f>C137+C138</f>
        <v>13088202</v>
      </c>
      <c r="D139" s="588"/>
      <c r="AR139" s="507"/>
    </row>
    <row r="140" spans="1:44" s="506" customFormat="1" ht="12.75">
      <c r="A140" s="512"/>
      <c r="B140" s="510"/>
      <c r="C140" s="513"/>
      <c r="D140" s="588"/>
      <c r="AR140" s="507"/>
    </row>
    <row r="141" spans="1:44" s="506" customFormat="1" ht="12.75">
      <c r="A141" s="512">
        <v>3</v>
      </c>
      <c r="B141" s="511" t="s">
        <v>31</v>
      </c>
      <c r="C141" s="513">
        <v>13088202</v>
      </c>
      <c r="D141" s="588"/>
      <c r="AR141" s="507"/>
    </row>
    <row r="142" spans="1:44" s="506" customFormat="1" ht="12.75">
      <c r="A142" s="512"/>
      <c r="B142" s="511"/>
      <c r="C142" s="513"/>
      <c r="D142" s="588"/>
      <c r="AR142" s="507"/>
    </row>
    <row r="143" spans="1:44" s="506" customFormat="1" ht="12.75">
      <c r="A143" s="512"/>
      <c r="B143" s="516" t="s">
        <v>18</v>
      </c>
      <c r="C143" s="581">
        <f>C139-C141</f>
        <v>0</v>
      </c>
      <c r="D143" s="588"/>
      <c r="AR143" s="507"/>
    </row>
  </sheetData>
  <sheetProtection/>
  <mergeCells count="6">
    <mergeCell ref="A6:C6"/>
    <mergeCell ref="A7:C7"/>
    <mergeCell ref="A2:C2"/>
    <mergeCell ref="A3:C3"/>
    <mergeCell ref="A4:C4"/>
    <mergeCell ref="A5:C5"/>
  </mergeCells>
  <printOptions gridLines="1"/>
  <pageMargins left="0.5" right="0.5" top="0.5" bottom="0.5" header="0.25" footer="0.25"/>
  <pageSetup horizontalDpi="1200" verticalDpi="1200" orientation="portrait" scale="74"/>
  <headerFooter alignWithMargins="0">
    <oddHeader>&amp;LOFFICE OF HEALTH CARE ACCESS&amp;CTWELVE MONTHS ACTUAL FILING&amp;RMIDSTATE MEDICAL CENTER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75" zoomScaleNormal="75" zoomScaleSheetLayoutView="90" zoomScalePageLayoutView="0" workbookViewId="0" topLeftCell="A1">
      <selection activeCell="B43" sqref="B43"/>
    </sheetView>
  </sheetViews>
  <sheetFormatPr defaultColWidth="9.140625" defaultRowHeight="12.75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.75" customHeight="1">
      <c r="A1" s="602"/>
      <c r="B1" s="602"/>
      <c r="C1" s="35"/>
      <c r="D1" s="602"/>
      <c r="E1" s="602"/>
      <c r="F1" s="602"/>
    </row>
    <row r="2" spans="1:6" ht="15.75" customHeight="1">
      <c r="A2" s="714" t="s">
        <v>158</v>
      </c>
      <c r="B2" s="715"/>
      <c r="C2" s="715"/>
      <c r="D2" s="715"/>
      <c r="E2" s="715"/>
      <c r="F2" s="716"/>
    </row>
    <row r="3" spans="1:6" ht="15.75" customHeight="1">
      <c r="A3" s="714" t="s">
        <v>751</v>
      </c>
      <c r="B3" s="715"/>
      <c r="C3" s="715"/>
      <c r="D3" s="715"/>
      <c r="E3" s="715"/>
      <c r="F3" s="716"/>
    </row>
    <row r="4" spans="1:6" ht="15.75" customHeight="1">
      <c r="A4" s="714" t="s">
        <v>752</v>
      </c>
      <c r="B4" s="715"/>
      <c r="C4" s="715"/>
      <c r="D4" s="715"/>
      <c r="E4" s="715"/>
      <c r="F4" s="716"/>
    </row>
    <row r="5" spans="1:6" ht="15.75" customHeight="1">
      <c r="A5" s="714" t="s">
        <v>32</v>
      </c>
      <c r="B5" s="715"/>
      <c r="C5" s="715"/>
      <c r="D5" s="715"/>
      <c r="E5" s="715"/>
      <c r="F5" s="716"/>
    </row>
    <row r="6" spans="1:13" ht="15.75" customHeight="1">
      <c r="A6" s="602"/>
      <c r="B6" s="602"/>
      <c r="C6" s="35"/>
      <c r="D6" s="35"/>
      <c r="E6" s="602"/>
      <c r="F6" s="602"/>
      <c r="M6" s="122"/>
    </row>
    <row r="7" spans="1:6" ht="15.75" customHeight="1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3" ht="15.75" customHeight="1">
      <c r="A8" s="602"/>
      <c r="B8" s="305"/>
      <c r="C8" s="35" t="s">
        <v>755</v>
      </c>
      <c r="D8" s="35" t="s">
        <v>755</v>
      </c>
      <c r="E8" s="35" t="s">
        <v>164</v>
      </c>
      <c r="F8" s="35" t="s">
        <v>165</v>
      </c>
      <c r="G8" s="604"/>
      <c r="H8" s="289"/>
      <c r="I8" s="308"/>
      <c r="J8" s="308"/>
      <c r="K8" s="308"/>
      <c r="L8" s="308"/>
      <c r="M8" s="308"/>
    </row>
    <row r="9" spans="1:14" ht="15.75" customHeight="1">
      <c r="A9" s="605" t="s">
        <v>166</v>
      </c>
      <c r="B9" s="606" t="s">
        <v>167</v>
      </c>
      <c r="C9" s="607" t="s">
        <v>757</v>
      </c>
      <c r="D9" s="607" t="s">
        <v>758</v>
      </c>
      <c r="E9" s="605" t="s">
        <v>169</v>
      </c>
      <c r="F9" s="605" t="s">
        <v>169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>
      <c r="A11" s="29" t="s">
        <v>172</v>
      </c>
      <c r="B11" s="606" t="s">
        <v>33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3" ht="15" customHeight="1">
      <c r="A12" s="25">
        <v>1</v>
      </c>
      <c r="B12" s="609" t="s">
        <v>34</v>
      </c>
      <c r="C12" s="49">
        <v>5932</v>
      </c>
      <c r="D12" s="49">
        <v>5649</v>
      </c>
      <c r="E12" s="49">
        <f>+D12-C12</f>
        <v>-283</v>
      </c>
      <c r="F12" s="70">
        <f>IF(C12=0,0,+E12/C12)</f>
        <v>-0.047707349966284555</v>
      </c>
      <c r="G12" s="610"/>
      <c r="H12" s="611"/>
      <c r="I12" s="612"/>
      <c r="J12" s="308"/>
      <c r="K12" s="308"/>
      <c r="L12" s="308"/>
      <c r="M12" s="308"/>
    </row>
    <row r="13" spans="1:13" ht="15" customHeight="1">
      <c r="A13" s="44">
        <v>2</v>
      </c>
      <c r="B13" s="609" t="s">
        <v>35</v>
      </c>
      <c r="C13" s="49">
        <v>5635</v>
      </c>
      <c r="D13" s="49">
        <v>5367</v>
      </c>
      <c r="E13" s="49">
        <f>+D13-C13</f>
        <v>-268</v>
      </c>
      <c r="F13" s="70">
        <f>IF(C13=0,0,+E13/C13)</f>
        <v>-0.04755989352262644</v>
      </c>
      <c r="G13" s="610"/>
      <c r="H13" s="611"/>
      <c r="I13" s="612"/>
      <c r="J13" s="308"/>
      <c r="K13" s="308"/>
      <c r="L13" s="308"/>
      <c r="M13" s="308"/>
    </row>
    <row r="14" spans="1:13" ht="15" customHeight="1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3" ht="15" customHeight="1">
      <c r="A15" s="25">
        <v>3</v>
      </c>
      <c r="B15" s="121" t="s">
        <v>36</v>
      </c>
      <c r="C15" s="51">
        <v>3077163</v>
      </c>
      <c r="D15" s="51">
        <v>3370587</v>
      </c>
      <c r="E15" s="51">
        <f>+D15-C15</f>
        <v>293424</v>
      </c>
      <c r="F15" s="70">
        <f>IF(C15=0,0,+E15/C15)</f>
        <v>0.09535536466544021</v>
      </c>
      <c r="G15" s="610"/>
      <c r="H15" s="611"/>
      <c r="I15" s="612"/>
      <c r="J15" s="308"/>
      <c r="K15" s="308"/>
      <c r="L15" s="308"/>
      <c r="M15" s="308"/>
    </row>
    <row r="16" spans="1:13" ht="15.75" customHeight="1">
      <c r="A16" s="25">
        <v>4</v>
      </c>
      <c r="B16" s="121" t="s">
        <v>37</v>
      </c>
      <c r="C16" s="27">
        <f>IF(C13=0,0,+C15/+C13)</f>
        <v>546.0803904170364</v>
      </c>
      <c r="D16" s="27">
        <f>IF(D13=0,0,+D15/+D13)</f>
        <v>628.0206819452208</v>
      </c>
      <c r="E16" s="27">
        <f>+D16-C16</f>
        <v>81.94029152818439</v>
      </c>
      <c r="F16" s="28">
        <f>IF(C16=0,0,+E16/C16)</f>
        <v>0.15005170111603416</v>
      </c>
      <c r="G16" s="610"/>
      <c r="H16" s="611"/>
      <c r="I16" s="612"/>
      <c r="J16" s="308"/>
      <c r="K16" s="308"/>
      <c r="L16" s="308"/>
      <c r="M16" s="308"/>
    </row>
    <row r="17" spans="1:13" ht="15.75" customHeight="1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>
      <c r="A18" s="25">
        <v>5</v>
      </c>
      <c r="B18" s="613" t="s">
        <v>38</v>
      </c>
      <c r="C18" s="210">
        <v>0.472328</v>
      </c>
      <c r="D18" s="210">
        <v>0.476456</v>
      </c>
      <c r="E18" s="210">
        <f>+D18-C18</f>
        <v>0.004127999999999965</v>
      </c>
      <c r="F18" s="70">
        <f>IF(C18=0,0,+E18/C18)</f>
        <v>0.008739689368404932</v>
      </c>
      <c r="G18" s="610"/>
      <c r="H18" s="611"/>
      <c r="I18" s="612"/>
      <c r="J18" s="308"/>
      <c r="K18" s="308"/>
      <c r="L18" s="308"/>
      <c r="M18" s="308"/>
    </row>
    <row r="19" spans="1:13" ht="15.75" customHeight="1">
      <c r="A19" s="25">
        <v>6</v>
      </c>
      <c r="B19" s="614" t="s">
        <v>39</v>
      </c>
      <c r="C19" s="27">
        <f>+C15*C18</f>
        <v>1453430.2454640002</v>
      </c>
      <c r="D19" s="27">
        <f>+D15*D18</f>
        <v>1605936.399672</v>
      </c>
      <c r="E19" s="27">
        <f>+D19-C19</f>
        <v>152506.15420799982</v>
      </c>
      <c r="F19" s="28">
        <f>IF(C19=0,0,+E19/C19)</f>
        <v>0.10492843030063201</v>
      </c>
      <c r="G19" s="610"/>
      <c r="H19" s="611"/>
      <c r="I19" s="612"/>
      <c r="J19" s="308"/>
      <c r="K19" s="308"/>
      <c r="L19" s="308"/>
      <c r="M19" s="308"/>
    </row>
    <row r="20" spans="1:13" ht="15.75" customHeight="1">
      <c r="A20" s="25">
        <v>7</v>
      </c>
      <c r="B20" s="614" t="s">
        <v>40</v>
      </c>
      <c r="C20" s="27">
        <f>IF(C13=0,0,+C19/C13)</f>
        <v>257.92905864489796</v>
      </c>
      <c r="D20" s="27">
        <f>IF(D13=0,0,+D19/D13)</f>
        <v>299.2242220368921</v>
      </c>
      <c r="E20" s="27">
        <f>+D20-C20</f>
        <v>41.29516339199415</v>
      </c>
      <c r="F20" s="28">
        <f>IF(C20=0,0,+E20/C20)</f>
        <v>0.16010279574139408</v>
      </c>
      <c r="G20" s="610"/>
      <c r="H20" s="611"/>
      <c r="I20" s="612"/>
      <c r="J20" s="308"/>
      <c r="K20" s="308"/>
      <c r="L20" s="308"/>
      <c r="M20" s="308"/>
    </row>
    <row r="21" spans="1:13" ht="15.75" customHeight="1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>
      <c r="A22" s="25">
        <v>8</v>
      </c>
      <c r="B22" s="613" t="s">
        <v>41</v>
      </c>
      <c r="C22" s="51">
        <v>1412615</v>
      </c>
      <c r="D22" s="51">
        <v>1633562</v>
      </c>
      <c r="E22" s="51">
        <f>+D22-C22</f>
        <v>220947</v>
      </c>
      <c r="F22" s="70">
        <f>IF(C22=0,0,+E22/C22)</f>
        <v>0.15640992060823367</v>
      </c>
      <c r="G22" s="610"/>
      <c r="H22" s="611"/>
      <c r="I22" s="612"/>
      <c r="J22" s="308"/>
      <c r="K22" s="308"/>
      <c r="L22" s="308"/>
      <c r="M22" s="308"/>
    </row>
    <row r="23" spans="1:13" ht="15" customHeight="1">
      <c r="A23" s="25">
        <v>9</v>
      </c>
      <c r="B23" s="613" t="s">
        <v>42</v>
      </c>
      <c r="C23" s="49">
        <v>439177</v>
      </c>
      <c r="D23" s="49">
        <v>486975</v>
      </c>
      <c r="E23" s="49">
        <f>+D23-C23</f>
        <v>47798</v>
      </c>
      <c r="F23" s="70">
        <f>IF(C23=0,0,+E23/C23)</f>
        <v>0.1088353898314347</v>
      </c>
      <c r="G23" s="610"/>
      <c r="H23" s="611"/>
      <c r="I23" s="612"/>
      <c r="J23" s="308"/>
      <c r="K23" s="308"/>
      <c r="L23" s="308"/>
      <c r="M23" s="308"/>
    </row>
    <row r="24" spans="1:13" ht="15" customHeight="1">
      <c r="A24" s="25">
        <v>10</v>
      </c>
      <c r="B24" s="613" t="s">
        <v>43</v>
      </c>
      <c r="C24" s="49">
        <v>1225371</v>
      </c>
      <c r="D24" s="49">
        <v>1250050</v>
      </c>
      <c r="E24" s="49">
        <f>+D24-C24</f>
        <v>24679</v>
      </c>
      <c r="F24" s="70">
        <f>IF(C24=0,0,+E24/C24)</f>
        <v>0.020140022899187267</v>
      </c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5">
        <v>11</v>
      </c>
      <c r="B25" s="614" t="s">
        <v>36</v>
      </c>
      <c r="C25" s="27">
        <f>+C22+C23+C24</f>
        <v>3077163</v>
      </c>
      <c r="D25" s="27">
        <f>+D22+D23+D24</f>
        <v>3370587</v>
      </c>
      <c r="E25" s="27">
        <f>+E22+E23+E24</f>
        <v>293424</v>
      </c>
      <c r="F25" s="28">
        <f>IF(C25=0,0,+E25/C25)</f>
        <v>0.09535536466544021</v>
      </c>
      <c r="G25" s="610"/>
      <c r="H25" s="611"/>
      <c r="I25" s="612"/>
      <c r="J25" s="308"/>
      <c r="K25" s="308"/>
      <c r="L25" s="308"/>
      <c r="M25" s="308"/>
    </row>
    <row r="26" spans="1:13" ht="15.75" customHeight="1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>
      <c r="A27" s="25">
        <v>12</v>
      </c>
      <c r="B27" s="615" t="s">
        <v>44</v>
      </c>
      <c r="C27" s="49">
        <v>759</v>
      </c>
      <c r="D27" s="49">
        <v>610</v>
      </c>
      <c r="E27" s="49">
        <f>+D27-C27</f>
        <v>-149</v>
      </c>
      <c r="F27" s="70">
        <f>IF(C27=0,0,+E27/C27)</f>
        <v>-0.1963109354413702</v>
      </c>
      <c r="G27" s="610"/>
      <c r="H27" s="611"/>
      <c r="I27" s="612"/>
      <c r="J27" s="308"/>
      <c r="K27" s="308"/>
      <c r="L27" s="308"/>
      <c r="M27" s="308"/>
    </row>
    <row r="28" spans="1:13" ht="15" customHeight="1">
      <c r="A28" s="25">
        <v>13</v>
      </c>
      <c r="B28" s="615" t="s">
        <v>45</v>
      </c>
      <c r="C28" s="49">
        <v>425</v>
      </c>
      <c r="D28" s="49">
        <v>363</v>
      </c>
      <c r="E28" s="49">
        <f>+D28-C28</f>
        <v>-62</v>
      </c>
      <c r="F28" s="70">
        <f>IF(C28=0,0,+E28/C28)</f>
        <v>-0.14588235294117646</v>
      </c>
      <c r="G28" s="610"/>
      <c r="H28" s="611"/>
      <c r="I28" s="612"/>
      <c r="J28" s="308"/>
      <c r="K28" s="308"/>
      <c r="L28" s="308"/>
      <c r="M28" s="308"/>
    </row>
    <row r="29" spans="1:13" ht="16.5" customHeight="1">
      <c r="A29" s="25">
        <v>14</v>
      </c>
      <c r="B29" s="615" t="s">
        <v>46</v>
      </c>
      <c r="C29" s="49">
        <v>7733</v>
      </c>
      <c r="D29" s="49">
        <v>7166</v>
      </c>
      <c r="E29" s="49">
        <f>+D29-C29</f>
        <v>-567</v>
      </c>
      <c r="F29" s="70">
        <f>IF(C29=0,0,+E29/C29)</f>
        <v>-0.0733221259537049</v>
      </c>
      <c r="G29" s="610"/>
      <c r="H29" s="611"/>
      <c r="I29" s="612"/>
      <c r="J29" s="308"/>
      <c r="K29" s="308"/>
      <c r="L29" s="308"/>
      <c r="M29" s="308"/>
    </row>
    <row r="30" spans="1:13" ht="15" customHeight="1">
      <c r="A30" s="25">
        <v>15</v>
      </c>
      <c r="B30" s="615" t="s">
        <v>47</v>
      </c>
      <c r="C30" s="49">
        <v>943</v>
      </c>
      <c r="D30" s="49">
        <v>998</v>
      </c>
      <c r="E30" s="49">
        <f>+D30-C30</f>
        <v>55</v>
      </c>
      <c r="F30" s="70">
        <f>IF(C30=0,0,+E30/C30)</f>
        <v>0.05832449628844114</v>
      </c>
      <c r="G30" s="610"/>
      <c r="H30" s="611"/>
      <c r="I30" s="612"/>
      <c r="J30" s="308"/>
      <c r="K30" s="308"/>
      <c r="L30" s="308"/>
      <c r="M30" s="308"/>
    </row>
    <row r="31" spans="1:13" ht="15" customHeight="1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>
      <c r="A32" s="29" t="s">
        <v>184</v>
      </c>
      <c r="B32" s="606" t="s">
        <v>48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>
      <c r="A33" s="25">
        <v>1</v>
      </c>
      <c r="B33" s="613" t="s">
        <v>49</v>
      </c>
      <c r="C33" s="51">
        <v>3259432</v>
      </c>
      <c r="D33" s="51">
        <v>3009219</v>
      </c>
      <c r="E33" s="51">
        <f>+D33-C33</f>
        <v>-250213</v>
      </c>
      <c r="F33" s="70">
        <f>IF(C33=0,0,+E33/C33)</f>
        <v>-0.0767658291383284</v>
      </c>
      <c r="G33" s="610"/>
      <c r="H33" s="611"/>
      <c r="I33" s="612"/>
      <c r="J33" s="308"/>
      <c r="K33" s="308"/>
      <c r="L33" s="308"/>
      <c r="M33" s="308"/>
    </row>
    <row r="34" spans="1:13" ht="15" customHeight="1">
      <c r="A34" s="25">
        <v>2</v>
      </c>
      <c r="B34" s="613" t="s">
        <v>50</v>
      </c>
      <c r="C34" s="49">
        <v>1721117</v>
      </c>
      <c r="D34" s="49">
        <v>1744183</v>
      </c>
      <c r="E34" s="49">
        <f>+D34-C34</f>
        <v>23066</v>
      </c>
      <c r="F34" s="70">
        <f>IF(C34=0,0,+E34/C34)</f>
        <v>0.01340176176285517</v>
      </c>
      <c r="G34" s="610"/>
      <c r="H34" s="611"/>
      <c r="I34" s="612"/>
      <c r="J34" s="308"/>
      <c r="K34" s="308"/>
      <c r="L34" s="308"/>
      <c r="M34" s="308"/>
    </row>
    <row r="35" spans="1:13" ht="15" customHeight="1">
      <c r="A35" s="25">
        <v>3</v>
      </c>
      <c r="B35" s="613" t="s">
        <v>51</v>
      </c>
      <c r="C35" s="49">
        <v>4898563</v>
      </c>
      <c r="D35" s="49">
        <v>4964213</v>
      </c>
      <c r="E35" s="49">
        <f>+D35-C35</f>
        <v>65650</v>
      </c>
      <c r="F35" s="70">
        <f>IF(C35=0,0,+E35/C35)</f>
        <v>0.013401889492898224</v>
      </c>
      <c r="G35" s="610"/>
      <c r="H35" s="611"/>
      <c r="I35" s="612"/>
      <c r="J35" s="308"/>
      <c r="K35" s="308"/>
      <c r="L35" s="308"/>
      <c r="M35" s="308"/>
    </row>
    <row r="36" spans="1:13" ht="15.75" customHeight="1">
      <c r="A36" s="25">
        <v>4</v>
      </c>
      <c r="B36" s="614" t="s">
        <v>52</v>
      </c>
      <c r="C36" s="27">
        <f>+C33+C34+C35</f>
        <v>9879112</v>
      </c>
      <c r="D36" s="27">
        <f>+D33+D34+D35</f>
        <v>9717615</v>
      </c>
      <c r="E36" s="27">
        <f>+E33+E34+E35</f>
        <v>-161497</v>
      </c>
      <c r="F36" s="28">
        <f>IF(C36=0,0,+E36/C36)</f>
        <v>-0.01634731947567757</v>
      </c>
      <c r="G36" s="610"/>
      <c r="H36" s="611"/>
      <c r="I36" s="612"/>
      <c r="J36" s="308"/>
      <c r="K36" s="308"/>
      <c r="L36" s="308"/>
      <c r="M36" s="308"/>
    </row>
    <row r="37" spans="1:13" ht="15.75" customHeight="1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>
      <c r="A38" s="29" t="s">
        <v>194</v>
      </c>
      <c r="B38" s="606" t="s">
        <v>53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>
      <c r="A39" s="25">
        <v>1</v>
      </c>
      <c r="B39" s="609" t="s">
        <v>54</v>
      </c>
      <c r="C39" s="51">
        <f>+C25</f>
        <v>3077163</v>
      </c>
      <c r="D39" s="51">
        <f>+D25</f>
        <v>3370587</v>
      </c>
      <c r="E39" s="51">
        <f>+D39-C39</f>
        <v>293424</v>
      </c>
      <c r="F39" s="70">
        <f>IF(C39=0,0,+E39/C39)</f>
        <v>0.09535536466544021</v>
      </c>
      <c r="G39" s="610"/>
      <c r="H39" s="611"/>
      <c r="I39" s="612"/>
      <c r="J39" s="308"/>
      <c r="K39" s="308"/>
      <c r="L39" s="308"/>
      <c r="M39" s="308"/>
    </row>
    <row r="40" spans="1:13" ht="15" customHeight="1">
      <c r="A40" s="25">
        <v>2</v>
      </c>
      <c r="B40" s="609" t="s">
        <v>55</v>
      </c>
      <c r="C40" s="49">
        <f>+C36</f>
        <v>9879112</v>
      </c>
      <c r="D40" s="49">
        <f>+D36</f>
        <v>9717615</v>
      </c>
      <c r="E40" s="49">
        <f>+D40-C40</f>
        <v>-161497</v>
      </c>
      <c r="F40" s="70">
        <f>IF(C40=0,0,+E40/C40)</f>
        <v>-0.01634731947567757</v>
      </c>
      <c r="G40" s="610"/>
      <c r="H40" s="611"/>
      <c r="I40" s="612"/>
      <c r="J40" s="308"/>
      <c r="K40" s="308"/>
      <c r="L40" s="308"/>
      <c r="M40" s="308"/>
    </row>
    <row r="41" spans="1:13" ht="15.75" customHeight="1">
      <c r="A41" s="25">
        <v>3</v>
      </c>
      <c r="B41" s="617" t="s">
        <v>56</v>
      </c>
      <c r="C41" s="27">
        <f>+C39+C40</f>
        <v>12956275</v>
      </c>
      <c r="D41" s="27">
        <f>+D39+D40</f>
        <v>13088202</v>
      </c>
      <c r="E41" s="27">
        <f>+E39+E40</f>
        <v>131927</v>
      </c>
      <c r="F41" s="28">
        <f>IF(C41=0,0,+E41/C41)</f>
        <v>0.010182479146205218</v>
      </c>
      <c r="G41" s="610"/>
      <c r="H41" s="611"/>
      <c r="I41" s="612"/>
      <c r="J41" s="308"/>
      <c r="K41" s="308"/>
      <c r="L41" s="308"/>
      <c r="M41" s="308"/>
    </row>
    <row r="42" spans="1:13" ht="15.75" customHeight="1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>
      <c r="A43" s="25">
        <v>4</v>
      </c>
      <c r="B43" s="613" t="s">
        <v>57</v>
      </c>
      <c r="C43" s="51">
        <f aca="true" t="shared" si="0" ref="C43:D45">+C22+C33</f>
        <v>4672047</v>
      </c>
      <c r="D43" s="51">
        <f t="shared" si="0"/>
        <v>4642781</v>
      </c>
      <c r="E43" s="51">
        <f>+D43-C43</f>
        <v>-29266</v>
      </c>
      <c r="F43" s="70">
        <f>IF(C43=0,0,+E43/C43)</f>
        <v>-0.006264063696277028</v>
      </c>
      <c r="G43" s="610"/>
      <c r="H43" s="611"/>
      <c r="I43" s="612"/>
      <c r="J43" s="308"/>
      <c r="K43" s="308"/>
      <c r="L43" s="308"/>
      <c r="M43" s="308"/>
    </row>
    <row r="44" spans="1:13" ht="30">
      <c r="A44" s="25">
        <v>5</v>
      </c>
      <c r="B44" s="613" t="s">
        <v>58</v>
      </c>
      <c r="C44" s="49">
        <f t="shared" si="0"/>
        <v>2160294</v>
      </c>
      <c r="D44" s="49">
        <f t="shared" si="0"/>
        <v>2231158</v>
      </c>
      <c r="E44" s="49">
        <f>+D44-C44</f>
        <v>70864</v>
      </c>
      <c r="F44" s="70">
        <f>IF(C44=0,0,+E44/C44)</f>
        <v>0.03280294256244752</v>
      </c>
      <c r="G44" s="610"/>
      <c r="H44" s="611"/>
      <c r="I44" s="612"/>
      <c r="J44" s="308"/>
      <c r="K44" s="308"/>
      <c r="L44" s="308"/>
      <c r="M44" s="308"/>
    </row>
    <row r="45" spans="1:13" ht="15" customHeight="1">
      <c r="A45" s="25">
        <v>6</v>
      </c>
      <c r="B45" s="613" t="s">
        <v>59</v>
      </c>
      <c r="C45" s="49">
        <f t="shared" si="0"/>
        <v>6123934</v>
      </c>
      <c r="D45" s="49">
        <f t="shared" si="0"/>
        <v>6214263</v>
      </c>
      <c r="E45" s="49">
        <f>+D45-C45</f>
        <v>90329</v>
      </c>
      <c r="F45" s="70">
        <f>IF(C45=0,0,+E45/C45)</f>
        <v>0.01475015896644216</v>
      </c>
      <c r="G45" s="610"/>
      <c r="H45" s="611"/>
      <c r="I45" s="612"/>
      <c r="J45" s="308"/>
      <c r="K45" s="308"/>
      <c r="L45" s="308"/>
      <c r="M45" s="308"/>
    </row>
    <row r="46" spans="1:13" ht="15.75" customHeight="1">
      <c r="A46" s="25">
        <v>7</v>
      </c>
      <c r="B46" s="614" t="s">
        <v>56</v>
      </c>
      <c r="C46" s="27">
        <f>+C43+C44+C45</f>
        <v>12956275</v>
      </c>
      <c r="D46" s="27">
        <f>+D43+D44+D45</f>
        <v>13088202</v>
      </c>
      <c r="E46" s="27">
        <f>+E43+E44+E45</f>
        <v>131927</v>
      </c>
      <c r="F46" s="28">
        <f>IF(C46=0,0,+E46/C46)</f>
        <v>0.010182479146205218</v>
      </c>
      <c r="G46" s="610"/>
      <c r="H46" s="611"/>
      <c r="I46" s="612"/>
      <c r="J46" s="308"/>
      <c r="K46" s="308"/>
      <c r="L46" s="308"/>
      <c r="M46" s="308"/>
    </row>
    <row r="47" spans="1:13" ht="15.75" customHeight="1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6" ht="15.75" customHeight="1">
      <c r="A48" s="711" t="s">
        <v>60</v>
      </c>
      <c r="B48" s="712"/>
      <c r="C48" s="712"/>
      <c r="D48" s="712"/>
      <c r="E48" s="712"/>
      <c r="F48" s="713"/>
    </row>
  </sheetData>
  <sheetProtection/>
  <mergeCells count="5">
    <mergeCell ref="A48:F48"/>
    <mergeCell ref="A2:F2"/>
    <mergeCell ref="A3:F3"/>
    <mergeCell ref="A4:F4"/>
    <mergeCell ref="A5:F5"/>
  </mergeCells>
  <printOptions/>
  <pageMargins left="0.5" right="0.5" top="0.5" bottom="0.5" header="0.25" footer="0.25"/>
  <pageSetup fitToHeight="1" fitToWidth="1" horizontalDpi="1200" verticalDpi="1200" orientation="portrait" paperSize="9" scale="70"/>
  <headerFooter alignWithMargins="0">
    <oddHeader>&amp;LOFFICE OF HEALTH CARE ACCESS&amp;CTWELVE MONTHS ACTUAL FILING&amp;RMIDSTATE MEDICAL CENTER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zoomScaleSheetLayoutView="90" zoomScalePageLayoutView="0" workbookViewId="0" topLeftCell="A1">
      <selection activeCell="C15" sqref="C15"/>
    </sheetView>
  </sheetViews>
  <sheetFormatPr defaultColWidth="9.140625" defaultRowHeight="12.75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" customHeight="1">
      <c r="A1" s="602"/>
      <c r="B1" s="602"/>
      <c r="C1" s="602"/>
      <c r="D1" s="602"/>
      <c r="E1" s="602"/>
      <c r="F1" s="602"/>
    </row>
    <row r="2" spans="1:6" ht="15.75" customHeight="1">
      <c r="A2" s="714" t="s">
        <v>158</v>
      </c>
      <c r="B2" s="715"/>
      <c r="C2" s="715"/>
      <c r="D2" s="715"/>
      <c r="E2" s="715"/>
      <c r="F2" s="716"/>
    </row>
    <row r="3" spans="1:6" ht="15.75" customHeight="1">
      <c r="A3" s="714" t="s">
        <v>751</v>
      </c>
      <c r="B3" s="715"/>
      <c r="C3" s="715"/>
      <c r="D3" s="715"/>
      <c r="E3" s="715"/>
      <c r="F3" s="716"/>
    </row>
    <row r="4" spans="1:6" ht="15.75" customHeight="1">
      <c r="A4" s="714" t="s">
        <v>752</v>
      </c>
      <c r="B4" s="715"/>
      <c r="C4" s="715"/>
      <c r="D4" s="715"/>
      <c r="E4" s="715"/>
      <c r="F4" s="716"/>
    </row>
    <row r="5" spans="1:6" ht="15.75" customHeight="1">
      <c r="A5" s="714" t="s">
        <v>61</v>
      </c>
      <c r="B5" s="715"/>
      <c r="C5" s="715"/>
      <c r="D5" s="715"/>
      <c r="E5" s="715"/>
      <c r="F5" s="716"/>
    </row>
    <row r="6" spans="1:6" ht="15.75" customHeight="1">
      <c r="A6" s="714" t="s">
        <v>62</v>
      </c>
      <c r="B6" s="715"/>
      <c r="C6" s="715"/>
      <c r="D6" s="715"/>
      <c r="E6" s="715"/>
      <c r="F6" s="716"/>
    </row>
    <row r="7" spans="1:6" ht="15.75" customHeight="1">
      <c r="A7" s="602"/>
      <c r="B7" s="602"/>
      <c r="C7" s="35"/>
      <c r="D7" s="35"/>
      <c r="E7" s="35"/>
      <c r="F7" s="35"/>
    </row>
    <row r="8" spans="1:6" ht="15.75" customHeight="1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3" ht="15.75" customHeight="1">
      <c r="A9" s="602"/>
      <c r="B9" s="26"/>
      <c r="C9" s="35" t="s">
        <v>757</v>
      </c>
      <c r="D9" s="35" t="s">
        <v>758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3" ht="15.75" customHeight="1">
      <c r="A10" s="602"/>
      <c r="B10" s="305"/>
      <c r="C10" s="35" t="s">
        <v>63</v>
      </c>
      <c r="D10" s="35" t="s">
        <v>63</v>
      </c>
      <c r="E10" s="35" t="s">
        <v>164</v>
      </c>
      <c r="F10" s="35" t="s">
        <v>165</v>
      </c>
      <c r="G10" s="604"/>
      <c r="H10" s="289"/>
      <c r="I10" s="308"/>
      <c r="J10" s="308"/>
      <c r="K10" s="308"/>
      <c r="L10" s="308"/>
      <c r="M10" s="308"/>
    </row>
    <row r="11" spans="1:14" ht="15.75" customHeight="1">
      <c r="A11" s="605" t="s">
        <v>166</v>
      </c>
      <c r="B11" s="606" t="s">
        <v>167</v>
      </c>
      <c r="C11" s="605" t="s">
        <v>64</v>
      </c>
      <c r="D11" s="605" t="s">
        <v>64</v>
      </c>
      <c r="E11" s="605" t="s">
        <v>169</v>
      </c>
      <c r="F11" s="605" t="s">
        <v>169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>
      <c r="A13" s="605"/>
      <c r="B13" s="606" t="s">
        <v>65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3" ht="15" customHeight="1">
      <c r="A15" s="25">
        <v>1</v>
      </c>
      <c r="B15" s="609" t="s">
        <v>483</v>
      </c>
      <c r="C15" s="51">
        <v>117832946</v>
      </c>
      <c r="D15" s="51">
        <v>123130052</v>
      </c>
      <c r="E15" s="51">
        <f>+D15-C15</f>
        <v>5297106</v>
      </c>
      <c r="F15" s="70">
        <f>+E15/C15</f>
        <v>0.04495437125029531</v>
      </c>
      <c r="G15" s="604"/>
      <c r="H15" s="289"/>
      <c r="I15" s="308"/>
      <c r="J15" s="308"/>
      <c r="K15" s="308"/>
      <c r="L15" s="308"/>
      <c r="M15" s="308"/>
    </row>
    <row r="16" spans="1:13" ht="15" customHeight="1">
      <c r="A16" s="25"/>
      <c r="B16" s="609" t="s">
        <v>662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>
      <c r="A17" s="44">
        <v>2</v>
      </c>
      <c r="B17" s="609" t="s">
        <v>66</v>
      </c>
      <c r="C17" s="51">
        <v>33737949</v>
      </c>
      <c r="D17" s="51">
        <v>35779715</v>
      </c>
      <c r="E17" s="51">
        <f>+D17-C17</f>
        <v>2041766</v>
      </c>
      <c r="F17" s="70">
        <f>+E17/C17</f>
        <v>0.06051837946639851</v>
      </c>
      <c r="G17" s="604"/>
      <c r="H17" s="289"/>
      <c r="I17" s="308"/>
      <c r="J17" s="308"/>
      <c r="K17" s="308"/>
      <c r="L17" s="308"/>
      <c r="M17" s="308"/>
    </row>
    <row r="18" spans="1:13" ht="15.75" customHeight="1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>
      <c r="A19" s="29"/>
      <c r="B19" s="617" t="s">
        <v>67</v>
      </c>
      <c r="C19" s="27">
        <f>+C15-C17</f>
        <v>84094997</v>
      </c>
      <c r="D19" s="27">
        <f>+D15-D17</f>
        <v>87350337</v>
      </c>
      <c r="E19" s="27">
        <f>+D19-C19</f>
        <v>3255340</v>
      </c>
      <c r="F19" s="28">
        <f>+E19/C19</f>
        <v>0.03871026953006491</v>
      </c>
      <c r="G19" s="604"/>
      <c r="H19" s="623"/>
      <c r="I19" s="308"/>
      <c r="J19" s="308"/>
      <c r="K19" s="308"/>
      <c r="L19" s="308"/>
      <c r="M19" s="308"/>
    </row>
    <row r="20" spans="1:13" ht="15.75" customHeight="1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>
      <c r="A21" s="29"/>
      <c r="B21" s="121" t="s">
        <v>68</v>
      </c>
      <c r="C21" s="628">
        <f>+C17/C15</f>
        <v>0.2863201688940205</v>
      </c>
      <c r="D21" s="628">
        <f>+D17/D15</f>
        <v>0.29058474693083053</v>
      </c>
      <c r="E21" s="628">
        <f>+D21-C21</f>
        <v>0.004264578036810018</v>
      </c>
      <c r="F21" s="28">
        <f>+E21/C21</f>
        <v>0.014894438115494837</v>
      </c>
      <c r="G21" s="610"/>
      <c r="H21" s="611"/>
      <c r="I21" s="612"/>
      <c r="J21" s="308"/>
      <c r="K21" s="308"/>
      <c r="L21" s="308"/>
      <c r="M21" s="308"/>
    </row>
    <row r="22" spans="1:13" ht="15.75" customHeight="1">
      <c r="A22" s="29"/>
      <c r="B22" s="619" t="s">
        <v>662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>
      <c r="A23" s="29"/>
      <c r="B23" s="619" t="s">
        <v>662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>
      <c r="A24" s="29"/>
      <c r="B24" s="619" t="s">
        <v>662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9"/>
      <c r="B25" s="619" t="s">
        <v>662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6" ht="15.75" customHeight="1">
      <c r="A26" s="711" t="s">
        <v>69</v>
      </c>
      <c r="B26" s="712"/>
      <c r="C26" s="712"/>
      <c r="D26" s="712"/>
      <c r="E26" s="712"/>
      <c r="F26" s="713"/>
    </row>
  </sheetData>
  <sheetProtection/>
  <mergeCells count="6">
    <mergeCell ref="A6:F6"/>
    <mergeCell ref="A26:F26"/>
    <mergeCell ref="A2:F2"/>
    <mergeCell ref="A3:F3"/>
    <mergeCell ref="A4:F4"/>
    <mergeCell ref="A5:F5"/>
  </mergeCells>
  <printOptions/>
  <pageMargins left="0.25" right="0.25" top="0.5" bottom="0.5" header="0.25" footer="0.5"/>
  <pageSetup fitToHeight="1" fitToWidth="1" horizontalDpi="1200" verticalDpi="1200" orientation="landscape" scale="90"/>
  <headerFooter alignWithMargins="0">
    <oddHeader>&amp;L&amp;12OFFICE OF HEALTH CARE ACCESS&amp;C&amp;12TWELVE MONTHS ACTUAL FILING&amp;R&amp;12MIDSTATE MEDICAL CENTER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6"/>
  <sheetViews>
    <sheetView zoomScale="75" zoomScaleNormal="75" zoomScalePageLayoutView="0" workbookViewId="0" topLeftCell="A1">
      <selection activeCell="A8" sqref="A8"/>
    </sheetView>
  </sheetViews>
  <sheetFormatPr defaultColWidth="9.140625" defaultRowHeight="12.75"/>
  <cols>
    <col min="1" max="1" width="9.421875" style="0" customWidth="1"/>
    <col min="2" max="2" width="83.57421875" style="0" customWidth="1"/>
    <col min="3" max="5" width="18.28125" style="0" customWidth="1"/>
  </cols>
  <sheetData>
    <row r="1" spans="1:6" ht="25.5" customHeight="1">
      <c r="A1" s="718" t="s">
        <v>158</v>
      </c>
      <c r="B1" s="718"/>
      <c r="C1" s="718"/>
      <c r="D1" s="718"/>
      <c r="E1" s="718"/>
      <c r="F1" s="630"/>
    </row>
    <row r="2" spans="1:6" ht="25.5" customHeight="1">
      <c r="A2" s="718" t="s">
        <v>159</v>
      </c>
      <c r="B2" s="718"/>
      <c r="C2" s="718"/>
      <c r="D2" s="718"/>
      <c r="E2" s="718"/>
      <c r="F2" s="630"/>
    </row>
    <row r="3" spans="1:6" ht="25.5" customHeight="1">
      <c r="A3" s="718" t="s">
        <v>160</v>
      </c>
      <c r="B3" s="718"/>
      <c r="C3" s="718"/>
      <c r="D3" s="718"/>
      <c r="E3" s="718"/>
      <c r="F3" s="630"/>
    </row>
    <row r="4" spans="1:6" ht="25.5" customHeight="1">
      <c r="A4" s="718" t="s">
        <v>70</v>
      </c>
      <c r="B4" s="718"/>
      <c r="C4" s="718"/>
      <c r="D4" s="718"/>
      <c r="E4" s="718"/>
      <c r="F4" s="630"/>
    </row>
    <row r="5" spans="1:5" ht="25.5" customHeight="1">
      <c r="A5" s="717"/>
      <c r="B5" s="717"/>
      <c r="C5" s="717"/>
      <c r="D5" s="717"/>
      <c r="E5" s="717"/>
    </row>
    <row r="6" spans="1:5" ht="25.5" customHeight="1">
      <c r="A6" s="632" t="s">
        <v>71</v>
      </c>
      <c r="B6" s="632" t="s">
        <v>72</v>
      </c>
      <c r="C6" s="632" t="s">
        <v>73</v>
      </c>
      <c r="D6" s="632" t="s">
        <v>74</v>
      </c>
      <c r="E6" s="632" t="s">
        <v>75</v>
      </c>
    </row>
    <row r="7" spans="1:5" ht="37.5" customHeight="1">
      <c r="A7" s="633" t="s">
        <v>166</v>
      </c>
      <c r="B7" s="634" t="s">
        <v>76</v>
      </c>
      <c r="C7" s="631" t="s">
        <v>77</v>
      </c>
      <c r="D7" s="631" t="s">
        <v>78</v>
      </c>
      <c r="E7" s="631" t="s">
        <v>79</v>
      </c>
    </row>
    <row r="8" spans="1:5" ht="25.5" customHeight="1">
      <c r="A8" s="635"/>
      <c r="B8" s="634"/>
      <c r="C8" s="636"/>
      <c r="D8" s="636"/>
      <c r="E8" s="636"/>
    </row>
    <row r="9" spans="1:5" ht="25.5" customHeight="1">
      <c r="A9" s="629" t="s">
        <v>172</v>
      </c>
      <c r="B9" s="637" t="s">
        <v>80</v>
      </c>
      <c r="C9" s="638"/>
      <c r="D9" s="638"/>
      <c r="E9" s="638"/>
    </row>
    <row r="10" spans="1:5" ht="25.5" customHeight="1">
      <c r="A10" s="639">
        <v>1</v>
      </c>
      <c r="B10" s="640" t="s">
        <v>81</v>
      </c>
      <c r="C10" s="641">
        <v>149050841</v>
      </c>
      <c r="D10" s="641">
        <v>162954853</v>
      </c>
      <c r="E10" s="641">
        <v>171870736</v>
      </c>
    </row>
    <row r="11" spans="1:5" ht="25.5" customHeight="1">
      <c r="A11" s="639">
        <v>2</v>
      </c>
      <c r="B11" s="640" t="s">
        <v>82</v>
      </c>
      <c r="C11" s="641">
        <v>155816277</v>
      </c>
      <c r="D11" s="641">
        <v>165498088</v>
      </c>
      <c r="E11" s="641">
        <v>175756315</v>
      </c>
    </row>
    <row r="12" spans="1:5" ht="25.5" customHeight="1">
      <c r="A12" s="639">
        <v>3</v>
      </c>
      <c r="B12" s="640" t="s">
        <v>229</v>
      </c>
      <c r="C12" s="641">
        <f>+C11+C10</f>
        <v>304867118</v>
      </c>
      <c r="D12" s="641">
        <f>+D11+D10</f>
        <v>328452941</v>
      </c>
      <c r="E12" s="641">
        <f>+E11+E10</f>
        <v>347627051</v>
      </c>
    </row>
    <row r="13" spans="1:5" ht="25.5" customHeight="1">
      <c r="A13" s="639">
        <v>4</v>
      </c>
      <c r="B13" s="640" t="s">
        <v>642</v>
      </c>
      <c r="C13" s="641">
        <v>154243792</v>
      </c>
      <c r="D13" s="641">
        <v>166466604</v>
      </c>
      <c r="E13" s="641">
        <v>172470335</v>
      </c>
    </row>
    <row r="14" spans="1:5" ht="25.5" customHeight="1">
      <c r="A14" s="639"/>
      <c r="B14" s="640"/>
      <c r="C14" s="641"/>
      <c r="D14" s="641"/>
      <c r="E14" s="641"/>
    </row>
    <row r="15" spans="1:5" ht="25.5" customHeight="1">
      <c r="A15" s="629" t="s">
        <v>184</v>
      </c>
      <c r="B15" s="642" t="s">
        <v>482</v>
      </c>
      <c r="C15" s="641"/>
      <c r="D15" s="641"/>
      <c r="E15" s="641"/>
    </row>
    <row r="16" spans="1:5" ht="25.5" customHeight="1">
      <c r="A16" s="639">
        <v>1</v>
      </c>
      <c r="B16" s="640" t="s">
        <v>83</v>
      </c>
      <c r="C16" s="641">
        <v>153965816</v>
      </c>
      <c r="D16" s="641">
        <v>167113696</v>
      </c>
      <c r="E16" s="641">
        <v>173269841</v>
      </c>
    </row>
    <row r="17" spans="1:5" ht="25.5" customHeight="1">
      <c r="A17" s="639"/>
      <c r="B17" s="640"/>
      <c r="C17" s="641"/>
      <c r="D17" s="641"/>
      <c r="E17" s="641"/>
    </row>
    <row r="18" spans="1:5" ht="25.5" customHeight="1">
      <c r="A18" s="629" t="s">
        <v>194</v>
      </c>
      <c r="B18" s="642" t="s">
        <v>84</v>
      </c>
      <c r="C18" s="643"/>
      <c r="D18" s="643"/>
      <c r="E18" s="641"/>
    </row>
    <row r="19" spans="1:5" ht="25.5" customHeight="1">
      <c r="A19" s="639">
        <v>1</v>
      </c>
      <c r="B19" s="640" t="s">
        <v>530</v>
      </c>
      <c r="C19" s="644">
        <v>44321</v>
      </c>
      <c r="D19" s="644">
        <v>45363</v>
      </c>
      <c r="E19" s="644">
        <v>42873</v>
      </c>
    </row>
    <row r="20" spans="1:5" ht="25.5" customHeight="1">
      <c r="A20" s="639">
        <v>2</v>
      </c>
      <c r="B20" s="640" t="s">
        <v>531</v>
      </c>
      <c r="C20" s="645">
        <v>9664</v>
      </c>
      <c r="D20" s="645">
        <v>9722</v>
      </c>
      <c r="E20" s="645">
        <v>9955</v>
      </c>
    </row>
    <row r="21" spans="1:5" ht="25.5" customHeight="1">
      <c r="A21" s="639">
        <v>3</v>
      </c>
      <c r="B21" s="640" t="s">
        <v>85</v>
      </c>
      <c r="C21" s="646">
        <f>IF(C20=0,0,+C19/C20)</f>
        <v>4.58619619205298</v>
      </c>
      <c r="D21" s="646">
        <f>IF(D20=0,0,+D19/D20)</f>
        <v>4.666015223205102</v>
      </c>
      <c r="E21" s="646">
        <f>IF(E20=0,0,+E19/E20)</f>
        <v>4.30668006027122</v>
      </c>
    </row>
    <row r="22" spans="1:5" ht="25.5" customHeight="1">
      <c r="A22" s="639">
        <v>4</v>
      </c>
      <c r="B22" s="640" t="s">
        <v>86</v>
      </c>
      <c r="C22" s="645">
        <f>IF(C10=0,0,C19*(C12/C10))</f>
        <v>90653.73563962648</v>
      </c>
      <c r="D22" s="645">
        <f>IF(D10=0,0,D19*(D12/D10))</f>
        <v>91433.97995384035</v>
      </c>
      <c r="E22" s="645">
        <f>IF(E10=0,0,E19*(E12/E10))</f>
        <v>86715.25417522504</v>
      </c>
    </row>
    <row r="23" spans="1:5" ht="25.5" customHeight="1">
      <c r="A23" s="639">
        <v>0</v>
      </c>
      <c r="B23" s="640" t="s">
        <v>87</v>
      </c>
      <c r="C23" s="645">
        <f>IF(C10=0,0,C20*(C12/C10))</f>
        <v>19766.650148267196</v>
      </c>
      <c r="D23" s="645">
        <f>IF(D10=0,0,D20*(D12/D10))</f>
        <v>19595.731171025636</v>
      </c>
      <c r="E23" s="645">
        <f>IF(E10=0,0,E20*(E12/E10))</f>
        <v>20135.05831909046</v>
      </c>
    </row>
    <row r="24" spans="1:5" ht="25.5" customHeight="1">
      <c r="A24" s="639"/>
      <c r="B24" s="640"/>
      <c r="C24" s="645"/>
      <c r="D24" s="645"/>
      <c r="E24" s="645"/>
    </row>
    <row r="25" spans="1:5" ht="25.5" customHeight="1">
      <c r="A25" s="629" t="s">
        <v>479</v>
      </c>
      <c r="B25" s="642" t="s">
        <v>88</v>
      </c>
      <c r="C25" s="645"/>
      <c r="D25" s="645"/>
      <c r="E25" s="645"/>
    </row>
    <row r="26" spans="1:5" ht="25.5" customHeight="1">
      <c r="A26" s="639">
        <v>1</v>
      </c>
      <c r="B26" s="640" t="s">
        <v>580</v>
      </c>
      <c r="C26" s="647">
        <v>1.1156464476407284</v>
      </c>
      <c r="D26" s="647">
        <v>1.1660980281835014</v>
      </c>
      <c r="E26" s="647">
        <v>1.1781655298844802</v>
      </c>
    </row>
    <row r="27" spans="1:5" ht="25.5" customHeight="1">
      <c r="A27" s="639">
        <v>2</v>
      </c>
      <c r="B27" s="640" t="s">
        <v>89</v>
      </c>
      <c r="C27" s="645">
        <f>C19*C26</f>
        <v>49446.56620588472</v>
      </c>
      <c r="D27" s="645">
        <f>D19*D26</f>
        <v>52897.704852488176</v>
      </c>
      <c r="E27" s="645">
        <f>E19*E26</f>
        <v>50511.49076273732</v>
      </c>
    </row>
    <row r="28" spans="1:5" ht="25.5" customHeight="1">
      <c r="A28" s="639">
        <v>3</v>
      </c>
      <c r="B28" s="640" t="s">
        <v>90</v>
      </c>
      <c r="C28" s="645">
        <f>C20*C26</f>
        <v>10781.607269999999</v>
      </c>
      <c r="D28" s="645">
        <f>D20*D26</f>
        <v>11336.805030000001</v>
      </c>
      <c r="E28" s="645">
        <f>E20*E26</f>
        <v>11728.637850000001</v>
      </c>
    </row>
    <row r="29" spans="1:5" ht="25.5" customHeight="1">
      <c r="A29" s="639">
        <v>4</v>
      </c>
      <c r="B29" s="640" t="s">
        <v>91</v>
      </c>
      <c r="C29" s="645">
        <f>C22*C26</f>
        <v>101137.51813171098</v>
      </c>
      <c r="D29" s="645">
        <f>D22*D26</f>
        <v>106620.98373314302</v>
      </c>
      <c r="E29" s="645">
        <f>E22*E26</f>
        <v>102164.92338442139</v>
      </c>
    </row>
    <row r="30" spans="1:5" ht="25.5" customHeight="1">
      <c r="A30" s="639">
        <v>5</v>
      </c>
      <c r="B30" s="640" t="s">
        <v>92</v>
      </c>
      <c r="C30" s="645">
        <f>C23*C26</f>
        <v>22052.593019671374</v>
      </c>
      <c r="D30" s="645">
        <f>D23*D26</f>
        <v>22850.54347934697</v>
      </c>
      <c r="E30" s="645">
        <f>E23*E26</f>
        <v>23722.431653766125</v>
      </c>
    </row>
    <row r="31" spans="1:5" ht="25.5" customHeight="1">
      <c r="A31" s="639"/>
      <c r="B31" s="640"/>
      <c r="C31" s="645"/>
      <c r="D31" s="645"/>
      <c r="E31" s="645"/>
    </row>
    <row r="32" spans="1:5" ht="39" customHeight="1">
      <c r="A32" s="629" t="s">
        <v>500</v>
      </c>
      <c r="B32" s="634" t="s">
        <v>93</v>
      </c>
      <c r="C32" s="648"/>
      <c r="D32" s="648"/>
      <c r="E32" s="645"/>
    </row>
    <row r="33" spans="1:5" ht="25.5" customHeight="1">
      <c r="A33" s="639">
        <v>1</v>
      </c>
      <c r="B33" s="640" t="s">
        <v>94</v>
      </c>
      <c r="C33" s="641">
        <f>IF(C19=0,0,C12/C19)</f>
        <v>6878.615509577852</v>
      </c>
      <c r="D33" s="641">
        <f>IF(D19=0,0,D12/D19)</f>
        <v>7240.547163988273</v>
      </c>
      <c r="E33" s="641">
        <f>IF(E19=0,0,E12/E19)</f>
        <v>8108.297786485667</v>
      </c>
    </row>
    <row r="34" spans="1:5" ht="25.5" customHeight="1">
      <c r="A34" s="639">
        <v>2</v>
      </c>
      <c r="B34" s="640" t="s">
        <v>95</v>
      </c>
      <c r="C34" s="641">
        <f>IF(C20=0,0,C12/C20)</f>
        <v>31546.680256622516</v>
      </c>
      <c r="D34" s="641">
        <f>IF(D20=0,0,D12/D20)</f>
        <v>33784.5032915038</v>
      </c>
      <c r="E34" s="641">
        <f>IF(E20=0,0,E12/E20)</f>
        <v>34919.8443997991</v>
      </c>
    </row>
    <row r="35" spans="1:5" ht="25.5" customHeight="1">
      <c r="A35" s="639">
        <v>3</v>
      </c>
      <c r="B35" s="640" t="s">
        <v>96</v>
      </c>
      <c r="C35" s="641">
        <f>IF(C22=0,0,C12/C22)</f>
        <v>3362.9846122605536</v>
      </c>
      <c r="D35" s="641">
        <f>IF(D22=0,0,D12/D22)</f>
        <v>3592.2415404624912</v>
      </c>
      <c r="E35" s="641">
        <f>IF(E22=0,0,E12/E22)</f>
        <v>4008.8339047885615</v>
      </c>
    </row>
    <row r="36" spans="1:5" ht="25.5" customHeight="1">
      <c r="A36" s="639">
        <v>4</v>
      </c>
      <c r="B36" s="640" t="s">
        <v>97</v>
      </c>
      <c r="C36" s="641">
        <f>IF(C23=0,0,C12/C23)</f>
        <v>15423.307222682119</v>
      </c>
      <c r="D36" s="641">
        <f>IF(D23=0,0,D12/D23)</f>
        <v>16761.45371322773</v>
      </c>
      <c r="E36" s="641">
        <f>IF(E23=0,0,E12/E23)</f>
        <v>17264.765042692114</v>
      </c>
    </row>
    <row r="37" spans="1:5" ht="25.5" customHeight="1">
      <c r="A37" s="639">
        <v>5</v>
      </c>
      <c r="B37" s="640" t="s">
        <v>98</v>
      </c>
      <c r="C37" s="641">
        <f>IF(C29=0,0,C12/C29)</f>
        <v>3014.3820377614247</v>
      </c>
      <c r="D37" s="641">
        <f>IF(D29=0,0,D12/D29)</f>
        <v>3080.56565883945</v>
      </c>
      <c r="E37" s="641">
        <f>IF(E29=0,0,E12/E29)</f>
        <v>3402.606682255956</v>
      </c>
    </row>
    <row r="38" spans="1:5" ht="25.5" customHeight="1">
      <c r="A38" s="639">
        <v>6</v>
      </c>
      <c r="B38" s="640" t="s">
        <v>99</v>
      </c>
      <c r="C38" s="641">
        <f>IF(C30=0,0,C12/C30)</f>
        <v>13824.547422974349</v>
      </c>
      <c r="D38" s="641">
        <f>IF(D30=0,0,D12/D30)</f>
        <v>14373.966260227726</v>
      </c>
      <c r="E38" s="641">
        <f>IF(E30=0,0,E12/E30)</f>
        <v>14653.938351417335</v>
      </c>
    </row>
    <row r="39" spans="1:5" ht="25.5" customHeight="1">
      <c r="A39" s="639">
        <v>7</v>
      </c>
      <c r="B39" s="640" t="s">
        <v>100</v>
      </c>
      <c r="C39" s="641">
        <f>IF(C22=0,0,C10/C22)</f>
        <v>1644.1775945397117</v>
      </c>
      <c r="D39" s="641">
        <f>IF(D22=0,0,D10/D22)</f>
        <v>1782.2132765331482</v>
      </c>
      <c r="E39" s="641">
        <f>IF(E22=0,0,E10/E22)</f>
        <v>1982.0127108513311</v>
      </c>
    </row>
    <row r="40" spans="1:5" ht="25.5" customHeight="1">
      <c r="A40" s="639">
        <v>8</v>
      </c>
      <c r="B40" s="640" t="s">
        <v>101</v>
      </c>
      <c r="C40" s="641">
        <f>IF(C23=0,0,C10/C23)</f>
        <v>7540.521023136854</v>
      </c>
      <c r="D40" s="641">
        <f>IF(D23=0,0,D10/D23)</f>
        <v>8315.834279301913</v>
      </c>
      <c r="E40" s="641">
        <f>IF(E23=0,0,E10/E23)</f>
        <v>8535.894621027535</v>
      </c>
    </row>
    <row r="41" spans="1:5" ht="25.5" customHeight="1">
      <c r="A41" s="639"/>
      <c r="B41" s="640"/>
      <c r="C41" s="641"/>
      <c r="D41" s="641"/>
      <c r="E41" s="641"/>
    </row>
    <row r="42" spans="1:5" ht="39.75" customHeight="1">
      <c r="A42" s="629" t="s">
        <v>512</v>
      </c>
      <c r="B42" s="634" t="s">
        <v>102</v>
      </c>
      <c r="C42" s="641"/>
      <c r="D42" s="641"/>
      <c r="E42" s="641"/>
    </row>
    <row r="43" spans="1:5" ht="25.5" customHeight="1">
      <c r="A43" s="639">
        <v>1</v>
      </c>
      <c r="B43" s="640" t="s">
        <v>103</v>
      </c>
      <c r="C43" s="641">
        <f>IF(C19=0,0,C13/C19)</f>
        <v>3480.1514406263395</v>
      </c>
      <c r="D43" s="641">
        <f>IF(D19=0,0,D13/D19)</f>
        <v>3669.6559751339196</v>
      </c>
      <c r="E43" s="641">
        <f>IF(E19=0,0,E13/E19)</f>
        <v>4022.819373498472</v>
      </c>
    </row>
    <row r="44" spans="1:5" ht="25.5" customHeight="1">
      <c r="A44" s="639">
        <v>2</v>
      </c>
      <c r="B44" s="640" t="s">
        <v>104</v>
      </c>
      <c r="C44" s="641">
        <f>IF(C20=0,0,C13/C20)</f>
        <v>15960.657284768213</v>
      </c>
      <c r="D44" s="641">
        <f>IF(D20=0,0,D13/D20)</f>
        <v>17122.670643900434</v>
      </c>
      <c r="E44" s="641">
        <f>IF(E20=0,0,E13/E20)</f>
        <v>17324.995981918633</v>
      </c>
    </row>
    <row r="45" spans="1:5" ht="25.5" customHeight="1">
      <c r="A45" s="639">
        <v>3</v>
      </c>
      <c r="B45" s="640" t="s">
        <v>105</v>
      </c>
      <c r="C45" s="641">
        <f>IF(C22=0,0,C13/C22)</f>
        <v>1701.4609592390266</v>
      </c>
      <c r="D45" s="641">
        <f>IF(D22=0,0,D13/D22)</f>
        <v>1820.6207810710987</v>
      </c>
      <c r="E45" s="641">
        <f>IF(E22=0,0,E13/E22)</f>
        <v>1988.9272843678707</v>
      </c>
    </row>
    <row r="46" spans="1:5" ht="25.5" customHeight="1">
      <c r="A46" s="639">
        <v>4</v>
      </c>
      <c r="B46" s="640" t="s">
        <v>106</v>
      </c>
      <c r="C46" s="641">
        <f>IF(C23=0,0,C13/C23)</f>
        <v>7803.233772188833</v>
      </c>
      <c r="D46" s="641">
        <f>IF(D23=0,0,D13/D23)</f>
        <v>8495.044280161308</v>
      </c>
      <c r="E46" s="641">
        <f>IF(E23=0,0,E13/E23)</f>
        <v>8565.673476916496</v>
      </c>
    </row>
    <row r="47" spans="1:5" ht="25.5" customHeight="1">
      <c r="A47" s="639">
        <v>5</v>
      </c>
      <c r="B47" s="640" t="s">
        <v>107</v>
      </c>
      <c r="C47" s="641">
        <f>IF(C29=0,0,C13/C29)</f>
        <v>1525.0897475962277</v>
      </c>
      <c r="D47" s="641">
        <f>IF(D29=0,0,D13/D29)</f>
        <v>1561.2930791995125</v>
      </c>
      <c r="E47" s="641">
        <f>IF(E29=0,0,E13/E29)</f>
        <v>1688.1560645921174</v>
      </c>
    </row>
    <row r="48" spans="1:5" ht="25.5" customHeight="1">
      <c r="A48" s="639">
        <v>6</v>
      </c>
      <c r="B48" s="640" t="s">
        <v>108</v>
      </c>
      <c r="C48" s="641">
        <f>IF(C30=0,0,C13/C30)</f>
        <v>6994.36079296486</v>
      </c>
      <c r="D48" s="641">
        <f>IF(D30=0,0,D13/D30)</f>
        <v>7285.017275429694</v>
      </c>
      <c r="E48" s="641">
        <f>IF(E30=0,0,E13/E30)</f>
        <v>7270.348062004806</v>
      </c>
    </row>
    <row r="49" spans="1:5" ht="25.5" customHeight="1">
      <c r="A49" s="639"/>
      <c r="B49" s="640"/>
      <c r="C49" s="641"/>
      <c r="D49" s="641"/>
      <c r="E49" s="641"/>
    </row>
    <row r="50" spans="1:5" ht="37.5" customHeight="1">
      <c r="A50" s="629" t="s">
        <v>524</v>
      </c>
      <c r="B50" s="634" t="s">
        <v>109</v>
      </c>
      <c r="C50" s="648"/>
      <c r="D50" s="648"/>
      <c r="E50" s="641"/>
    </row>
    <row r="51" spans="1:5" ht="25.5" customHeight="1">
      <c r="A51" s="639">
        <v>1</v>
      </c>
      <c r="B51" s="640" t="s">
        <v>110</v>
      </c>
      <c r="C51" s="641">
        <f>IF(C19=0,0,C16/C19)</f>
        <v>3473.8795604792313</v>
      </c>
      <c r="D51" s="641">
        <f>IF(D19=0,0,D16/D19)</f>
        <v>3683.9207283468904</v>
      </c>
      <c r="E51" s="641">
        <f>IF(E19=0,0,E16/E19)</f>
        <v>4041.4676136496164</v>
      </c>
    </row>
    <row r="52" spans="1:5" ht="25.5" customHeight="1">
      <c r="A52" s="639">
        <v>2</v>
      </c>
      <c r="B52" s="640" t="s">
        <v>111</v>
      </c>
      <c r="C52" s="641">
        <f>IF(C20=0,0,C16/C20)</f>
        <v>15931.89321192053</v>
      </c>
      <c r="D52" s="641">
        <f>IF(D20=0,0,D16/D20)</f>
        <v>17189.23019954742</v>
      </c>
      <c r="E52" s="641">
        <f>IF(E20=0,0,E16/E20)</f>
        <v>17405.307985936714</v>
      </c>
    </row>
    <row r="53" spans="1:5" ht="25.5" customHeight="1">
      <c r="A53" s="639">
        <v>3</v>
      </c>
      <c r="B53" s="640" t="s">
        <v>112</v>
      </c>
      <c r="C53" s="641">
        <f>IF(C22=0,0,C16/C22)</f>
        <v>1698.3946101466402</v>
      </c>
      <c r="D53" s="641">
        <f>IF(D22=0,0,D16/D22)</f>
        <v>1827.6979311670116</v>
      </c>
      <c r="E53" s="641">
        <f>IF(E22=0,0,E16/E22)</f>
        <v>1998.1471846911109</v>
      </c>
    </row>
    <row r="54" spans="1:5" ht="25.5" customHeight="1">
      <c r="A54" s="639">
        <v>4</v>
      </c>
      <c r="B54" s="640" t="s">
        <v>113</v>
      </c>
      <c r="C54" s="641">
        <f>IF(C23=0,0,C16/C23)</f>
        <v>7789.170893657826</v>
      </c>
      <c r="D54" s="641">
        <f>IF(D23=0,0,D16/D23)</f>
        <v>8528.066370245744</v>
      </c>
      <c r="E54" s="641">
        <f>IF(E23=0,0,E16/E23)</f>
        <v>8605.380637796281</v>
      </c>
    </row>
    <row r="55" spans="1:5" ht="25.5" customHeight="1">
      <c r="A55" s="639">
        <v>5</v>
      </c>
      <c r="B55" s="640" t="s">
        <v>114</v>
      </c>
      <c r="C55" s="641">
        <f>IF(C29=0,0,C16/C29)</f>
        <v>1522.341252229375</v>
      </c>
      <c r="D55" s="641">
        <f>IF(D29=0,0,D16/D29)</f>
        <v>1567.3621659528253</v>
      </c>
      <c r="E55" s="641">
        <f>IF(E29=0,0,E16/E29)</f>
        <v>1695.9817054629245</v>
      </c>
    </row>
    <row r="56" spans="1:5" ht="25.5" customHeight="1">
      <c r="A56" s="639">
        <v>6</v>
      </c>
      <c r="B56" s="640" t="s">
        <v>115</v>
      </c>
      <c r="C56" s="641">
        <f>IF(C30=0,0,C16/C30)</f>
        <v>6981.755653979524</v>
      </c>
      <c r="D56" s="641">
        <f>IF(D30=0,0,D16/D30)</f>
        <v>7313.335726611604</v>
      </c>
      <c r="E56" s="641">
        <f>IF(E30=0,0,E16/E30)</f>
        <v>7304.050593501954</v>
      </c>
    </row>
    <row r="57" spans="1:5" ht="25.5" customHeight="1">
      <c r="A57" s="639"/>
      <c r="B57" s="640"/>
      <c r="C57" s="641"/>
      <c r="D57" s="641"/>
      <c r="E57" s="641"/>
    </row>
    <row r="58" spans="1:5" ht="25.5" customHeight="1">
      <c r="A58" s="629" t="s">
        <v>528</v>
      </c>
      <c r="B58" s="642" t="s">
        <v>116</v>
      </c>
      <c r="C58" s="641"/>
      <c r="D58" s="641"/>
      <c r="E58" s="641"/>
    </row>
    <row r="59" spans="1:5" ht="25.5" customHeight="1">
      <c r="A59" s="639">
        <v>1</v>
      </c>
      <c r="B59" s="640" t="s">
        <v>117</v>
      </c>
      <c r="C59" s="649">
        <v>20538115</v>
      </c>
      <c r="D59" s="649">
        <v>23131224</v>
      </c>
      <c r="E59" s="649">
        <v>24579480</v>
      </c>
    </row>
    <row r="60" spans="1:5" ht="25.5" customHeight="1">
      <c r="A60" s="639">
        <v>2</v>
      </c>
      <c r="B60" s="640" t="s">
        <v>118</v>
      </c>
      <c r="C60" s="649">
        <v>7126230</v>
      </c>
      <c r="D60" s="649">
        <v>6593854</v>
      </c>
      <c r="E60" s="649">
        <v>6537518</v>
      </c>
    </row>
    <row r="61" spans="1:5" ht="25.5" customHeight="1">
      <c r="A61" s="650">
        <v>3</v>
      </c>
      <c r="B61" s="651" t="s">
        <v>119</v>
      </c>
      <c r="C61" s="652">
        <f>C59+C60</f>
        <v>27664345</v>
      </c>
      <c r="D61" s="652">
        <f>D59+D60</f>
        <v>29725078</v>
      </c>
      <c r="E61" s="652">
        <f>E59+E60</f>
        <v>31116998</v>
      </c>
    </row>
    <row r="62" spans="1:5" ht="25.5" customHeight="1">
      <c r="A62" s="639"/>
      <c r="B62" s="640"/>
      <c r="C62" s="649"/>
      <c r="D62" s="649"/>
      <c r="E62" s="649"/>
    </row>
    <row r="63" spans="1:6" ht="25.5" customHeight="1">
      <c r="A63" s="629" t="s">
        <v>170</v>
      </c>
      <c r="B63" s="642" t="s">
        <v>120</v>
      </c>
      <c r="C63" s="640"/>
      <c r="D63" s="640"/>
      <c r="E63" s="649"/>
      <c r="F63" s="653"/>
    </row>
    <row r="64" spans="1:6" ht="25.5" customHeight="1">
      <c r="A64" s="639">
        <v>1</v>
      </c>
      <c r="B64" s="640" t="s">
        <v>121</v>
      </c>
      <c r="C64" s="641">
        <v>6363410</v>
      </c>
      <c r="D64" s="641">
        <v>7910672</v>
      </c>
      <c r="E64" s="649">
        <v>8816052</v>
      </c>
      <c r="F64" s="653"/>
    </row>
    <row r="65" spans="1:6" ht="25.5" customHeight="1">
      <c r="A65" s="639">
        <v>2</v>
      </c>
      <c r="B65" s="640" t="s">
        <v>122</v>
      </c>
      <c r="C65" s="649">
        <v>2207950</v>
      </c>
      <c r="D65" s="649">
        <v>2256152</v>
      </c>
      <c r="E65" s="649">
        <v>2399979</v>
      </c>
      <c r="F65" s="653"/>
    </row>
    <row r="66" spans="1:6" ht="25.5" customHeight="1">
      <c r="A66" s="650">
        <v>3</v>
      </c>
      <c r="B66" s="651" t="s">
        <v>123</v>
      </c>
      <c r="C66" s="654">
        <f>C64+C65</f>
        <v>8571360</v>
      </c>
      <c r="D66" s="654">
        <f>D64+D65</f>
        <v>10166824</v>
      </c>
      <c r="E66" s="654">
        <f>E64+E65</f>
        <v>11216031</v>
      </c>
      <c r="F66" s="655"/>
    </row>
    <row r="67" spans="1:5" ht="25.5" customHeight="1">
      <c r="A67" s="639"/>
      <c r="B67" s="640"/>
      <c r="C67" s="649"/>
      <c r="D67" s="649"/>
      <c r="E67" s="649"/>
    </row>
    <row r="68" spans="1:5" ht="25.5" customHeight="1">
      <c r="A68" s="629" t="s">
        <v>554</v>
      </c>
      <c r="B68" s="642" t="s">
        <v>124</v>
      </c>
      <c r="C68" s="649"/>
      <c r="D68" s="649"/>
      <c r="E68" s="649"/>
    </row>
    <row r="69" spans="1:5" ht="25.5" customHeight="1">
      <c r="A69" s="639">
        <v>1</v>
      </c>
      <c r="B69" s="640" t="s">
        <v>125</v>
      </c>
      <c r="C69" s="649">
        <v>27702677</v>
      </c>
      <c r="D69" s="649">
        <v>29002264</v>
      </c>
      <c r="E69" s="649">
        <v>31056879</v>
      </c>
    </row>
    <row r="70" spans="1:5" ht="25.5" customHeight="1">
      <c r="A70" s="639">
        <v>2</v>
      </c>
      <c r="B70" s="640" t="s">
        <v>126</v>
      </c>
      <c r="C70" s="649">
        <v>9612167</v>
      </c>
      <c r="D70" s="649">
        <v>8267994</v>
      </c>
      <c r="E70" s="649">
        <v>8205208</v>
      </c>
    </row>
    <row r="71" spans="1:5" ht="25.5" customHeight="1">
      <c r="A71" s="650">
        <v>3</v>
      </c>
      <c r="B71" s="651" t="s">
        <v>127</v>
      </c>
      <c r="C71" s="652">
        <f>C69+C70</f>
        <v>37314844</v>
      </c>
      <c r="D71" s="652">
        <f>D69+D70</f>
        <v>37270258</v>
      </c>
      <c r="E71" s="652">
        <f>E69+E70</f>
        <v>39262087</v>
      </c>
    </row>
    <row r="72" spans="1:5" ht="25.5" customHeight="1">
      <c r="A72" s="639"/>
      <c r="B72" s="640"/>
      <c r="C72" s="649"/>
      <c r="D72" s="649"/>
      <c r="E72" s="649"/>
    </row>
    <row r="73" spans="1:5" ht="25.5" customHeight="1">
      <c r="A73" s="639"/>
      <c r="B73" s="640"/>
      <c r="C73" s="649"/>
      <c r="D73" s="649"/>
      <c r="E73" s="649"/>
    </row>
    <row r="74" spans="1:5" ht="25.5" customHeight="1">
      <c r="A74" s="629" t="s">
        <v>570</v>
      </c>
      <c r="B74" s="642" t="s">
        <v>128</v>
      </c>
      <c r="C74" s="641"/>
      <c r="D74" s="641"/>
      <c r="E74" s="641"/>
    </row>
    <row r="75" spans="1:5" ht="25.5" customHeight="1">
      <c r="A75" s="639">
        <v>1</v>
      </c>
      <c r="B75" s="640" t="s">
        <v>129</v>
      </c>
      <c r="C75" s="641">
        <f aca="true" t="shared" si="0" ref="C75:E76">+C59+C64+C69</f>
        <v>54604202</v>
      </c>
      <c r="D75" s="641">
        <f t="shared" si="0"/>
        <v>60044160</v>
      </c>
      <c r="E75" s="641">
        <f t="shared" si="0"/>
        <v>64452411</v>
      </c>
    </row>
    <row r="76" spans="1:5" ht="25.5" customHeight="1">
      <c r="A76" s="639">
        <v>2</v>
      </c>
      <c r="B76" s="640" t="s">
        <v>130</v>
      </c>
      <c r="C76" s="641">
        <f t="shared" si="0"/>
        <v>18946347</v>
      </c>
      <c r="D76" s="641">
        <f t="shared" si="0"/>
        <v>17118000</v>
      </c>
      <c r="E76" s="641">
        <f t="shared" si="0"/>
        <v>17142705</v>
      </c>
    </row>
    <row r="77" spans="1:5" ht="25.5" customHeight="1">
      <c r="A77" s="650">
        <v>3</v>
      </c>
      <c r="B77" s="651" t="s">
        <v>128</v>
      </c>
      <c r="C77" s="654">
        <f>C75+C76</f>
        <v>73550549</v>
      </c>
      <c r="D77" s="654">
        <f>D75+D76</f>
        <v>77162160</v>
      </c>
      <c r="E77" s="654">
        <f>E75+E76</f>
        <v>81595116</v>
      </c>
    </row>
    <row r="78" spans="1:5" ht="25.5" customHeight="1">
      <c r="A78" s="650"/>
      <c r="B78" s="651"/>
      <c r="C78" s="654"/>
      <c r="D78" s="654"/>
      <c r="E78" s="654"/>
    </row>
    <row r="79" spans="1:5" ht="25.5" customHeight="1">
      <c r="A79" s="629" t="s">
        <v>579</v>
      </c>
      <c r="B79" s="642" t="s">
        <v>131</v>
      </c>
      <c r="C79" s="649"/>
      <c r="D79" s="649"/>
      <c r="E79" s="649"/>
    </row>
    <row r="80" spans="1:5" ht="25.5" customHeight="1">
      <c r="A80" s="639">
        <v>1</v>
      </c>
      <c r="B80" s="640" t="s">
        <v>736</v>
      </c>
      <c r="C80" s="646">
        <v>268.4</v>
      </c>
      <c r="D80" s="646">
        <v>284</v>
      </c>
      <c r="E80" s="646">
        <v>304.2</v>
      </c>
    </row>
    <row r="81" spans="1:5" ht="25.5" customHeight="1">
      <c r="A81" s="639">
        <v>2</v>
      </c>
      <c r="B81" s="640" t="s">
        <v>737</v>
      </c>
      <c r="C81" s="646">
        <v>35.6</v>
      </c>
      <c r="D81" s="646">
        <v>45.3</v>
      </c>
      <c r="E81" s="646">
        <v>47.6</v>
      </c>
    </row>
    <row r="82" spans="1:5" ht="25.5" customHeight="1">
      <c r="A82" s="639">
        <v>3</v>
      </c>
      <c r="B82" s="640" t="s">
        <v>132</v>
      </c>
      <c r="C82" s="646">
        <v>562.4</v>
      </c>
      <c r="D82" s="646">
        <v>579.7</v>
      </c>
      <c r="E82" s="646">
        <v>598.7</v>
      </c>
    </row>
    <row r="83" spans="1:5" ht="25.5" customHeight="1">
      <c r="A83" s="650">
        <v>4</v>
      </c>
      <c r="B83" s="651" t="s">
        <v>131</v>
      </c>
      <c r="C83" s="656">
        <f>C80+C81+C82</f>
        <v>866.4</v>
      </c>
      <c r="D83" s="656">
        <f>D80+D81+D82</f>
        <v>909</v>
      </c>
      <c r="E83" s="656">
        <f>E80+E81+E82</f>
        <v>950.5</v>
      </c>
    </row>
    <row r="84" spans="1:5" ht="25.5" customHeight="1">
      <c r="A84" s="639"/>
      <c r="B84" s="640"/>
      <c r="C84" s="657"/>
      <c r="D84" s="657"/>
      <c r="E84" s="657"/>
    </row>
    <row r="85" spans="1:5" ht="25.5" customHeight="1">
      <c r="A85" s="629" t="s">
        <v>582</v>
      </c>
      <c r="B85" s="642" t="s">
        <v>133</v>
      </c>
      <c r="C85" s="657"/>
      <c r="D85" s="657"/>
      <c r="E85" s="657"/>
    </row>
    <row r="86" spans="1:5" ht="25.5" customHeight="1">
      <c r="A86" s="639">
        <v>1</v>
      </c>
      <c r="B86" s="640" t="s">
        <v>134</v>
      </c>
      <c r="C86" s="649">
        <f>IF(C80=0,0,C59/C80)</f>
        <v>76520.54769001491</v>
      </c>
      <c r="D86" s="649">
        <f>IF(D80=0,0,D59/D80)</f>
        <v>81447.97183098592</v>
      </c>
      <c r="E86" s="649">
        <f>IF(E80=0,0,E59/E80)</f>
        <v>80800.39447731756</v>
      </c>
    </row>
    <row r="87" spans="1:5" ht="25.5" customHeight="1">
      <c r="A87" s="639">
        <v>2</v>
      </c>
      <c r="B87" s="640" t="s">
        <v>135</v>
      </c>
      <c r="C87" s="649">
        <f>IF(C80=0,0,C60/C80)</f>
        <v>26550.782414307007</v>
      </c>
      <c r="D87" s="649">
        <f>IF(D80=0,0,D60/D80)</f>
        <v>23217.795774647886</v>
      </c>
      <c r="E87" s="649">
        <f>IF(E80=0,0,E60/E80)</f>
        <v>21490.854700854703</v>
      </c>
    </row>
    <row r="88" spans="1:5" ht="25.5" customHeight="1">
      <c r="A88" s="650">
        <v>3</v>
      </c>
      <c r="B88" s="651" t="s">
        <v>136</v>
      </c>
      <c r="C88" s="652">
        <f>+C86+C87</f>
        <v>103071.33010432191</v>
      </c>
      <c r="D88" s="652">
        <f>+D86+D87</f>
        <v>104665.7676056338</v>
      </c>
      <c r="E88" s="652">
        <f>+E86+E87</f>
        <v>102291.24917817226</v>
      </c>
    </row>
    <row r="89" spans="1:5" ht="25.5" customHeight="1">
      <c r="A89" s="639"/>
      <c r="B89" s="640"/>
      <c r="C89" s="649"/>
      <c r="D89" s="649"/>
      <c r="E89" s="649"/>
    </row>
    <row r="90" spans="1:2" ht="25.5" customHeight="1">
      <c r="A90" s="629" t="s">
        <v>734</v>
      </c>
      <c r="B90" s="642" t="s">
        <v>137</v>
      </c>
    </row>
    <row r="91" spans="1:5" ht="25.5" customHeight="1">
      <c r="A91" s="639">
        <v>1</v>
      </c>
      <c r="B91" s="640" t="s">
        <v>138</v>
      </c>
      <c r="C91" s="641">
        <f>IF(C81=0,0,C64/C81)</f>
        <v>178747.47191011236</v>
      </c>
      <c r="D91" s="641">
        <f>IF(D81=0,0,D64/D81)</f>
        <v>174628.52097130244</v>
      </c>
      <c r="E91" s="641">
        <f>IF(E81=0,0,E64/E81)</f>
        <v>185211.17647058822</v>
      </c>
    </row>
    <row r="92" spans="1:5" ht="25.5" customHeight="1">
      <c r="A92" s="639">
        <v>2</v>
      </c>
      <c r="B92" s="640" t="s">
        <v>139</v>
      </c>
      <c r="C92" s="641">
        <f>IF(C81=0,0,C65/C81)</f>
        <v>62021.06741573034</v>
      </c>
      <c r="D92" s="641">
        <f>IF(D81=0,0,D65/D81)</f>
        <v>49804.67991169978</v>
      </c>
      <c r="E92" s="641">
        <f>IF(E81=0,0,E65/E81)</f>
        <v>50419.7268907563</v>
      </c>
    </row>
    <row r="93" spans="1:5" ht="25.5" customHeight="1">
      <c r="A93" s="650">
        <v>3</v>
      </c>
      <c r="B93" s="651" t="s">
        <v>140</v>
      </c>
      <c r="C93" s="654">
        <f>+C91+C92</f>
        <v>240768.5393258427</v>
      </c>
      <c r="D93" s="654">
        <f>+D91+D92</f>
        <v>224433.20088300222</v>
      </c>
      <c r="E93" s="654">
        <f>+E91+E92</f>
        <v>235630.90336134454</v>
      </c>
    </row>
    <row r="94" spans="1:5" ht="25.5" customHeight="1">
      <c r="A94" s="639"/>
      <c r="B94" s="640"/>
      <c r="C94" s="649"/>
      <c r="D94" s="649"/>
      <c r="E94" s="649"/>
    </row>
    <row r="95" spans="1:5" ht="25.5" customHeight="1">
      <c r="A95" s="629" t="s">
        <v>141</v>
      </c>
      <c r="B95" s="642" t="s">
        <v>142</v>
      </c>
      <c r="C95" s="649"/>
      <c r="D95" s="649"/>
      <c r="E95" s="649"/>
    </row>
    <row r="96" spans="1:5" ht="25.5" customHeight="1">
      <c r="A96" s="639">
        <v>1</v>
      </c>
      <c r="B96" s="640" t="s">
        <v>143</v>
      </c>
      <c r="C96" s="649">
        <f>IF(C82=0,0,C69/C82)</f>
        <v>49257.960526315794</v>
      </c>
      <c r="D96" s="649">
        <f>IF(D82=0,0,D69/D82)</f>
        <v>50029.780921166115</v>
      </c>
      <c r="E96" s="649">
        <f>IF(E82=0,0,E69/E82)</f>
        <v>51873.858359779515</v>
      </c>
    </row>
    <row r="97" spans="1:5" ht="25.5" customHeight="1">
      <c r="A97" s="639">
        <v>2</v>
      </c>
      <c r="B97" s="640" t="s">
        <v>144</v>
      </c>
      <c r="C97" s="649">
        <f>IF(C82=0,0,C70/C82)</f>
        <v>17091.335348506404</v>
      </c>
      <c r="D97" s="649">
        <f>IF(D82=0,0,D70/D82)</f>
        <v>14262.539244436777</v>
      </c>
      <c r="E97" s="649">
        <f>IF(E82=0,0,E70/E82)</f>
        <v>13705.040921997661</v>
      </c>
    </row>
    <row r="98" spans="1:5" ht="25.5" customHeight="1">
      <c r="A98" s="650">
        <v>3</v>
      </c>
      <c r="B98" s="651" t="s">
        <v>145</v>
      </c>
      <c r="C98" s="654">
        <f>+C96+C97</f>
        <v>66349.2958748222</v>
      </c>
      <c r="D98" s="654">
        <f>+D96+D97</f>
        <v>64292.32016560289</v>
      </c>
      <c r="E98" s="654">
        <f>+E96+E97</f>
        <v>65578.89928177718</v>
      </c>
    </row>
    <row r="99" spans="1:5" ht="25.5" customHeight="1">
      <c r="A99" s="639"/>
      <c r="B99" s="640"/>
      <c r="C99" s="649"/>
      <c r="D99" s="649"/>
      <c r="E99" s="649"/>
    </row>
    <row r="100" spans="1:2" ht="25.5" customHeight="1">
      <c r="A100" s="629" t="s">
        <v>146</v>
      </c>
      <c r="B100" s="642" t="s">
        <v>147</v>
      </c>
    </row>
    <row r="101" spans="1:5" ht="25.5" customHeight="1">
      <c r="A101" s="639">
        <v>1</v>
      </c>
      <c r="B101" s="640" t="s">
        <v>148</v>
      </c>
      <c r="C101" s="641">
        <f>IF(C83=0,0,C75/C83)</f>
        <v>63024.240535549405</v>
      </c>
      <c r="D101" s="641">
        <f>IF(D83=0,0,D75/D83)</f>
        <v>66055.18151815182</v>
      </c>
      <c r="E101" s="641">
        <f>IF(E83=0,0,E75/E83)</f>
        <v>67808.95423461337</v>
      </c>
    </row>
    <row r="102" spans="1:5" ht="25.5" customHeight="1">
      <c r="A102" s="639">
        <v>2</v>
      </c>
      <c r="B102" s="640" t="s">
        <v>149</v>
      </c>
      <c r="C102" s="658">
        <f>IF(C83=0,0,C76/C83)</f>
        <v>21867.898199445983</v>
      </c>
      <c r="D102" s="658">
        <f>IF(D83=0,0,D76/D83)</f>
        <v>18831.68316831683</v>
      </c>
      <c r="E102" s="658">
        <f>IF(E83=0,0,E76/E83)</f>
        <v>18035.46028406102</v>
      </c>
    </row>
    <row r="103" spans="1:5" ht="25.5" customHeight="1">
      <c r="A103" s="650">
        <v>3</v>
      </c>
      <c r="B103" s="651" t="s">
        <v>147</v>
      </c>
      <c r="C103" s="654">
        <f>+C101+C102</f>
        <v>84892.13873499539</v>
      </c>
      <c r="D103" s="654">
        <f>+D101+D102</f>
        <v>84886.86468646865</v>
      </c>
      <c r="E103" s="654">
        <f>+E101+E102</f>
        <v>85844.41451867438</v>
      </c>
    </row>
    <row r="104" spans="1:5" ht="25.5" customHeight="1">
      <c r="A104" s="650"/>
      <c r="B104" s="651"/>
      <c r="C104" s="654"/>
      <c r="D104" s="654"/>
      <c r="E104" s="654"/>
    </row>
    <row r="105" spans="1:5" ht="25.5" customHeight="1">
      <c r="A105" s="650"/>
      <c r="B105" s="651"/>
      <c r="C105" s="654"/>
      <c r="D105" s="654"/>
      <c r="E105" s="654"/>
    </row>
    <row r="106" spans="1:5" ht="25.5" customHeight="1">
      <c r="A106" s="650"/>
      <c r="B106" s="651"/>
      <c r="C106" s="654"/>
      <c r="D106" s="654"/>
      <c r="E106" s="654"/>
    </row>
    <row r="107" spans="1:5" ht="30" customHeight="1">
      <c r="A107" s="629" t="s">
        <v>150</v>
      </c>
      <c r="B107" s="634" t="s">
        <v>151</v>
      </c>
      <c r="C107" s="659"/>
      <c r="D107" s="659"/>
      <c r="E107" s="641"/>
    </row>
    <row r="108" spans="1:5" ht="25.5" customHeight="1">
      <c r="A108" s="639">
        <v>1</v>
      </c>
      <c r="B108" s="640" t="s">
        <v>152</v>
      </c>
      <c r="C108" s="641">
        <f>IF(C19=0,0,C77/C19)</f>
        <v>1659.4966043184945</v>
      </c>
      <c r="D108" s="641">
        <f>IF(D19=0,0,D77/D19)</f>
        <v>1700.993320547583</v>
      </c>
      <c r="E108" s="641">
        <f>IF(E19=0,0,E77/E19)</f>
        <v>1903.181862710797</v>
      </c>
    </row>
    <row r="109" spans="1:5" ht="25.5" customHeight="1">
      <c r="A109" s="639">
        <v>2</v>
      </c>
      <c r="B109" s="640" t="s">
        <v>153</v>
      </c>
      <c r="C109" s="641">
        <f>IF(C20=0,0,C77/C20)</f>
        <v>7610.777007450331</v>
      </c>
      <c r="D109" s="641">
        <f>IF(D20=0,0,D77/D20)</f>
        <v>7936.860728245217</v>
      </c>
      <c r="E109" s="641">
        <f>IF(E20=0,0,E77/E20)</f>
        <v>8196.39537920643</v>
      </c>
    </row>
    <row r="110" spans="1:5" ht="25.5" customHeight="1">
      <c r="A110" s="639">
        <v>3</v>
      </c>
      <c r="B110" s="640" t="s">
        <v>154</v>
      </c>
      <c r="C110" s="641">
        <f>IF(C22=0,0,C77/C22)</f>
        <v>811.3350043552938</v>
      </c>
      <c r="D110" s="641">
        <f>IF(D22=0,0,D77/D22)</f>
        <v>843.9112028039756</v>
      </c>
      <c r="E110" s="641">
        <f>IF(E22=0,0,E77/E22)</f>
        <v>940.9545849352087</v>
      </c>
    </row>
    <row r="111" spans="1:5" ht="25.5" customHeight="1">
      <c r="A111" s="639">
        <v>4</v>
      </c>
      <c r="B111" s="640" t="s">
        <v>155</v>
      </c>
      <c r="C111" s="641">
        <f>IF(C23=0,0,C77/C23)</f>
        <v>3720.941507453536</v>
      </c>
      <c r="D111" s="641">
        <f>IF(D23=0,0,D77/D23)</f>
        <v>3937.702519316678</v>
      </c>
      <c r="E111" s="641">
        <f>IF(E23=0,0,E77/E23)</f>
        <v>4052.3903485612454</v>
      </c>
    </row>
    <row r="112" spans="1:5" ht="25.5" customHeight="1">
      <c r="A112" s="639">
        <v>5</v>
      </c>
      <c r="B112" s="640" t="s">
        <v>156</v>
      </c>
      <c r="C112" s="641">
        <f>IF(C29=0,0,C77/C29)</f>
        <v>727.2330818343339</v>
      </c>
      <c r="D112" s="641">
        <f>IF(D29=0,0,D77/D29)</f>
        <v>723.7051966536511</v>
      </c>
      <c r="E112" s="641">
        <f>IF(E29=0,0,E77/E29)</f>
        <v>798.6607663079991</v>
      </c>
    </row>
    <row r="113" spans="1:5" ht="25.5" customHeight="1">
      <c r="A113" s="639">
        <v>6</v>
      </c>
      <c r="B113" s="640" t="s">
        <v>157</v>
      </c>
      <c r="C113" s="641">
        <f>IF(C30=0,0,C77/C30)</f>
        <v>3335.233590643575</v>
      </c>
      <c r="D113" s="641">
        <f>IF(D30=0,0,D77/D30)</f>
        <v>3376.8194646985776</v>
      </c>
      <c r="E113" s="641">
        <f>IF(E30=0,0,E77/E30)</f>
        <v>3439.576397179592</v>
      </c>
    </row>
    <row r="116" spans="1:7" ht="12.75">
      <c r="A116" s="630"/>
      <c r="B116" s="630"/>
      <c r="C116" s="630"/>
      <c r="D116" s="630"/>
      <c r="E116" s="630"/>
      <c r="F116" s="630"/>
      <c r="G116" s="630"/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25" right="0.25" top="0.5" bottom="0.5" header="0.25" footer="0.25"/>
  <pageSetup fitToHeight="5" horizontalDpi="1200" verticalDpi="1200" orientation="portrait" paperSize="9" scale="65" r:id="rId1"/>
  <headerFooter alignWithMargins="0">
    <oddHeader>&amp;L&amp;12OFFICE OF HEALTH CARE ACCESS&amp;C&amp;12TWELVE MONTHS ACTUAL FILING&amp;R&amp;12MIDSTATE MEDICAL CENTER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C37" sqref="C37"/>
    </sheetView>
  </sheetViews>
  <sheetFormatPr defaultColWidth="9.140625" defaultRowHeight="22.5" customHeight="1"/>
  <cols>
    <col min="1" max="1" width="6.7109375" style="55" customWidth="1"/>
    <col min="2" max="2" width="54.42187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57"/>
      <c r="B1" s="57" t="s">
        <v>158</v>
      </c>
      <c r="C1" s="57"/>
      <c r="D1" s="57"/>
      <c r="E1" s="57"/>
      <c r="F1" s="58"/>
    </row>
    <row r="2" spans="1:6" ht="22.5" customHeight="1">
      <c r="A2" s="57"/>
      <c r="B2" s="57" t="s">
        <v>159</v>
      </c>
      <c r="C2" s="57"/>
      <c r="D2" s="57"/>
      <c r="E2" s="57"/>
      <c r="F2" s="58"/>
    </row>
    <row r="3" spans="1:6" ht="22.5" customHeight="1">
      <c r="A3" s="57"/>
      <c r="B3" s="57" t="s">
        <v>160</v>
      </c>
      <c r="C3" s="57"/>
      <c r="D3" s="57"/>
      <c r="E3" s="57"/>
      <c r="F3" s="58"/>
    </row>
    <row r="4" spans="1:6" ht="22.5" customHeight="1">
      <c r="A4" s="57"/>
      <c r="B4" s="57" t="s">
        <v>227</v>
      </c>
      <c r="C4" s="57"/>
      <c r="D4" s="57"/>
      <c r="E4" s="57"/>
      <c r="F4" s="58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162</v>
      </c>
      <c r="D6" s="10" t="s">
        <v>163</v>
      </c>
      <c r="E6" s="59" t="s">
        <v>164</v>
      </c>
      <c r="F6" s="59" t="s">
        <v>165</v>
      </c>
    </row>
    <row r="7" spans="1:8" ht="15.75" customHeight="1">
      <c r="A7" s="61" t="s">
        <v>166</v>
      </c>
      <c r="B7" s="62" t="s">
        <v>167</v>
      </c>
      <c r="C7" s="14" t="s">
        <v>168</v>
      </c>
      <c r="D7" s="14" t="s">
        <v>168</v>
      </c>
      <c r="E7" s="63" t="s">
        <v>169</v>
      </c>
      <c r="F7" s="63" t="s">
        <v>169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2.75" customHeight="1">
      <c r="A10" s="1"/>
      <c r="B10" s="1"/>
      <c r="C10" s="1"/>
      <c r="D10" s="1"/>
      <c r="E10" s="2"/>
      <c r="F10" s="2"/>
    </row>
    <row r="11" spans="1:6" ht="15.75" customHeight="1">
      <c r="A11" s="29" t="s">
        <v>172</v>
      </c>
      <c r="B11" s="30" t="s">
        <v>228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229</v>
      </c>
      <c r="C12" s="51">
        <v>328452941</v>
      </c>
      <c r="D12" s="51">
        <v>347627051</v>
      </c>
      <c r="E12" s="51">
        <f aca="true" t="shared" si="0" ref="E12:E19">D12-C12</f>
        <v>19174110</v>
      </c>
      <c r="F12" s="70">
        <f aca="true" t="shared" si="1" ref="F12:F19">IF(C12=0,0,E12/C12)</f>
        <v>0.058377038554207984</v>
      </c>
    </row>
    <row r="13" spans="1:6" ht="22.5" customHeight="1">
      <c r="A13" s="25">
        <v>2</v>
      </c>
      <c r="B13" s="48" t="s">
        <v>230</v>
      </c>
      <c r="C13" s="51">
        <v>158909174</v>
      </c>
      <c r="D13" s="51">
        <v>171786129</v>
      </c>
      <c r="E13" s="51">
        <f t="shared" si="0"/>
        <v>12876955</v>
      </c>
      <c r="F13" s="70">
        <f t="shared" si="1"/>
        <v>0.08103342730860838</v>
      </c>
    </row>
    <row r="14" spans="1:6" ht="22.5" customHeight="1">
      <c r="A14" s="25">
        <v>3</v>
      </c>
      <c r="B14" s="48" t="s">
        <v>231</v>
      </c>
      <c r="C14" s="51">
        <v>3077163</v>
      </c>
      <c r="D14" s="51">
        <v>3370587</v>
      </c>
      <c r="E14" s="51">
        <f t="shared" si="0"/>
        <v>293424</v>
      </c>
      <c r="F14" s="70">
        <f t="shared" si="1"/>
        <v>0.09535536466544021</v>
      </c>
    </row>
    <row r="15" spans="1:7" ht="22.5" customHeight="1">
      <c r="A15" s="25">
        <v>4</v>
      </c>
      <c r="B15" s="48" t="s">
        <v>232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233</v>
      </c>
      <c r="C16" s="27">
        <f>C12-C13-C14-C15</f>
        <v>166466604</v>
      </c>
      <c r="D16" s="27">
        <f>D12-D13-D14-D15</f>
        <v>172470335</v>
      </c>
      <c r="E16" s="27">
        <f t="shared" si="0"/>
        <v>6003731</v>
      </c>
      <c r="F16" s="28">
        <f t="shared" si="1"/>
        <v>0.03606567837474476</v>
      </c>
    </row>
    <row r="17" spans="1:7" ht="22.5" customHeight="1">
      <c r="A17" s="25">
        <v>5</v>
      </c>
      <c r="B17" s="48" t="s">
        <v>234</v>
      </c>
      <c r="C17" s="51">
        <v>5054429</v>
      </c>
      <c r="D17" s="51">
        <v>6266748</v>
      </c>
      <c r="E17" s="51">
        <f t="shared" si="0"/>
        <v>1212319</v>
      </c>
      <c r="F17" s="70">
        <f t="shared" si="1"/>
        <v>0.23985281027787708</v>
      </c>
      <c r="G17" s="64"/>
    </row>
    <row r="18" spans="1:7" ht="22.5" customHeight="1">
      <c r="A18" s="25">
        <v>6</v>
      </c>
      <c r="B18" s="45" t="s">
        <v>235</v>
      </c>
      <c r="C18" s="51">
        <v>252892</v>
      </c>
      <c r="D18" s="51">
        <v>247839</v>
      </c>
      <c r="E18" s="51">
        <f t="shared" si="0"/>
        <v>-5053</v>
      </c>
      <c r="F18" s="70">
        <f t="shared" si="1"/>
        <v>-0.019980861395378264</v>
      </c>
      <c r="G18" s="64"/>
    </row>
    <row r="19" spans="1:6" ht="22.5" customHeight="1">
      <c r="A19" s="29"/>
      <c r="B19" s="71" t="s">
        <v>236</v>
      </c>
      <c r="C19" s="27">
        <f>SUM(C16:C18)</f>
        <v>171773925</v>
      </c>
      <c r="D19" s="27">
        <f>SUM(D16:D18)</f>
        <v>178984922</v>
      </c>
      <c r="E19" s="27">
        <f t="shared" si="0"/>
        <v>7210997</v>
      </c>
      <c r="F19" s="28">
        <f t="shared" si="1"/>
        <v>0.04197957868168874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184</v>
      </c>
      <c r="B21" s="30" t="s">
        <v>237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238</v>
      </c>
      <c r="C22" s="51">
        <v>60044160</v>
      </c>
      <c r="D22" s="51">
        <v>64452411</v>
      </c>
      <c r="E22" s="51">
        <f aca="true" t="shared" si="2" ref="E22:E31">D22-C22</f>
        <v>4408251</v>
      </c>
      <c r="F22" s="70">
        <f aca="true" t="shared" si="3" ref="F22:F31">IF(C22=0,0,E22/C22)</f>
        <v>0.07341681522399514</v>
      </c>
    </row>
    <row r="23" spans="1:6" ht="22.5" customHeight="1">
      <c r="A23" s="25">
        <v>2</v>
      </c>
      <c r="B23" s="48" t="s">
        <v>239</v>
      </c>
      <c r="C23" s="51">
        <v>17118000</v>
      </c>
      <c r="D23" s="51">
        <v>17142705</v>
      </c>
      <c r="E23" s="51">
        <f t="shared" si="2"/>
        <v>24705</v>
      </c>
      <c r="F23" s="70">
        <f t="shared" si="3"/>
        <v>0.0014432176656151419</v>
      </c>
    </row>
    <row r="24" spans="1:7" ht="22.5" customHeight="1">
      <c r="A24" s="25">
        <v>3</v>
      </c>
      <c r="B24" s="48" t="s">
        <v>240</v>
      </c>
      <c r="C24" s="51">
        <v>1300029</v>
      </c>
      <c r="D24" s="51">
        <v>1394538</v>
      </c>
      <c r="E24" s="51">
        <f t="shared" si="2"/>
        <v>94509</v>
      </c>
      <c r="F24" s="70">
        <f t="shared" si="3"/>
        <v>0.0726976090533365</v>
      </c>
      <c r="G24" s="64"/>
    </row>
    <row r="25" spans="1:6" ht="22.5" customHeight="1">
      <c r="A25" s="25">
        <v>4</v>
      </c>
      <c r="B25" s="48" t="s">
        <v>241</v>
      </c>
      <c r="C25" s="51">
        <v>18086377</v>
      </c>
      <c r="D25" s="51">
        <v>18898512</v>
      </c>
      <c r="E25" s="51">
        <f t="shared" si="2"/>
        <v>812135</v>
      </c>
      <c r="F25" s="70">
        <f t="shared" si="3"/>
        <v>0.04490313344679258</v>
      </c>
    </row>
    <row r="26" spans="1:6" ht="22.5" customHeight="1">
      <c r="A26" s="25">
        <v>5</v>
      </c>
      <c r="B26" s="48" t="s">
        <v>242</v>
      </c>
      <c r="C26" s="51">
        <v>9014558</v>
      </c>
      <c r="D26" s="51">
        <v>8728633</v>
      </c>
      <c r="E26" s="51">
        <f t="shared" si="2"/>
        <v>-285925</v>
      </c>
      <c r="F26" s="70">
        <f t="shared" si="3"/>
        <v>-0.03171813859315121</v>
      </c>
    </row>
    <row r="27" spans="1:6" ht="22.5" customHeight="1">
      <c r="A27" s="25">
        <v>6</v>
      </c>
      <c r="B27" s="48" t="s">
        <v>243</v>
      </c>
      <c r="C27" s="51">
        <v>9879112</v>
      </c>
      <c r="D27" s="51">
        <v>9717615</v>
      </c>
      <c r="E27" s="51">
        <f t="shared" si="2"/>
        <v>-161497</v>
      </c>
      <c r="F27" s="70">
        <f t="shared" si="3"/>
        <v>-0.01634731947567757</v>
      </c>
    </row>
    <row r="28" spans="1:6" ht="22.5" customHeight="1">
      <c r="A28" s="25">
        <v>7</v>
      </c>
      <c r="B28" s="48" t="s">
        <v>244</v>
      </c>
      <c r="C28" s="51">
        <v>2795157</v>
      </c>
      <c r="D28" s="51">
        <v>2456574</v>
      </c>
      <c r="E28" s="51">
        <f t="shared" si="2"/>
        <v>-338583</v>
      </c>
      <c r="F28" s="70">
        <f t="shared" si="3"/>
        <v>-0.12113201512473182</v>
      </c>
    </row>
    <row r="29" spans="1:6" ht="22.5" customHeight="1">
      <c r="A29" s="25">
        <v>8</v>
      </c>
      <c r="B29" s="48" t="s">
        <v>245</v>
      </c>
      <c r="C29" s="51">
        <v>5421558</v>
      </c>
      <c r="D29" s="51">
        <v>5321837</v>
      </c>
      <c r="E29" s="51">
        <f t="shared" si="2"/>
        <v>-99721</v>
      </c>
      <c r="F29" s="70">
        <f t="shared" si="3"/>
        <v>-0.01839342122688718</v>
      </c>
    </row>
    <row r="30" spans="1:6" ht="22.5" customHeight="1">
      <c r="A30" s="25">
        <v>9</v>
      </c>
      <c r="B30" s="48" t="s">
        <v>246</v>
      </c>
      <c r="C30" s="51">
        <v>43454745</v>
      </c>
      <c r="D30" s="51">
        <v>45157016</v>
      </c>
      <c r="E30" s="51">
        <f t="shared" si="2"/>
        <v>1702271</v>
      </c>
      <c r="F30" s="70">
        <f t="shared" si="3"/>
        <v>0.03917342053209609</v>
      </c>
    </row>
    <row r="31" spans="1:6" ht="22.5" customHeight="1">
      <c r="A31" s="29"/>
      <c r="B31" s="71" t="s">
        <v>247</v>
      </c>
      <c r="C31" s="27">
        <f>SUM(C22:C30)</f>
        <v>167113696</v>
      </c>
      <c r="D31" s="27">
        <f>SUM(D22:D30)</f>
        <v>173269841</v>
      </c>
      <c r="E31" s="27">
        <f t="shared" si="2"/>
        <v>6156145</v>
      </c>
      <c r="F31" s="28">
        <f t="shared" si="3"/>
        <v>0.036838063829310555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248</v>
      </c>
      <c r="C33" s="27">
        <f>+C19-C31</f>
        <v>4660229</v>
      </c>
      <c r="D33" s="27">
        <f>+D19-D31</f>
        <v>5715081</v>
      </c>
      <c r="E33" s="27">
        <f>D33-C33</f>
        <v>1054852</v>
      </c>
      <c r="F33" s="28">
        <f>IF(C33=0,0,E33/C33)</f>
        <v>0.22635196682394793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194</v>
      </c>
      <c r="B35" s="30" t="s">
        <v>249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250</v>
      </c>
      <c r="C36" s="51">
        <v>-2906566</v>
      </c>
      <c r="D36" s="51">
        <v>598843</v>
      </c>
      <c r="E36" s="51">
        <f>D36-C36</f>
        <v>3505409</v>
      </c>
      <c r="F36" s="70">
        <f>IF(C36=0,0,E36/C36)</f>
        <v>-1.2060311033707818</v>
      </c>
    </row>
    <row r="37" spans="1:6" ht="22.5" customHeight="1">
      <c r="A37" s="44">
        <v>2</v>
      </c>
      <c r="B37" s="48" t="s">
        <v>251</v>
      </c>
      <c r="C37" s="51">
        <v>25000</v>
      </c>
      <c r="D37" s="51">
        <v>25000</v>
      </c>
      <c r="E37" s="51">
        <f>D37-C37</f>
        <v>0</v>
      </c>
      <c r="F37" s="70">
        <f>IF(C37=0,0,E37/C37)</f>
        <v>0</v>
      </c>
    </row>
    <row r="38" spans="1:6" ht="22.5" customHeight="1">
      <c r="A38" s="44">
        <v>3</v>
      </c>
      <c r="B38" s="48" t="s">
        <v>252</v>
      </c>
      <c r="C38" s="51">
        <v>1973056</v>
      </c>
      <c r="D38" s="51">
        <v>148548</v>
      </c>
      <c r="E38" s="51">
        <f>D38-C38</f>
        <v>-1824508</v>
      </c>
      <c r="F38" s="70">
        <f>IF(C38=0,0,E38/C38)</f>
        <v>-0.9247117162412015</v>
      </c>
    </row>
    <row r="39" spans="1:6" ht="22.5" customHeight="1">
      <c r="A39" s="20"/>
      <c r="B39" s="71" t="s">
        <v>253</v>
      </c>
      <c r="C39" s="27">
        <f>SUM(C36:C38)</f>
        <v>-908510</v>
      </c>
      <c r="D39" s="27">
        <f>SUM(D36:D38)</f>
        <v>772391</v>
      </c>
      <c r="E39" s="27">
        <f>D39-C39</f>
        <v>1680901</v>
      </c>
      <c r="F39" s="28">
        <f>IF(C39=0,0,E39/C39)</f>
        <v>-1.8501733607775368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254</v>
      </c>
      <c r="C41" s="27">
        <f>C33+C39</f>
        <v>3751719</v>
      </c>
      <c r="D41" s="27">
        <f>D33+D39</f>
        <v>6487472</v>
      </c>
      <c r="E41" s="27">
        <f>D41-C41</f>
        <v>2735753</v>
      </c>
      <c r="F41" s="28">
        <f>IF(C41=0,0,E41/C41)</f>
        <v>0.72919986811379</v>
      </c>
    </row>
    <row r="42" spans="1:6" ht="15.75" customHeight="1">
      <c r="A42" s="44"/>
      <c r="B42" s="71"/>
      <c r="C42" s="27"/>
      <c r="D42" s="27"/>
      <c r="E42" s="53"/>
      <c r="F42" s="28"/>
    </row>
    <row r="43" spans="1:6" ht="22.5" customHeight="1">
      <c r="A43" s="20"/>
      <c r="B43" s="74" t="s">
        <v>255</v>
      </c>
      <c r="C43" s="27"/>
      <c r="D43" s="27"/>
      <c r="E43" s="27"/>
      <c r="F43" s="28"/>
    </row>
    <row r="44" spans="1:6" ht="22.5" customHeight="1">
      <c r="A44" s="44"/>
      <c r="B44" s="48" t="s">
        <v>256</v>
      </c>
      <c r="C44" s="51">
        <v>0</v>
      </c>
      <c r="D44" s="51">
        <v>579781</v>
      </c>
      <c r="E44" s="51">
        <f>D44-C44</f>
        <v>579781</v>
      </c>
      <c r="F44" s="70">
        <f>IF(C44=0,0,E44/C44)</f>
        <v>0</v>
      </c>
    </row>
    <row r="45" spans="1:6" ht="22.5" customHeight="1">
      <c r="A45" s="44"/>
      <c r="B45" s="48" t="s">
        <v>257</v>
      </c>
      <c r="C45" s="51">
        <v>0</v>
      </c>
      <c r="D45" s="51">
        <v>-1697922</v>
      </c>
      <c r="E45" s="51">
        <f>D45-C45</f>
        <v>-1697922</v>
      </c>
      <c r="F45" s="70">
        <f>IF(C45=0,0,E45/C45)</f>
        <v>0</v>
      </c>
    </row>
    <row r="46" spans="1:6" ht="22.5" customHeight="1">
      <c r="A46" s="20"/>
      <c r="B46" s="74" t="s">
        <v>258</v>
      </c>
      <c r="C46" s="27">
        <f>SUM(C44:C45)</f>
        <v>0</v>
      </c>
      <c r="D46" s="27">
        <f>SUM(D44:D45)</f>
        <v>-1118141</v>
      </c>
      <c r="E46" s="27">
        <f>D46-C46</f>
        <v>-1118141</v>
      </c>
      <c r="F46" s="28">
        <f>IF(C46=0,0,E46/C46)</f>
        <v>0</v>
      </c>
    </row>
    <row r="47" spans="1:6" ht="15.75" customHeight="1">
      <c r="A47" s="52"/>
      <c r="B47" s="3"/>
      <c r="C47" s="48"/>
      <c r="D47" s="48"/>
      <c r="E47" s="48"/>
      <c r="F47" s="48"/>
    </row>
    <row r="48" spans="1:6" ht="22.5" customHeight="1">
      <c r="A48" s="20"/>
      <c r="B48" s="74" t="s">
        <v>259</v>
      </c>
      <c r="C48" s="27">
        <f>C41+C46</f>
        <v>3751719</v>
      </c>
      <c r="D48" s="27">
        <f>D41+D46</f>
        <v>5369331</v>
      </c>
      <c r="E48" s="27">
        <f>D48-C48</f>
        <v>1617612</v>
      </c>
      <c r="F48" s="28">
        <f>IF(C48=0,0,E48/C48)</f>
        <v>0.43116555371017923</v>
      </c>
    </row>
    <row r="49" spans="1:6" ht="22.5" customHeight="1">
      <c r="A49" s="44"/>
      <c r="B49" s="48" t="s">
        <v>260</v>
      </c>
      <c r="C49" s="51">
        <v>0</v>
      </c>
      <c r="D49" s="51">
        <v>2460000</v>
      </c>
      <c r="E49" s="51">
        <f>D49-C49</f>
        <v>2460000</v>
      </c>
      <c r="F49" s="70">
        <f>IF(C49=0,0,E49/C49)</f>
        <v>0</v>
      </c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FILING&amp;RMIDSTATE MEDICAL CENTER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9"/>
  <sheetViews>
    <sheetView zoomScale="75" zoomScaleNormal="75" zoomScalePageLayoutView="0" workbookViewId="0" topLeftCell="A1">
      <selection activeCell="D93" sqref="D93"/>
    </sheetView>
  </sheetViews>
  <sheetFormatPr defaultColWidth="9.140625" defaultRowHeight="18" customHeight="1"/>
  <cols>
    <col min="1" max="1" width="6.28125" style="75" customWidth="1"/>
    <col min="2" max="2" width="68.7109375" style="75" customWidth="1"/>
    <col min="3" max="3" width="21.421875" style="76" customWidth="1"/>
    <col min="4" max="4" width="19.57421875" style="75" customWidth="1"/>
    <col min="5" max="5" width="20.00390625" style="75" bestFit="1" customWidth="1"/>
    <col min="6" max="6" width="21.421875" style="75" bestFit="1" customWidth="1"/>
    <col min="7" max="7" width="41.00390625" style="75" bestFit="1" customWidth="1"/>
    <col min="8" max="16384" width="9.140625" style="75" customWidth="1"/>
  </cols>
  <sheetData>
    <row r="1" spans="1:6" ht="18" customHeight="1">
      <c r="A1" s="77"/>
      <c r="B1" s="78"/>
      <c r="C1" s="79"/>
      <c r="D1" s="79"/>
      <c r="E1" s="79"/>
      <c r="F1" s="80"/>
    </row>
    <row r="2" spans="1:6" ht="18" customHeight="1">
      <c r="A2" s="672" t="s">
        <v>158</v>
      </c>
      <c r="B2" s="672"/>
      <c r="C2" s="672"/>
      <c r="D2" s="672"/>
      <c r="E2" s="672"/>
      <c r="F2" s="672"/>
    </row>
    <row r="3" spans="1:6" ht="18" customHeight="1">
      <c r="A3" s="672" t="s">
        <v>159</v>
      </c>
      <c r="B3" s="672"/>
      <c r="C3" s="672"/>
      <c r="D3" s="672"/>
      <c r="E3" s="672"/>
      <c r="F3" s="672"/>
    </row>
    <row r="4" spans="1:6" ht="18" customHeight="1">
      <c r="A4" s="672" t="s">
        <v>160</v>
      </c>
      <c r="B4" s="672"/>
      <c r="C4" s="672"/>
      <c r="D4" s="672"/>
      <c r="E4" s="672"/>
      <c r="F4" s="672"/>
    </row>
    <row r="5" spans="1:6" ht="18" customHeight="1">
      <c r="A5" s="672" t="s">
        <v>261</v>
      </c>
      <c r="B5" s="672"/>
      <c r="C5" s="672"/>
      <c r="D5" s="672"/>
      <c r="E5" s="672"/>
      <c r="F5" s="672"/>
    </row>
    <row r="6" spans="1:6" ht="15" customHeight="1" thickBot="1">
      <c r="A6" s="77"/>
      <c r="B6" s="82"/>
      <c r="C6" s="81"/>
      <c r="D6" s="79"/>
      <c r="E6" s="79"/>
      <c r="F6" s="80"/>
    </row>
    <row r="7" spans="1:6" ht="18" customHeight="1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>
      <c r="A8" s="86" t="s">
        <v>166</v>
      </c>
      <c r="B8" s="87" t="s">
        <v>262</v>
      </c>
      <c r="C8" s="88" t="s">
        <v>263</v>
      </c>
      <c r="D8" s="89" t="s">
        <v>264</v>
      </c>
      <c r="E8" s="90" t="s">
        <v>265</v>
      </c>
      <c r="F8" s="91" t="s">
        <v>266</v>
      </c>
    </row>
    <row r="9" spans="1:6" ht="18" customHeight="1">
      <c r="A9" s="92"/>
      <c r="B9" s="93"/>
      <c r="C9" s="673"/>
      <c r="D9" s="674"/>
      <c r="E9" s="674"/>
      <c r="F9" s="675"/>
    </row>
    <row r="10" spans="1:6" ht="18" customHeight="1">
      <c r="A10" s="662" t="s">
        <v>170</v>
      </c>
      <c r="B10" s="664" t="s">
        <v>267</v>
      </c>
      <c r="C10" s="666"/>
      <c r="D10" s="667"/>
      <c r="E10" s="667"/>
      <c r="F10" s="668"/>
    </row>
    <row r="11" spans="1:6" ht="18" customHeight="1">
      <c r="A11" s="663"/>
      <c r="B11" s="665"/>
      <c r="C11" s="669"/>
      <c r="D11" s="670"/>
      <c r="E11" s="670"/>
      <c r="F11" s="671"/>
    </row>
    <row r="12" spans="1:6" ht="18" customHeight="1">
      <c r="A12" s="94"/>
      <c r="B12" s="95"/>
      <c r="C12" s="96"/>
      <c r="D12" s="96"/>
      <c r="E12" s="96"/>
      <c r="F12" s="96"/>
    </row>
    <row r="13" spans="1:6" ht="18" customHeight="1">
      <c r="A13" s="94" t="s">
        <v>268</v>
      </c>
      <c r="B13" s="95" t="s">
        <v>269</v>
      </c>
      <c r="C13" s="97"/>
      <c r="D13" s="97"/>
      <c r="E13" s="97"/>
      <c r="F13" s="98"/>
    </row>
    <row r="14" spans="1:6" ht="18" customHeight="1">
      <c r="A14" s="99">
        <v>1</v>
      </c>
      <c r="B14" s="100" t="s">
        <v>270</v>
      </c>
      <c r="C14" s="97">
        <v>88470680</v>
      </c>
      <c r="D14" s="97">
        <v>90235806</v>
      </c>
      <c r="E14" s="97">
        <f aca="true" t="shared" si="0" ref="E14:E25">D14-C14</f>
        <v>1765126</v>
      </c>
      <c r="F14" s="98">
        <f aca="true" t="shared" si="1" ref="F14:F25">IF(C14=0,0,E14/C14)</f>
        <v>0.01995153648643822</v>
      </c>
    </row>
    <row r="15" spans="1:6" ht="18" customHeight="1">
      <c r="A15" s="99">
        <v>2</v>
      </c>
      <c r="B15" s="100" t="s">
        <v>271</v>
      </c>
      <c r="C15" s="97">
        <v>10950263</v>
      </c>
      <c r="D15" s="97">
        <v>12565983</v>
      </c>
      <c r="E15" s="97">
        <f t="shared" si="0"/>
        <v>1615720</v>
      </c>
      <c r="F15" s="98">
        <f t="shared" si="1"/>
        <v>0.14755079398549606</v>
      </c>
    </row>
    <row r="16" spans="1:6" ht="18" customHeight="1">
      <c r="A16" s="99">
        <v>3</v>
      </c>
      <c r="B16" s="100" t="s">
        <v>272</v>
      </c>
      <c r="C16" s="97">
        <v>9702177</v>
      </c>
      <c r="D16" s="97">
        <v>8800629</v>
      </c>
      <c r="E16" s="97">
        <f t="shared" si="0"/>
        <v>-901548</v>
      </c>
      <c r="F16" s="98">
        <f t="shared" si="1"/>
        <v>-0.09292223796782928</v>
      </c>
    </row>
    <row r="17" spans="1:6" ht="18" customHeight="1">
      <c r="A17" s="99">
        <v>4</v>
      </c>
      <c r="B17" s="100" t="s">
        <v>273</v>
      </c>
      <c r="C17" s="97">
        <v>6405843</v>
      </c>
      <c r="D17" s="97">
        <v>6999331</v>
      </c>
      <c r="E17" s="97">
        <f t="shared" si="0"/>
        <v>593488</v>
      </c>
      <c r="F17" s="98">
        <f t="shared" si="1"/>
        <v>0.09264791534853414</v>
      </c>
    </row>
    <row r="18" spans="1:6" ht="18" customHeight="1">
      <c r="A18" s="99">
        <v>5</v>
      </c>
      <c r="B18" s="100" t="s">
        <v>274</v>
      </c>
      <c r="C18" s="97">
        <v>64457</v>
      </c>
      <c r="D18" s="97">
        <v>267316</v>
      </c>
      <c r="E18" s="97">
        <f t="shared" si="0"/>
        <v>202859</v>
      </c>
      <c r="F18" s="98">
        <f t="shared" si="1"/>
        <v>3.1471989077989977</v>
      </c>
    </row>
    <row r="19" spans="1:6" ht="18" customHeight="1">
      <c r="A19" s="99">
        <v>6</v>
      </c>
      <c r="B19" s="100" t="s">
        <v>275</v>
      </c>
      <c r="C19" s="97">
        <v>1153180</v>
      </c>
      <c r="D19" s="97">
        <v>3625611</v>
      </c>
      <c r="E19" s="97">
        <f t="shared" si="0"/>
        <v>2472431</v>
      </c>
      <c r="F19" s="98">
        <f t="shared" si="1"/>
        <v>2.1440113425484313</v>
      </c>
    </row>
    <row r="20" spans="1:6" ht="18" customHeight="1">
      <c r="A20" s="99">
        <v>7</v>
      </c>
      <c r="B20" s="100" t="s">
        <v>276</v>
      </c>
      <c r="C20" s="97">
        <v>37992983</v>
      </c>
      <c r="D20" s="97">
        <v>40024818</v>
      </c>
      <c r="E20" s="97">
        <f t="shared" si="0"/>
        <v>2031835</v>
      </c>
      <c r="F20" s="98">
        <f t="shared" si="1"/>
        <v>0.05347921746497241</v>
      </c>
    </row>
    <row r="21" spans="1:6" ht="18" customHeight="1">
      <c r="A21" s="99">
        <v>8</v>
      </c>
      <c r="B21" s="100" t="s">
        <v>277</v>
      </c>
      <c r="C21" s="97">
        <v>703722</v>
      </c>
      <c r="D21" s="97">
        <v>696841</v>
      </c>
      <c r="E21" s="97">
        <f t="shared" si="0"/>
        <v>-6881</v>
      </c>
      <c r="F21" s="98">
        <f t="shared" si="1"/>
        <v>-0.009778008929662565</v>
      </c>
    </row>
    <row r="22" spans="1:6" ht="18" customHeight="1">
      <c r="A22" s="99">
        <v>9</v>
      </c>
      <c r="B22" s="100" t="s">
        <v>278</v>
      </c>
      <c r="C22" s="97">
        <v>4351081</v>
      </c>
      <c r="D22" s="97">
        <v>4002999</v>
      </c>
      <c r="E22" s="97">
        <f t="shared" si="0"/>
        <v>-348082</v>
      </c>
      <c r="F22" s="98">
        <f t="shared" si="1"/>
        <v>-0.0799989703708113</v>
      </c>
    </row>
    <row r="23" spans="1:6" ht="18" customHeight="1">
      <c r="A23" s="99">
        <v>10</v>
      </c>
      <c r="B23" s="100" t="s">
        <v>279</v>
      </c>
      <c r="C23" s="97">
        <v>3160467</v>
      </c>
      <c r="D23" s="97">
        <v>4651402</v>
      </c>
      <c r="E23" s="97">
        <f t="shared" si="0"/>
        <v>1490935</v>
      </c>
      <c r="F23" s="98">
        <f t="shared" si="1"/>
        <v>0.471745156649318</v>
      </c>
    </row>
    <row r="24" spans="1:6" ht="18" customHeight="1">
      <c r="A24" s="99">
        <v>11</v>
      </c>
      <c r="B24" s="100" t="s">
        <v>280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>
      <c r="A25" s="101"/>
      <c r="B25" s="102" t="s">
        <v>281</v>
      </c>
      <c r="C25" s="103">
        <f>SUM(C14:C24)</f>
        <v>162954853</v>
      </c>
      <c r="D25" s="103">
        <f>SUM(D14:D24)</f>
        <v>171870736</v>
      </c>
      <c r="E25" s="103">
        <f t="shared" si="0"/>
        <v>8915883</v>
      </c>
      <c r="F25" s="104">
        <f t="shared" si="1"/>
        <v>0.05471382309798408</v>
      </c>
    </row>
    <row r="26" spans="1:6" ht="18" customHeight="1">
      <c r="A26" s="94" t="s">
        <v>282</v>
      </c>
      <c r="B26" s="95" t="s">
        <v>283</v>
      </c>
      <c r="C26" s="97"/>
      <c r="D26" s="97"/>
      <c r="E26" s="97"/>
      <c r="F26" s="98"/>
    </row>
    <row r="27" spans="1:6" ht="18" customHeight="1">
      <c r="A27" s="99">
        <v>1</v>
      </c>
      <c r="B27" s="100" t="s">
        <v>270</v>
      </c>
      <c r="C27" s="97">
        <v>46878278</v>
      </c>
      <c r="D27" s="97">
        <v>48194129</v>
      </c>
      <c r="E27" s="97">
        <f aca="true" t="shared" si="2" ref="E27:E38">D27-C27</f>
        <v>1315851</v>
      </c>
      <c r="F27" s="98">
        <f aca="true" t="shared" si="3" ref="F27:F38">IF(C27=0,0,E27/C27)</f>
        <v>0.02806952507939818</v>
      </c>
    </row>
    <row r="28" spans="1:6" ht="18" customHeight="1">
      <c r="A28" s="99">
        <v>2</v>
      </c>
      <c r="B28" s="100" t="s">
        <v>271</v>
      </c>
      <c r="C28" s="97">
        <v>7233348</v>
      </c>
      <c r="D28" s="97">
        <v>8895648</v>
      </c>
      <c r="E28" s="97">
        <f t="shared" si="2"/>
        <v>1662300</v>
      </c>
      <c r="F28" s="98">
        <f t="shared" si="3"/>
        <v>0.22981059393243627</v>
      </c>
    </row>
    <row r="29" spans="1:6" ht="18" customHeight="1">
      <c r="A29" s="99">
        <v>3</v>
      </c>
      <c r="B29" s="100" t="s">
        <v>272</v>
      </c>
      <c r="C29" s="97">
        <v>7333811</v>
      </c>
      <c r="D29" s="97">
        <v>7798176</v>
      </c>
      <c r="E29" s="97">
        <f t="shared" si="2"/>
        <v>464365</v>
      </c>
      <c r="F29" s="98">
        <f t="shared" si="3"/>
        <v>0.06331837567125741</v>
      </c>
    </row>
    <row r="30" spans="1:6" ht="18" customHeight="1">
      <c r="A30" s="99">
        <v>4</v>
      </c>
      <c r="B30" s="100" t="s">
        <v>273</v>
      </c>
      <c r="C30" s="97">
        <v>11376148</v>
      </c>
      <c r="D30" s="97">
        <v>13807404</v>
      </c>
      <c r="E30" s="97">
        <f t="shared" si="2"/>
        <v>2431256</v>
      </c>
      <c r="F30" s="98">
        <f t="shared" si="3"/>
        <v>0.2137152224109602</v>
      </c>
    </row>
    <row r="31" spans="1:6" ht="18" customHeight="1">
      <c r="A31" s="99">
        <v>5</v>
      </c>
      <c r="B31" s="100" t="s">
        <v>274</v>
      </c>
      <c r="C31" s="97">
        <v>271513</v>
      </c>
      <c r="D31" s="97">
        <v>279643</v>
      </c>
      <c r="E31" s="97">
        <f t="shared" si="2"/>
        <v>8130</v>
      </c>
      <c r="F31" s="98">
        <f t="shared" si="3"/>
        <v>0.029943317631199978</v>
      </c>
    </row>
    <row r="32" spans="1:6" ht="18" customHeight="1">
      <c r="A32" s="99">
        <v>6</v>
      </c>
      <c r="B32" s="100" t="s">
        <v>275</v>
      </c>
      <c r="C32" s="97">
        <v>2215774</v>
      </c>
      <c r="D32" s="97">
        <v>5723438</v>
      </c>
      <c r="E32" s="97">
        <f t="shared" si="2"/>
        <v>3507664</v>
      </c>
      <c r="F32" s="98">
        <f t="shared" si="3"/>
        <v>1.5830423138821919</v>
      </c>
    </row>
    <row r="33" spans="1:6" ht="18" customHeight="1">
      <c r="A33" s="99">
        <v>7</v>
      </c>
      <c r="B33" s="100" t="s">
        <v>276</v>
      </c>
      <c r="C33" s="97">
        <v>77111959</v>
      </c>
      <c r="D33" s="97">
        <v>75543101</v>
      </c>
      <c r="E33" s="97">
        <f t="shared" si="2"/>
        <v>-1568858</v>
      </c>
      <c r="F33" s="98">
        <f t="shared" si="3"/>
        <v>-0.020345197040059635</v>
      </c>
    </row>
    <row r="34" spans="1:6" ht="18" customHeight="1">
      <c r="A34" s="99">
        <v>8</v>
      </c>
      <c r="B34" s="100" t="s">
        <v>277</v>
      </c>
      <c r="C34" s="97">
        <v>2519889</v>
      </c>
      <c r="D34" s="97">
        <v>2792538</v>
      </c>
      <c r="E34" s="97">
        <f t="shared" si="2"/>
        <v>272649</v>
      </c>
      <c r="F34" s="98">
        <f t="shared" si="3"/>
        <v>0.10819881351916692</v>
      </c>
    </row>
    <row r="35" spans="1:6" ht="18" customHeight="1">
      <c r="A35" s="99">
        <v>9</v>
      </c>
      <c r="B35" s="100" t="s">
        <v>278</v>
      </c>
      <c r="C35" s="97">
        <v>6495074</v>
      </c>
      <c r="D35" s="97">
        <v>6982432</v>
      </c>
      <c r="E35" s="97">
        <f t="shared" si="2"/>
        <v>487358</v>
      </c>
      <c r="F35" s="98">
        <f t="shared" si="3"/>
        <v>0.07503501884659051</v>
      </c>
    </row>
    <row r="36" spans="1:6" ht="18" customHeight="1">
      <c r="A36" s="99">
        <v>10</v>
      </c>
      <c r="B36" s="100" t="s">
        <v>279</v>
      </c>
      <c r="C36" s="97">
        <v>4062294</v>
      </c>
      <c r="D36" s="97">
        <v>5739806</v>
      </c>
      <c r="E36" s="97">
        <f t="shared" si="2"/>
        <v>1677512</v>
      </c>
      <c r="F36" s="98">
        <f t="shared" si="3"/>
        <v>0.412946970357143</v>
      </c>
    </row>
    <row r="37" spans="1:6" ht="18" customHeight="1">
      <c r="A37" s="99">
        <v>11</v>
      </c>
      <c r="B37" s="100" t="s">
        <v>280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>
      <c r="A38" s="101"/>
      <c r="B38" s="102" t="s">
        <v>284</v>
      </c>
      <c r="C38" s="103">
        <f>SUM(C27:C37)</f>
        <v>165498088</v>
      </c>
      <c r="D38" s="103">
        <f>SUM(D27:D37)</f>
        <v>175756315</v>
      </c>
      <c r="E38" s="103">
        <f t="shared" si="2"/>
        <v>10258227</v>
      </c>
      <c r="F38" s="104">
        <f t="shared" si="3"/>
        <v>0.061983960805637825</v>
      </c>
    </row>
    <row r="39" spans="1:6" ht="18" customHeight="1">
      <c r="A39" s="662" t="s">
        <v>285</v>
      </c>
      <c r="B39" s="664" t="s">
        <v>286</v>
      </c>
      <c r="C39" s="666"/>
      <c r="D39" s="667"/>
      <c r="E39" s="667"/>
      <c r="F39" s="668"/>
    </row>
    <row r="40" spans="1:6" ht="18" customHeight="1">
      <c r="A40" s="663"/>
      <c r="B40" s="665"/>
      <c r="C40" s="669"/>
      <c r="D40" s="670"/>
      <c r="E40" s="670"/>
      <c r="F40" s="671"/>
    </row>
    <row r="41" spans="1:6" ht="18" customHeight="1">
      <c r="A41" s="105">
        <v>1</v>
      </c>
      <c r="B41" s="106" t="s">
        <v>270</v>
      </c>
      <c r="C41" s="103">
        <f aca="true" t="shared" si="4" ref="C41:D51">+C27+C14</f>
        <v>135348958</v>
      </c>
      <c r="D41" s="103">
        <f t="shared" si="4"/>
        <v>138429935</v>
      </c>
      <c r="E41" s="107">
        <f aca="true" t="shared" si="5" ref="E41:E52">D41-C41</f>
        <v>3080977</v>
      </c>
      <c r="F41" s="108">
        <f aca="true" t="shared" si="6" ref="F41:F52">IF(C41=0,0,E41/C41)</f>
        <v>0.02276321181578657</v>
      </c>
    </row>
    <row r="42" spans="1:6" ht="18" customHeight="1">
      <c r="A42" s="105">
        <v>2</v>
      </c>
      <c r="B42" s="106" t="s">
        <v>271</v>
      </c>
      <c r="C42" s="103">
        <f t="shared" si="4"/>
        <v>18183611</v>
      </c>
      <c r="D42" s="103">
        <f t="shared" si="4"/>
        <v>21461631</v>
      </c>
      <c r="E42" s="107">
        <f t="shared" si="5"/>
        <v>3278020</v>
      </c>
      <c r="F42" s="108">
        <f t="shared" si="6"/>
        <v>0.1802733241488723</v>
      </c>
    </row>
    <row r="43" spans="1:6" ht="18" customHeight="1">
      <c r="A43" s="105">
        <v>3</v>
      </c>
      <c r="B43" s="106" t="s">
        <v>272</v>
      </c>
      <c r="C43" s="103">
        <f t="shared" si="4"/>
        <v>17035988</v>
      </c>
      <c r="D43" s="103">
        <f t="shared" si="4"/>
        <v>16598805</v>
      </c>
      <c r="E43" s="107">
        <f t="shared" si="5"/>
        <v>-437183</v>
      </c>
      <c r="F43" s="108">
        <f t="shared" si="6"/>
        <v>-0.025662321433896292</v>
      </c>
    </row>
    <row r="44" spans="1:6" ht="18" customHeight="1">
      <c r="A44" s="105">
        <v>4</v>
      </c>
      <c r="B44" s="106" t="s">
        <v>273</v>
      </c>
      <c r="C44" s="103">
        <f t="shared" si="4"/>
        <v>17781991</v>
      </c>
      <c r="D44" s="103">
        <f t="shared" si="4"/>
        <v>20806735</v>
      </c>
      <c r="E44" s="107">
        <f t="shared" si="5"/>
        <v>3024744</v>
      </c>
      <c r="F44" s="108">
        <f t="shared" si="6"/>
        <v>0.17010153699886588</v>
      </c>
    </row>
    <row r="45" spans="1:6" ht="18" customHeight="1">
      <c r="A45" s="105">
        <v>5</v>
      </c>
      <c r="B45" s="106" t="s">
        <v>274</v>
      </c>
      <c r="C45" s="103">
        <f t="shared" si="4"/>
        <v>335970</v>
      </c>
      <c r="D45" s="103">
        <f t="shared" si="4"/>
        <v>546959</v>
      </c>
      <c r="E45" s="107">
        <f t="shared" si="5"/>
        <v>210989</v>
      </c>
      <c r="F45" s="108">
        <f t="shared" si="6"/>
        <v>0.627999523767003</v>
      </c>
    </row>
    <row r="46" spans="1:6" ht="18" customHeight="1">
      <c r="A46" s="105">
        <v>6</v>
      </c>
      <c r="B46" s="106" t="s">
        <v>275</v>
      </c>
      <c r="C46" s="103">
        <f t="shared" si="4"/>
        <v>3368954</v>
      </c>
      <c r="D46" s="103">
        <f t="shared" si="4"/>
        <v>9349049</v>
      </c>
      <c r="E46" s="107">
        <f t="shared" si="5"/>
        <v>5980095</v>
      </c>
      <c r="F46" s="108">
        <f t="shared" si="6"/>
        <v>1.7750598553735075</v>
      </c>
    </row>
    <row r="47" spans="1:6" ht="18" customHeight="1">
      <c r="A47" s="105">
        <v>7</v>
      </c>
      <c r="B47" s="106" t="s">
        <v>276</v>
      </c>
      <c r="C47" s="103">
        <f t="shared" si="4"/>
        <v>115104942</v>
      </c>
      <c r="D47" s="103">
        <f t="shared" si="4"/>
        <v>115567919</v>
      </c>
      <c r="E47" s="107">
        <f t="shared" si="5"/>
        <v>462977</v>
      </c>
      <c r="F47" s="108">
        <f t="shared" si="6"/>
        <v>0.0040222165265501805</v>
      </c>
    </row>
    <row r="48" spans="1:6" ht="18" customHeight="1">
      <c r="A48" s="105">
        <v>8</v>
      </c>
      <c r="B48" s="106" t="s">
        <v>277</v>
      </c>
      <c r="C48" s="103">
        <f t="shared" si="4"/>
        <v>3223611</v>
      </c>
      <c r="D48" s="103">
        <f t="shared" si="4"/>
        <v>3489379</v>
      </c>
      <c r="E48" s="107">
        <f t="shared" si="5"/>
        <v>265768</v>
      </c>
      <c r="F48" s="108">
        <f t="shared" si="6"/>
        <v>0.0824441906917429</v>
      </c>
    </row>
    <row r="49" spans="1:6" ht="18" customHeight="1">
      <c r="A49" s="105">
        <v>9</v>
      </c>
      <c r="B49" s="106" t="s">
        <v>278</v>
      </c>
      <c r="C49" s="103">
        <f t="shared" si="4"/>
        <v>10846155</v>
      </c>
      <c r="D49" s="103">
        <f t="shared" si="4"/>
        <v>10985431</v>
      </c>
      <c r="E49" s="107">
        <f t="shared" si="5"/>
        <v>139276</v>
      </c>
      <c r="F49" s="108">
        <f t="shared" si="6"/>
        <v>0.012841048279321105</v>
      </c>
    </row>
    <row r="50" spans="1:6" ht="18" customHeight="1">
      <c r="A50" s="105">
        <v>10</v>
      </c>
      <c r="B50" s="106" t="s">
        <v>279</v>
      </c>
      <c r="C50" s="103">
        <f t="shared" si="4"/>
        <v>7222761</v>
      </c>
      <c r="D50" s="103">
        <f t="shared" si="4"/>
        <v>10391208</v>
      </c>
      <c r="E50" s="107">
        <f t="shared" si="5"/>
        <v>3168447</v>
      </c>
      <c r="F50" s="108">
        <f t="shared" si="6"/>
        <v>0.4386753209749014</v>
      </c>
    </row>
    <row r="51" spans="1:6" ht="18" customHeight="1" thickBot="1">
      <c r="A51" s="105">
        <v>11</v>
      </c>
      <c r="B51" s="106" t="s">
        <v>280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>
      <c r="A52" s="109"/>
      <c r="B52" s="110" t="s">
        <v>286</v>
      </c>
      <c r="C52" s="111">
        <f>SUM(C41:C51)</f>
        <v>328452941</v>
      </c>
      <c r="D52" s="112">
        <f>SUM(D41:D51)</f>
        <v>347627051</v>
      </c>
      <c r="E52" s="111">
        <f t="shared" si="5"/>
        <v>19174110</v>
      </c>
      <c r="F52" s="113">
        <f t="shared" si="6"/>
        <v>0.058377038554207984</v>
      </c>
    </row>
    <row r="53" spans="1:6" ht="18" customHeight="1">
      <c r="A53" s="662" t="s">
        <v>202</v>
      </c>
      <c r="B53" s="664" t="s">
        <v>287</v>
      </c>
      <c r="C53" s="666"/>
      <c r="D53" s="667"/>
      <c r="E53" s="667"/>
      <c r="F53" s="668"/>
    </row>
    <row r="54" spans="1:6" ht="18" customHeight="1">
      <c r="A54" s="663"/>
      <c r="B54" s="665"/>
      <c r="C54" s="669"/>
      <c r="D54" s="670"/>
      <c r="E54" s="670"/>
      <c r="F54" s="671"/>
    </row>
    <row r="55" spans="1:6" ht="18" customHeight="1">
      <c r="A55" s="94"/>
      <c r="B55" s="95"/>
      <c r="C55" s="96"/>
      <c r="D55" s="96"/>
      <c r="E55" s="96"/>
      <c r="F55" s="96"/>
    </row>
    <row r="56" spans="1:6" ht="18" customHeight="1">
      <c r="A56" s="94" t="s">
        <v>268</v>
      </c>
      <c r="B56" s="95" t="s">
        <v>288</v>
      </c>
      <c r="C56" s="97"/>
      <c r="D56" s="97"/>
      <c r="E56" s="97"/>
      <c r="F56" s="98"/>
    </row>
    <row r="57" spans="1:6" ht="18" customHeight="1">
      <c r="A57" s="99">
        <v>1</v>
      </c>
      <c r="B57" s="100" t="s">
        <v>270</v>
      </c>
      <c r="C57" s="97">
        <v>39121701</v>
      </c>
      <c r="D57" s="97">
        <v>38089274</v>
      </c>
      <c r="E57" s="97">
        <f aca="true" t="shared" si="7" ref="E57:E68">D57-C57</f>
        <v>-1032427</v>
      </c>
      <c r="F57" s="98">
        <f aca="true" t="shared" si="8" ref="F57:F68">IF(C57=0,0,E57/C57)</f>
        <v>-0.026390135745886917</v>
      </c>
    </row>
    <row r="58" spans="1:6" ht="18" customHeight="1">
      <c r="A58" s="99">
        <v>2</v>
      </c>
      <c r="B58" s="100" t="s">
        <v>271</v>
      </c>
      <c r="C58" s="97">
        <v>4830308</v>
      </c>
      <c r="D58" s="97">
        <v>5757808</v>
      </c>
      <c r="E58" s="97">
        <f t="shared" si="7"/>
        <v>927500</v>
      </c>
      <c r="F58" s="98">
        <f t="shared" si="8"/>
        <v>0.19201674096144594</v>
      </c>
    </row>
    <row r="59" spans="1:6" ht="18" customHeight="1">
      <c r="A59" s="99">
        <v>3</v>
      </c>
      <c r="B59" s="100" t="s">
        <v>272</v>
      </c>
      <c r="C59" s="97">
        <v>3757850</v>
      </c>
      <c r="D59" s="97">
        <v>3709833</v>
      </c>
      <c r="E59" s="97">
        <f t="shared" si="7"/>
        <v>-48017</v>
      </c>
      <c r="F59" s="98">
        <f t="shared" si="8"/>
        <v>-0.012777785169711404</v>
      </c>
    </row>
    <row r="60" spans="1:6" ht="18" customHeight="1">
      <c r="A60" s="99">
        <v>4</v>
      </c>
      <c r="B60" s="100" t="s">
        <v>273</v>
      </c>
      <c r="C60" s="97">
        <v>2560538</v>
      </c>
      <c r="D60" s="97">
        <v>2989391</v>
      </c>
      <c r="E60" s="97">
        <f t="shared" si="7"/>
        <v>428853</v>
      </c>
      <c r="F60" s="98">
        <f t="shared" si="8"/>
        <v>0.16748550499933998</v>
      </c>
    </row>
    <row r="61" spans="1:6" ht="18" customHeight="1">
      <c r="A61" s="99">
        <v>5</v>
      </c>
      <c r="B61" s="100" t="s">
        <v>274</v>
      </c>
      <c r="C61" s="97">
        <v>30312</v>
      </c>
      <c r="D61" s="97">
        <v>86070</v>
      </c>
      <c r="E61" s="97">
        <f t="shared" si="7"/>
        <v>55758</v>
      </c>
      <c r="F61" s="98">
        <f t="shared" si="8"/>
        <v>1.8394695170229611</v>
      </c>
    </row>
    <row r="62" spans="1:6" ht="18" customHeight="1">
      <c r="A62" s="99">
        <v>6</v>
      </c>
      <c r="B62" s="100" t="s">
        <v>275</v>
      </c>
      <c r="C62" s="97">
        <v>1106506</v>
      </c>
      <c r="D62" s="97">
        <v>2404239</v>
      </c>
      <c r="E62" s="97">
        <f t="shared" si="7"/>
        <v>1297733</v>
      </c>
      <c r="F62" s="98">
        <f t="shared" si="8"/>
        <v>1.1728205721433052</v>
      </c>
    </row>
    <row r="63" spans="1:6" ht="18" customHeight="1">
      <c r="A63" s="99">
        <v>7</v>
      </c>
      <c r="B63" s="100" t="s">
        <v>276</v>
      </c>
      <c r="C63" s="97">
        <v>25965746</v>
      </c>
      <c r="D63" s="97">
        <v>27408463</v>
      </c>
      <c r="E63" s="97">
        <f t="shared" si="7"/>
        <v>1442717</v>
      </c>
      <c r="F63" s="98">
        <f t="shared" si="8"/>
        <v>0.05556231659972334</v>
      </c>
    </row>
    <row r="64" spans="1:6" ht="18" customHeight="1">
      <c r="A64" s="99">
        <v>8</v>
      </c>
      <c r="B64" s="100" t="s">
        <v>277</v>
      </c>
      <c r="C64" s="97">
        <v>633442</v>
      </c>
      <c r="D64" s="97">
        <v>594872</v>
      </c>
      <c r="E64" s="97">
        <f t="shared" si="7"/>
        <v>-38570</v>
      </c>
      <c r="F64" s="98">
        <f t="shared" si="8"/>
        <v>-0.06088955263465321</v>
      </c>
    </row>
    <row r="65" spans="1:6" ht="18" customHeight="1">
      <c r="A65" s="99">
        <v>9</v>
      </c>
      <c r="B65" s="100" t="s">
        <v>278</v>
      </c>
      <c r="C65" s="97">
        <v>210806</v>
      </c>
      <c r="D65" s="97">
        <v>125703</v>
      </c>
      <c r="E65" s="97">
        <f t="shared" si="7"/>
        <v>-85103</v>
      </c>
      <c r="F65" s="98">
        <f t="shared" si="8"/>
        <v>-0.40370293065662266</v>
      </c>
    </row>
    <row r="66" spans="1:6" ht="18" customHeight="1">
      <c r="A66" s="99">
        <v>10</v>
      </c>
      <c r="B66" s="100" t="s">
        <v>279</v>
      </c>
      <c r="C66" s="97">
        <v>788928</v>
      </c>
      <c r="D66" s="97">
        <v>888557</v>
      </c>
      <c r="E66" s="97">
        <f t="shared" si="7"/>
        <v>99629</v>
      </c>
      <c r="F66" s="98">
        <f t="shared" si="8"/>
        <v>0.12628402084854384</v>
      </c>
    </row>
    <row r="67" spans="1:6" ht="18" customHeight="1">
      <c r="A67" s="99">
        <v>11</v>
      </c>
      <c r="B67" s="100" t="s">
        <v>280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>
      <c r="A68" s="101"/>
      <c r="B68" s="102" t="s">
        <v>289</v>
      </c>
      <c r="C68" s="103">
        <f>SUM(C57:C67)</f>
        <v>79006137</v>
      </c>
      <c r="D68" s="103">
        <f>SUM(D57:D67)</f>
        <v>82054210</v>
      </c>
      <c r="E68" s="103">
        <f t="shared" si="7"/>
        <v>3048073</v>
      </c>
      <c r="F68" s="104">
        <f t="shared" si="8"/>
        <v>0.038580205484543564</v>
      </c>
    </row>
    <row r="69" spans="1:6" ht="18" customHeight="1">
      <c r="A69" s="94" t="s">
        <v>282</v>
      </c>
      <c r="B69" s="95" t="s">
        <v>290</v>
      </c>
      <c r="C69" s="97"/>
      <c r="D69" s="97"/>
      <c r="E69" s="97"/>
      <c r="F69" s="98"/>
    </row>
    <row r="70" spans="1:6" ht="18" customHeight="1">
      <c r="A70" s="99">
        <v>1</v>
      </c>
      <c r="B70" s="100" t="s">
        <v>270</v>
      </c>
      <c r="C70" s="97">
        <v>15598444</v>
      </c>
      <c r="D70" s="97">
        <v>15714828</v>
      </c>
      <c r="E70" s="97">
        <f aca="true" t="shared" si="9" ref="E70:E81">D70-C70</f>
        <v>116384</v>
      </c>
      <c r="F70" s="98">
        <f aca="true" t="shared" si="10" ref="F70:F81">IF(C70=0,0,E70/C70)</f>
        <v>0.007461257033073299</v>
      </c>
    </row>
    <row r="71" spans="1:6" ht="18" customHeight="1">
      <c r="A71" s="99">
        <v>2</v>
      </c>
      <c r="B71" s="100" t="s">
        <v>271</v>
      </c>
      <c r="C71" s="97">
        <v>2457231</v>
      </c>
      <c r="D71" s="97">
        <v>2831705</v>
      </c>
      <c r="E71" s="97">
        <f t="shared" si="9"/>
        <v>374474</v>
      </c>
      <c r="F71" s="98">
        <f t="shared" si="10"/>
        <v>0.15239674251220175</v>
      </c>
    </row>
    <row r="72" spans="1:6" ht="18" customHeight="1">
      <c r="A72" s="99">
        <v>3</v>
      </c>
      <c r="B72" s="100" t="s">
        <v>272</v>
      </c>
      <c r="C72" s="97">
        <v>2251605</v>
      </c>
      <c r="D72" s="97">
        <v>2393728</v>
      </c>
      <c r="E72" s="97">
        <f t="shared" si="9"/>
        <v>142123</v>
      </c>
      <c r="F72" s="98">
        <f t="shared" si="10"/>
        <v>0.06312075164160677</v>
      </c>
    </row>
    <row r="73" spans="1:6" ht="18" customHeight="1">
      <c r="A73" s="99">
        <v>4</v>
      </c>
      <c r="B73" s="100" t="s">
        <v>273</v>
      </c>
      <c r="C73" s="97">
        <v>3377674</v>
      </c>
      <c r="D73" s="97">
        <v>4609407</v>
      </c>
      <c r="E73" s="97">
        <f t="shared" si="9"/>
        <v>1231733</v>
      </c>
      <c r="F73" s="98">
        <f t="shared" si="10"/>
        <v>0.3646690000278298</v>
      </c>
    </row>
    <row r="74" spans="1:6" ht="18" customHeight="1">
      <c r="A74" s="99">
        <v>5</v>
      </c>
      <c r="B74" s="100" t="s">
        <v>274</v>
      </c>
      <c r="C74" s="97">
        <v>127684</v>
      </c>
      <c r="D74" s="97">
        <v>90039</v>
      </c>
      <c r="E74" s="97">
        <f t="shared" si="9"/>
        <v>-37645</v>
      </c>
      <c r="F74" s="98">
        <f t="shared" si="10"/>
        <v>-0.2948294226371354</v>
      </c>
    </row>
    <row r="75" spans="1:6" ht="18" customHeight="1">
      <c r="A75" s="99">
        <v>6</v>
      </c>
      <c r="B75" s="100" t="s">
        <v>275</v>
      </c>
      <c r="C75" s="97">
        <v>2098402</v>
      </c>
      <c r="D75" s="97">
        <v>3796759</v>
      </c>
      <c r="E75" s="97">
        <f t="shared" si="9"/>
        <v>1698357</v>
      </c>
      <c r="F75" s="98">
        <f t="shared" si="10"/>
        <v>0.8093573109442328</v>
      </c>
    </row>
    <row r="76" spans="1:6" ht="18" customHeight="1">
      <c r="A76" s="99">
        <v>7</v>
      </c>
      <c r="B76" s="100" t="s">
        <v>276</v>
      </c>
      <c r="C76" s="97">
        <v>51253449</v>
      </c>
      <c r="D76" s="97">
        <v>50897830</v>
      </c>
      <c r="E76" s="97">
        <f t="shared" si="9"/>
        <v>-355619</v>
      </c>
      <c r="F76" s="98">
        <f t="shared" si="10"/>
        <v>-0.006938440376958827</v>
      </c>
    </row>
    <row r="77" spans="1:6" ht="18" customHeight="1">
      <c r="A77" s="99">
        <v>8</v>
      </c>
      <c r="B77" s="100" t="s">
        <v>277</v>
      </c>
      <c r="C77" s="97">
        <v>2236737</v>
      </c>
      <c r="D77" s="97">
        <v>2371115</v>
      </c>
      <c r="E77" s="97">
        <f t="shared" si="9"/>
        <v>134378</v>
      </c>
      <c r="F77" s="98">
        <f t="shared" si="10"/>
        <v>0.06007769353303495</v>
      </c>
    </row>
    <row r="78" spans="1:6" ht="18" customHeight="1">
      <c r="A78" s="99">
        <v>9</v>
      </c>
      <c r="B78" s="100" t="s">
        <v>278</v>
      </c>
      <c r="C78" s="97">
        <v>267402</v>
      </c>
      <c r="D78" s="97">
        <v>369633</v>
      </c>
      <c r="E78" s="97">
        <f t="shared" si="9"/>
        <v>102231</v>
      </c>
      <c r="F78" s="98">
        <f t="shared" si="10"/>
        <v>0.38231202459218705</v>
      </c>
    </row>
    <row r="79" spans="1:6" ht="18" customHeight="1">
      <c r="A79" s="99">
        <v>10</v>
      </c>
      <c r="B79" s="100" t="s">
        <v>279</v>
      </c>
      <c r="C79" s="97">
        <v>617430</v>
      </c>
      <c r="D79" s="97">
        <v>691793</v>
      </c>
      <c r="E79" s="97">
        <f t="shared" si="9"/>
        <v>74363</v>
      </c>
      <c r="F79" s="98">
        <f t="shared" si="10"/>
        <v>0.1204395639991578</v>
      </c>
    </row>
    <row r="80" spans="1:6" ht="18" customHeight="1">
      <c r="A80" s="99">
        <v>11</v>
      </c>
      <c r="B80" s="100" t="s">
        <v>280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>
      <c r="A81" s="101"/>
      <c r="B81" s="102" t="s">
        <v>291</v>
      </c>
      <c r="C81" s="103">
        <f>SUM(C70:C80)</f>
        <v>80286058</v>
      </c>
      <c r="D81" s="103">
        <f>SUM(D70:D80)</f>
        <v>83766837</v>
      </c>
      <c r="E81" s="103">
        <f t="shared" si="9"/>
        <v>3480779</v>
      </c>
      <c r="F81" s="104">
        <f t="shared" si="10"/>
        <v>0.043354712968969034</v>
      </c>
    </row>
    <row r="82" spans="1:6" ht="18" customHeight="1">
      <c r="A82" s="662" t="s">
        <v>285</v>
      </c>
      <c r="B82" s="664" t="s">
        <v>292</v>
      </c>
      <c r="C82" s="666"/>
      <c r="D82" s="667"/>
      <c r="E82" s="667"/>
      <c r="F82" s="668"/>
    </row>
    <row r="83" spans="1:6" ht="18" customHeight="1">
      <c r="A83" s="663"/>
      <c r="B83" s="665"/>
      <c r="C83" s="669"/>
      <c r="D83" s="670"/>
      <c r="E83" s="670"/>
      <c r="F83" s="671"/>
    </row>
    <row r="84" spans="1:6" ht="18" customHeight="1">
      <c r="A84" s="114">
        <v>1</v>
      </c>
      <c r="B84" s="106" t="s">
        <v>270</v>
      </c>
      <c r="C84" s="103">
        <f aca="true" t="shared" si="11" ref="C84:D94">+C70+C57</f>
        <v>54720145</v>
      </c>
      <c r="D84" s="103">
        <f t="shared" si="11"/>
        <v>53804102</v>
      </c>
      <c r="E84" s="103">
        <f aca="true" t="shared" si="12" ref="E84:E95">D84-C84</f>
        <v>-916043</v>
      </c>
      <c r="F84" s="104">
        <f aca="true" t="shared" si="13" ref="F84:F95">IF(C84=0,0,E84/C84)</f>
        <v>-0.016740507540687254</v>
      </c>
    </row>
    <row r="85" spans="1:6" ht="18" customHeight="1">
      <c r="A85" s="114">
        <v>2</v>
      </c>
      <c r="B85" s="106" t="s">
        <v>271</v>
      </c>
      <c r="C85" s="103">
        <f t="shared" si="11"/>
        <v>7287539</v>
      </c>
      <c r="D85" s="103">
        <f t="shared" si="11"/>
        <v>8589513</v>
      </c>
      <c r="E85" s="103">
        <f t="shared" si="12"/>
        <v>1301974</v>
      </c>
      <c r="F85" s="104">
        <f t="shared" si="13"/>
        <v>0.1786575687622392</v>
      </c>
    </row>
    <row r="86" spans="1:6" ht="18" customHeight="1">
      <c r="A86" s="114">
        <v>3</v>
      </c>
      <c r="B86" s="106" t="s">
        <v>272</v>
      </c>
      <c r="C86" s="103">
        <f t="shared" si="11"/>
        <v>6009455</v>
      </c>
      <c r="D86" s="103">
        <f t="shared" si="11"/>
        <v>6103561</v>
      </c>
      <c r="E86" s="103">
        <f t="shared" si="12"/>
        <v>94106</v>
      </c>
      <c r="F86" s="104">
        <f t="shared" si="13"/>
        <v>0.015659656324908</v>
      </c>
    </row>
    <row r="87" spans="1:6" ht="18" customHeight="1">
      <c r="A87" s="114">
        <v>4</v>
      </c>
      <c r="B87" s="106" t="s">
        <v>273</v>
      </c>
      <c r="C87" s="103">
        <f t="shared" si="11"/>
        <v>5938212</v>
      </c>
      <c r="D87" s="103">
        <f t="shared" si="11"/>
        <v>7598798</v>
      </c>
      <c r="E87" s="103">
        <f t="shared" si="12"/>
        <v>1660586</v>
      </c>
      <c r="F87" s="104">
        <f t="shared" si="13"/>
        <v>0.2796441083612374</v>
      </c>
    </row>
    <row r="88" spans="1:6" ht="18" customHeight="1">
      <c r="A88" s="114">
        <v>5</v>
      </c>
      <c r="B88" s="106" t="s">
        <v>274</v>
      </c>
      <c r="C88" s="103">
        <f t="shared" si="11"/>
        <v>157996</v>
      </c>
      <c r="D88" s="103">
        <f t="shared" si="11"/>
        <v>176109</v>
      </c>
      <c r="E88" s="103">
        <f t="shared" si="12"/>
        <v>18113</v>
      </c>
      <c r="F88" s="104">
        <f t="shared" si="13"/>
        <v>0.11464214283905921</v>
      </c>
    </row>
    <row r="89" spans="1:6" ht="18" customHeight="1">
      <c r="A89" s="114">
        <v>6</v>
      </c>
      <c r="B89" s="106" t="s">
        <v>275</v>
      </c>
      <c r="C89" s="103">
        <f t="shared" si="11"/>
        <v>3204908</v>
      </c>
      <c r="D89" s="103">
        <f t="shared" si="11"/>
        <v>6200998</v>
      </c>
      <c r="E89" s="103">
        <f t="shared" si="12"/>
        <v>2996090</v>
      </c>
      <c r="F89" s="104">
        <f t="shared" si="13"/>
        <v>0.9348443075433055</v>
      </c>
    </row>
    <row r="90" spans="1:6" ht="18" customHeight="1">
      <c r="A90" s="114">
        <v>7</v>
      </c>
      <c r="B90" s="106" t="s">
        <v>276</v>
      </c>
      <c r="C90" s="103">
        <f t="shared" si="11"/>
        <v>77219195</v>
      </c>
      <c r="D90" s="103">
        <f t="shared" si="11"/>
        <v>78306293</v>
      </c>
      <c r="E90" s="103">
        <f t="shared" si="12"/>
        <v>1087098</v>
      </c>
      <c r="F90" s="104">
        <f t="shared" si="13"/>
        <v>0.014078079938543778</v>
      </c>
    </row>
    <row r="91" spans="1:6" ht="18" customHeight="1">
      <c r="A91" s="114">
        <v>8</v>
      </c>
      <c r="B91" s="106" t="s">
        <v>277</v>
      </c>
      <c r="C91" s="103">
        <f t="shared" si="11"/>
        <v>2870179</v>
      </c>
      <c r="D91" s="103">
        <f t="shared" si="11"/>
        <v>2965987</v>
      </c>
      <c r="E91" s="103">
        <f t="shared" si="12"/>
        <v>95808</v>
      </c>
      <c r="F91" s="104">
        <f t="shared" si="13"/>
        <v>0.03338049647774581</v>
      </c>
    </row>
    <row r="92" spans="1:6" ht="18" customHeight="1">
      <c r="A92" s="114">
        <v>9</v>
      </c>
      <c r="B92" s="106" t="s">
        <v>278</v>
      </c>
      <c r="C92" s="103">
        <f t="shared" si="11"/>
        <v>478208</v>
      </c>
      <c r="D92" s="103">
        <f t="shared" si="11"/>
        <v>495336</v>
      </c>
      <c r="E92" s="103">
        <f t="shared" si="12"/>
        <v>17128</v>
      </c>
      <c r="F92" s="104">
        <f t="shared" si="13"/>
        <v>0.03581705032119915</v>
      </c>
    </row>
    <row r="93" spans="1:6" ht="18" customHeight="1">
      <c r="A93" s="114">
        <v>10</v>
      </c>
      <c r="B93" s="106" t="s">
        <v>279</v>
      </c>
      <c r="C93" s="103">
        <f t="shared" si="11"/>
        <v>1406358</v>
      </c>
      <c r="D93" s="103">
        <f t="shared" si="11"/>
        <v>1580350</v>
      </c>
      <c r="E93" s="103">
        <f t="shared" si="12"/>
        <v>173992</v>
      </c>
      <c r="F93" s="104">
        <f t="shared" si="13"/>
        <v>0.12371814289107042</v>
      </c>
    </row>
    <row r="94" spans="1:6" ht="18" customHeight="1" thickBot="1">
      <c r="A94" s="114">
        <v>11</v>
      </c>
      <c r="B94" s="106" t="s">
        <v>280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>
      <c r="A95" s="115"/>
      <c r="B95" s="116" t="s">
        <v>292</v>
      </c>
      <c r="C95" s="112">
        <f>SUM(C84:C94)</f>
        <v>159292195</v>
      </c>
      <c r="D95" s="112">
        <f>SUM(D84:D94)</f>
        <v>165821047</v>
      </c>
      <c r="E95" s="112">
        <f t="shared" si="12"/>
        <v>6528852</v>
      </c>
      <c r="F95" s="113">
        <f t="shared" si="13"/>
        <v>0.04098664093366282</v>
      </c>
    </row>
    <row r="96" spans="1:6" ht="18" customHeight="1">
      <c r="A96" s="662" t="s">
        <v>293</v>
      </c>
      <c r="B96" s="664" t="s">
        <v>294</v>
      </c>
      <c r="C96" s="666"/>
      <c r="D96" s="667"/>
      <c r="E96" s="667"/>
      <c r="F96" s="668"/>
    </row>
    <row r="97" spans="1:6" ht="18" customHeight="1">
      <c r="A97" s="663"/>
      <c r="B97" s="665"/>
      <c r="C97" s="669"/>
      <c r="D97" s="670"/>
      <c r="E97" s="670"/>
      <c r="F97" s="671"/>
    </row>
    <row r="98" spans="1:6" ht="18" customHeight="1">
      <c r="A98" s="94"/>
      <c r="B98" s="95"/>
      <c r="C98" s="96"/>
      <c r="D98" s="96"/>
      <c r="E98" s="96"/>
      <c r="F98" s="96"/>
    </row>
    <row r="99" spans="1:6" ht="18" customHeight="1">
      <c r="A99" s="94" t="s">
        <v>268</v>
      </c>
      <c r="B99" s="95" t="s">
        <v>295</v>
      </c>
      <c r="C99" s="97"/>
      <c r="D99" s="97"/>
      <c r="E99" s="97"/>
      <c r="F99" s="98"/>
    </row>
    <row r="100" spans="1:6" ht="18" customHeight="1">
      <c r="A100" s="99">
        <v>1</v>
      </c>
      <c r="B100" s="100" t="s">
        <v>270</v>
      </c>
      <c r="C100" s="117">
        <v>4119</v>
      </c>
      <c r="D100" s="117">
        <v>4105</v>
      </c>
      <c r="E100" s="117">
        <f aca="true" t="shared" si="14" ref="E100:E111">D100-C100</f>
        <v>-14</v>
      </c>
      <c r="F100" s="98">
        <f aca="true" t="shared" si="15" ref="F100:F111">IF(C100=0,0,E100/C100)</f>
        <v>-0.0033988832240835153</v>
      </c>
    </row>
    <row r="101" spans="1:6" ht="18" customHeight="1">
      <c r="A101" s="99">
        <v>2</v>
      </c>
      <c r="B101" s="100" t="s">
        <v>271</v>
      </c>
      <c r="C101" s="117">
        <v>511</v>
      </c>
      <c r="D101" s="117">
        <v>603</v>
      </c>
      <c r="E101" s="117">
        <f t="shared" si="14"/>
        <v>92</v>
      </c>
      <c r="F101" s="98">
        <f t="shared" si="15"/>
        <v>0.18003913894324852</v>
      </c>
    </row>
    <row r="102" spans="1:6" ht="18" customHeight="1">
      <c r="A102" s="99">
        <v>3</v>
      </c>
      <c r="B102" s="100" t="s">
        <v>272</v>
      </c>
      <c r="C102" s="117">
        <v>592</v>
      </c>
      <c r="D102" s="117">
        <v>605</v>
      </c>
      <c r="E102" s="117">
        <f t="shared" si="14"/>
        <v>13</v>
      </c>
      <c r="F102" s="98">
        <f t="shared" si="15"/>
        <v>0.02195945945945946</v>
      </c>
    </row>
    <row r="103" spans="1:6" ht="18" customHeight="1">
      <c r="A103" s="99">
        <v>4</v>
      </c>
      <c r="B103" s="100" t="s">
        <v>273</v>
      </c>
      <c r="C103" s="117">
        <v>924</v>
      </c>
      <c r="D103" s="117">
        <v>937</v>
      </c>
      <c r="E103" s="117">
        <f t="shared" si="14"/>
        <v>13</v>
      </c>
      <c r="F103" s="98">
        <f t="shared" si="15"/>
        <v>0.01406926406926407</v>
      </c>
    </row>
    <row r="104" spans="1:6" ht="18" customHeight="1">
      <c r="A104" s="99">
        <v>5</v>
      </c>
      <c r="B104" s="100" t="s">
        <v>274</v>
      </c>
      <c r="C104" s="117">
        <v>5</v>
      </c>
      <c r="D104" s="117">
        <v>10</v>
      </c>
      <c r="E104" s="117">
        <f t="shared" si="14"/>
        <v>5</v>
      </c>
      <c r="F104" s="98">
        <f t="shared" si="15"/>
        <v>1</v>
      </c>
    </row>
    <row r="105" spans="1:6" ht="18" customHeight="1">
      <c r="A105" s="99">
        <v>6</v>
      </c>
      <c r="B105" s="100" t="s">
        <v>275</v>
      </c>
      <c r="C105" s="117">
        <v>88</v>
      </c>
      <c r="D105" s="117">
        <v>244</v>
      </c>
      <c r="E105" s="117">
        <f t="shared" si="14"/>
        <v>156</v>
      </c>
      <c r="F105" s="98">
        <f t="shared" si="15"/>
        <v>1.7727272727272727</v>
      </c>
    </row>
    <row r="106" spans="1:6" ht="18" customHeight="1">
      <c r="A106" s="99">
        <v>7</v>
      </c>
      <c r="B106" s="100" t="s">
        <v>276</v>
      </c>
      <c r="C106" s="117">
        <v>2952</v>
      </c>
      <c r="D106" s="117">
        <v>2816</v>
      </c>
      <c r="E106" s="117">
        <f t="shared" si="14"/>
        <v>-136</v>
      </c>
      <c r="F106" s="98">
        <f t="shared" si="15"/>
        <v>-0.04607046070460705</v>
      </c>
    </row>
    <row r="107" spans="1:6" ht="18" customHeight="1">
      <c r="A107" s="99">
        <v>8</v>
      </c>
      <c r="B107" s="100" t="s">
        <v>277</v>
      </c>
      <c r="C107" s="117">
        <v>32</v>
      </c>
      <c r="D107" s="117">
        <v>28</v>
      </c>
      <c r="E107" s="117">
        <f t="shared" si="14"/>
        <v>-4</v>
      </c>
      <c r="F107" s="98">
        <f t="shared" si="15"/>
        <v>-0.125</v>
      </c>
    </row>
    <row r="108" spans="1:6" ht="18" customHeight="1">
      <c r="A108" s="99">
        <v>9</v>
      </c>
      <c r="B108" s="100" t="s">
        <v>278</v>
      </c>
      <c r="C108" s="117">
        <v>297</v>
      </c>
      <c r="D108" s="117">
        <v>302</v>
      </c>
      <c r="E108" s="117">
        <f t="shared" si="14"/>
        <v>5</v>
      </c>
      <c r="F108" s="98">
        <f t="shared" si="15"/>
        <v>0.016835016835016835</v>
      </c>
    </row>
    <row r="109" spans="1:6" ht="18" customHeight="1">
      <c r="A109" s="99">
        <v>10</v>
      </c>
      <c r="B109" s="100" t="s">
        <v>279</v>
      </c>
      <c r="C109" s="117">
        <v>202</v>
      </c>
      <c r="D109" s="117">
        <v>305</v>
      </c>
      <c r="E109" s="117">
        <f t="shared" si="14"/>
        <v>103</v>
      </c>
      <c r="F109" s="98">
        <f t="shared" si="15"/>
        <v>0.5099009900990099</v>
      </c>
    </row>
    <row r="110" spans="1:6" ht="18" customHeight="1">
      <c r="A110" s="99">
        <v>11</v>
      </c>
      <c r="B110" s="100" t="s">
        <v>280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>
      <c r="A111" s="101"/>
      <c r="B111" s="102" t="s">
        <v>296</v>
      </c>
      <c r="C111" s="118">
        <f>SUM(C100:C110)</f>
        <v>9722</v>
      </c>
      <c r="D111" s="118">
        <f>SUM(D100:D110)</f>
        <v>9955</v>
      </c>
      <c r="E111" s="118">
        <f t="shared" si="14"/>
        <v>233</v>
      </c>
      <c r="F111" s="104">
        <f t="shared" si="15"/>
        <v>0.023966262085990536</v>
      </c>
    </row>
    <row r="112" spans="1:6" ht="18" customHeight="1">
      <c r="A112" s="94" t="s">
        <v>282</v>
      </c>
      <c r="B112" s="95" t="s">
        <v>297</v>
      </c>
      <c r="C112" s="97"/>
      <c r="D112" s="97"/>
      <c r="E112" s="97"/>
      <c r="F112" s="98"/>
    </row>
    <row r="113" spans="1:6" ht="18" customHeight="1">
      <c r="A113" s="99">
        <v>1</v>
      </c>
      <c r="B113" s="100" t="s">
        <v>270</v>
      </c>
      <c r="C113" s="117">
        <v>23346</v>
      </c>
      <c r="D113" s="117">
        <v>21601</v>
      </c>
      <c r="E113" s="117">
        <f aca="true" t="shared" si="16" ref="E113:E124">D113-C113</f>
        <v>-1745</v>
      </c>
      <c r="F113" s="98">
        <f aca="true" t="shared" si="17" ref="F113:F124">IF(C113=0,0,E113/C113)</f>
        <v>-0.07474513835346526</v>
      </c>
    </row>
    <row r="114" spans="1:6" ht="18" customHeight="1">
      <c r="A114" s="99">
        <v>2</v>
      </c>
      <c r="B114" s="100" t="s">
        <v>271</v>
      </c>
      <c r="C114" s="117">
        <v>2744</v>
      </c>
      <c r="D114" s="117">
        <v>2856</v>
      </c>
      <c r="E114" s="117">
        <f t="shared" si="16"/>
        <v>112</v>
      </c>
      <c r="F114" s="98">
        <f t="shared" si="17"/>
        <v>0.04081632653061224</v>
      </c>
    </row>
    <row r="115" spans="1:6" ht="18" customHeight="1">
      <c r="A115" s="99">
        <v>3</v>
      </c>
      <c r="B115" s="100" t="s">
        <v>272</v>
      </c>
      <c r="C115" s="117">
        <v>3180</v>
      </c>
      <c r="D115" s="117">
        <v>2661</v>
      </c>
      <c r="E115" s="117">
        <f t="shared" si="16"/>
        <v>-519</v>
      </c>
      <c r="F115" s="98">
        <f t="shared" si="17"/>
        <v>-0.1632075471698113</v>
      </c>
    </row>
    <row r="116" spans="1:6" ht="18" customHeight="1">
      <c r="A116" s="99">
        <v>4</v>
      </c>
      <c r="B116" s="100" t="s">
        <v>273</v>
      </c>
      <c r="C116" s="117">
        <v>2482</v>
      </c>
      <c r="D116" s="117">
        <v>2499</v>
      </c>
      <c r="E116" s="117">
        <f t="shared" si="16"/>
        <v>17</v>
      </c>
      <c r="F116" s="98">
        <f t="shared" si="17"/>
        <v>0.00684931506849315</v>
      </c>
    </row>
    <row r="117" spans="1:6" ht="18" customHeight="1">
      <c r="A117" s="99">
        <v>5</v>
      </c>
      <c r="B117" s="100" t="s">
        <v>274</v>
      </c>
      <c r="C117" s="117">
        <v>22</v>
      </c>
      <c r="D117" s="117">
        <v>57</v>
      </c>
      <c r="E117" s="117">
        <f t="shared" si="16"/>
        <v>35</v>
      </c>
      <c r="F117" s="98">
        <f t="shared" si="17"/>
        <v>1.5909090909090908</v>
      </c>
    </row>
    <row r="118" spans="1:6" ht="18" customHeight="1">
      <c r="A118" s="99">
        <v>6</v>
      </c>
      <c r="B118" s="100" t="s">
        <v>275</v>
      </c>
      <c r="C118" s="117">
        <v>283</v>
      </c>
      <c r="D118" s="117">
        <v>824</v>
      </c>
      <c r="E118" s="117">
        <f t="shared" si="16"/>
        <v>541</v>
      </c>
      <c r="F118" s="98">
        <f t="shared" si="17"/>
        <v>1.911660777385159</v>
      </c>
    </row>
    <row r="119" spans="1:6" ht="18" customHeight="1">
      <c r="A119" s="99">
        <v>7</v>
      </c>
      <c r="B119" s="100" t="s">
        <v>276</v>
      </c>
      <c r="C119" s="117">
        <v>10653</v>
      </c>
      <c r="D119" s="117">
        <v>9804</v>
      </c>
      <c r="E119" s="117">
        <f t="shared" si="16"/>
        <v>-849</v>
      </c>
      <c r="F119" s="98">
        <f t="shared" si="17"/>
        <v>-0.07969586032103633</v>
      </c>
    </row>
    <row r="120" spans="1:6" ht="18" customHeight="1">
      <c r="A120" s="99">
        <v>8</v>
      </c>
      <c r="B120" s="100" t="s">
        <v>277</v>
      </c>
      <c r="C120" s="117">
        <v>82</v>
      </c>
      <c r="D120" s="117">
        <v>62</v>
      </c>
      <c r="E120" s="117">
        <f t="shared" si="16"/>
        <v>-20</v>
      </c>
      <c r="F120" s="98">
        <f t="shared" si="17"/>
        <v>-0.24390243902439024</v>
      </c>
    </row>
    <row r="121" spans="1:6" ht="18" customHeight="1">
      <c r="A121" s="99">
        <v>9</v>
      </c>
      <c r="B121" s="100" t="s">
        <v>278</v>
      </c>
      <c r="C121" s="117">
        <v>1367</v>
      </c>
      <c r="D121" s="117">
        <v>1077</v>
      </c>
      <c r="E121" s="117">
        <f t="shared" si="16"/>
        <v>-290</v>
      </c>
      <c r="F121" s="98">
        <f t="shared" si="17"/>
        <v>-0.2121433796634967</v>
      </c>
    </row>
    <row r="122" spans="1:6" ht="18" customHeight="1">
      <c r="A122" s="99">
        <v>10</v>
      </c>
      <c r="B122" s="100" t="s">
        <v>279</v>
      </c>
      <c r="C122" s="117">
        <v>1204</v>
      </c>
      <c r="D122" s="117">
        <v>1432</v>
      </c>
      <c r="E122" s="117">
        <f t="shared" si="16"/>
        <v>228</v>
      </c>
      <c r="F122" s="98">
        <f t="shared" si="17"/>
        <v>0.1893687707641196</v>
      </c>
    </row>
    <row r="123" spans="1:6" ht="18" customHeight="1">
      <c r="A123" s="99">
        <v>11</v>
      </c>
      <c r="B123" s="100" t="s">
        <v>280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>
      <c r="A124" s="101"/>
      <c r="B124" s="102" t="s">
        <v>298</v>
      </c>
      <c r="C124" s="118">
        <f>SUM(C113:C123)</f>
        <v>45363</v>
      </c>
      <c r="D124" s="118">
        <f>SUM(D113:D123)</f>
        <v>42873</v>
      </c>
      <c r="E124" s="118">
        <f t="shared" si="16"/>
        <v>-2490</v>
      </c>
      <c r="F124" s="104">
        <f t="shared" si="17"/>
        <v>-0.05489054956682759</v>
      </c>
    </row>
    <row r="125" spans="1:6" ht="18" customHeight="1">
      <c r="A125" s="94" t="s">
        <v>299</v>
      </c>
      <c r="B125" s="95" t="s">
        <v>300</v>
      </c>
      <c r="C125" s="97"/>
      <c r="D125" s="97"/>
      <c r="E125" s="97"/>
      <c r="F125" s="98"/>
    </row>
    <row r="126" spans="1:6" ht="18" customHeight="1">
      <c r="A126" s="99">
        <v>1</v>
      </c>
      <c r="B126" s="100" t="s">
        <v>270</v>
      </c>
      <c r="C126" s="117">
        <v>29684</v>
      </c>
      <c r="D126" s="117">
        <v>29930</v>
      </c>
      <c r="E126" s="117">
        <f aca="true" t="shared" si="18" ref="E126:E137">D126-C126</f>
        <v>246</v>
      </c>
      <c r="F126" s="98">
        <f aca="true" t="shared" si="19" ref="F126:F137">IF(C126=0,0,E126/C126)</f>
        <v>0.008287292817679558</v>
      </c>
    </row>
    <row r="127" spans="1:6" ht="18" customHeight="1">
      <c r="A127" s="99">
        <v>2</v>
      </c>
      <c r="B127" s="100" t="s">
        <v>271</v>
      </c>
      <c r="C127" s="117">
        <v>4282</v>
      </c>
      <c r="D127" s="117">
        <v>5675</v>
      </c>
      <c r="E127" s="117">
        <f t="shared" si="18"/>
        <v>1393</v>
      </c>
      <c r="F127" s="98">
        <f t="shared" si="19"/>
        <v>0.32531527323680526</v>
      </c>
    </row>
    <row r="128" spans="1:6" ht="18" customHeight="1">
      <c r="A128" s="99">
        <v>3</v>
      </c>
      <c r="B128" s="100" t="s">
        <v>272</v>
      </c>
      <c r="C128" s="117">
        <v>7311</v>
      </c>
      <c r="D128" s="117">
        <v>7341</v>
      </c>
      <c r="E128" s="117">
        <f t="shared" si="18"/>
        <v>30</v>
      </c>
      <c r="F128" s="98">
        <f t="shared" si="19"/>
        <v>0.004103405826836274</v>
      </c>
    </row>
    <row r="129" spans="1:6" ht="18" customHeight="1">
      <c r="A129" s="99">
        <v>4</v>
      </c>
      <c r="B129" s="100" t="s">
        <v>273</v>
      </c>
      <c r="C129" s="117">
        <v>18253</v>
      </c>
      <c r="D129" s="117">
        <v>21239</v>
      </c>
      <c r="E129" s="117">
        <f t="shared" si="18"/>
        <v>2986</v>
      </c>
      <c r="F129" s="98">
        <f t="shared" si="19"/>
        <v>0.16358954692379335</v>
      </c>
    </row>
    <row r="130" spans="1:6" ht="18" customHeight="1">
      <c r="A130" s="99">
        <v>5</v>
      </c>
      <c r="B130" s="100" t="s">
        <v>274</v>
      </c>
      <c r="C130" s="117">
        <v>328</v>
      </c>
      <c r="D130" s="117">
        <v>356</v>
      </c>
      <c r="E130" s="117">
        <f t="shared" si="18"/>
        <v>28</v>
      </c>
      <c r="F130" s="98">
        <f t="shared" si="19"/>
        <v>0.08536585365853659</v>
      </c>
    </row>
    <row r="131" spans="1:6" ht="18" customHeight="1">
      <c r="A131" s="99">
        <v>6</v>
      </c>
      <c r="B131" s="100" t="s">
        <v>275</v>
      </c>
      <c r="C131" s="117">
        <v>2312</v>
      </c>
      <c r="D131" s="117">
        <v>5181</v>
      </c>
      <c r="E131" s="117">
        <f t="shared" si="18"/>
        <v>2869</v>
      </c>
      <c r="F131" s="98">
        <f t="shared" si="19"/>
        <v>1.2409169550173011</v>
      </c>
    </row>
    <row r="132" spans="1:6" ht="18" customHeight="1">
      <c r="A132" s="99">
        <v>7</v>
      </c>
      <c r="B132" s="100" t="s">
        <v>276</v>
      </c>
      <c r="C132" s="117">
        <v>65682</v>
      </c>
      <c r="D132" s="117">
        <v>62235</v>
      </c>
      <c r="E132" s="117">
        <f t="shared" si="18"/>
        <v>-3447</v>
      </c>
      <c r="F132" s="98">
        <f t="shared" si="19"/>
        <v>-0.05248013154288846</v>
      </c>
    </row>
    <row r="133" spans="1:6" ht="18" customHeight="1">
      <c r="A133" s="99">
        <v>8</v>
      </c>
      <c r="B133" s="100" t="s">
        <v>277</v>
      </c>
      <c r="C133" s="117">
        <v>2196</v>
      </c>
      <c r="D133" s="117">
        <v>2377</v>
      </c>
      <c r="E133" s="117">
        <f t="shared" si="18"/>
        <v>181</v>
      </c>
      <c r="F133" s="98">
        <f t="shared" si="19"/>
        <v>0.08242258652094718</v>
      </c>
    </row>
    <row r="134" spans="1:6" ht="18" customHeight="1">
      <c r="A134" s="99">
        <v>9</v>
      </c>
      <c r="B134" s="100" t="s">
        <v>278</v>
      </c>
      <c r="C134" s="117">
        <v>9691</v>
      </c>
      <c r="D134" s="117">
        <v>9564</v>
      </c>
      <c r="E134" s="117">
        <f t="shared" si="18"/>
        <v>-127</v>
      </c>
      <c r="F134" s="98">
        <f t="shared" si="19"/>
        <v>-0.013104942730368383</v>
      </c>
    </row>
    <row r="135" spans="1:6" ht="18" customHeight="1">
      <c r="A135" s="99">
        <v>10</v>
      </c>
      <c r="B135" s="100" t="s">
        <v>279</v>
      </c>
      <c r="C135" s="117">
        <v>4444</v>
      </c>
      <c r="D135" s="117">
        <v>5765</v>
      </c>
      <c r="E135" s="117">
        <f t="shared" si="18"/>
        <v>1321</v>
      </c>
      <c r="F135" s="98">
        <f t="shared" si="19"/>
        <v>0.2972547254725473</v>
      </c>
    </row>
    <row r="136" spans="1:6" ht="18" customHeight="1">
      <c r="A136" s="99">
        <v>11</v>
      </c>
      <c r="B136" s="100" t="s">
        <v>280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>
      <c r="A137" s="101"/>
      <c r="B137" s="102" t="s">
        <v>301</v>
      </c>
      <c r="C137" s="118">
        <f>SUM(C126:C136)</f>
        <v>144183</v>
      </c>
      <c r="D137" s="118">
        <f>SUM(D126:D136)</f>
        <v>149663</v>
      </c>
      <c r="E137" s="118">
        <f t="shared" si="18"/>
        <v>5480</v>
      </c>
      <c r="F137" s="104">
        <f t="shared" si="19"/>
        <v>0.038007254669413175</v>
      </c>
    </row>
    <row r="138" spans="1:6" ht="18" customHeight="1">
      <c r="A138" s="662" t="s">
        <v>302</v>
      </c>
      <c r="B138" s="664" t="s">
        <v>303</v>
      </c>
      <c r="C138" s="666"/>
      <c r="D138" s="667"/>
      <c r="E138" s="667"/>
      <c r="F138" s="668"/>
    </row>
    <row r="139" spans="1:6" ht="18" customHeight="1">
      <c r="A139" s="663"/>
      <c r="B139" s="665"/>
      <c r="C139" s="669"/>
      <c r="D139" s="670"/>
      <c r="E139" s="670"/>
      <c r="F139" s="671"/>
    </row>
    <row r="140" spans="1:6" ht="18" customHeight="1">
      <c r="A140" s="94"/>
      <c r="B140" s="95"/>
      <c r="C140" s="96"/>
      <c r="D140" s="96"/>
      <c r="E140" s="96"/>
      <c r="F140" s="96"/>
    </row>
    <row r="141" spans="1:6" ht="18" customHeight="1">
      <c r="A141" s="94" t="s">
        <v>268</v>
      </c>
      <c r="B141" s="95" t="s">
        <v>304</v>
      </c>
      <c r="C141" s="97"/>
      <c r="D141" s="97"/>
      <c r="E141" s="97"/>
      <c r="F141" s="98"/>
    </row>
    <row r="142" spans="1:6" ht="18" customHeight="1">
      <c r="A142" s="99">
        <v>1</v>
      </c>
      <c r="B142" s="100" t="s">
        <v>270</v>
      </c>
      <c r="C142" s="97">
        <v>11860000</v>
      </c>
      <c r="D142" s="97">
        <v>12500000</v>
      </c>
      <c r="E142" s="97">
        <f aca="true" t="shared" si="20" ref="E142:E153">D142-C142</f>
        <v>640000</v>
      </c>
      <c r="F142" s="98">
        <f aca="true" t="shared" si="21" ref="F142:F153">IF(C142=0,0,E142/C142)</f>
        <v>0.05396290050590219</v>
      </c>
    </row>
    <row r="143" spans="1:6" ht="18" customHeight="1">
      <c r="A143" s="99">
        <v>2</v>
      </c>
      <c r="B143" s="100" t="s">
        <v>271</v>
      </c>
      <c r="C143" s="97">
        <v>1520000</v>
      </c>
      <c r="D143" s="97">
        <v>1900000</v>
      </c>
      <c r="E143" s="97">
        <f t="shared" si="20"/>
        <v>380000</v>
      </c>
      <c r="F143" s="98">
        <f t="shared" si="21"/>
        <v>0.25</v>
      </c>
    </row>
    <row r="144" spans="1:6" ht="18" customHeight="1">
      <c r="A144" s="99">
        <v>3</v>
      </c>
      <c r="B144" s="100" t="s">
        <v>272</v>
      </c>
      <c r="C144" s="97">
        <v>3840000</v>
      </c>
      <c r="D144" s="97">
        <v>4150000</v>
      </c>
      <c r="E144" s="97">
        <f t="shared" si="20"/>
        <v>310000</v>
      </c>
      <c r="F144" s="98">
        <f t="shared" si="21"/>
        <v>0.08072916666666667</v>
      </c>
    </row>
    <row r="145" spans="1:6" ht="18" customHeight="1">
      <c r="A145" s="99">
        <v>4</v>
      </c>
      <c r="B145" s="100" t="s">
        <v>273</v>
      </c>
      <c r="C145" s="97">
        <v>6710000</v>
      </c>
      <c r="D145" s="97">
        <v>8300000</v>
      </c>
      <c r="E145" s="97">
        <f t="shared" si="20"/>
        <v>1590000</v>
      </c>
      <c r="F145" s="98">
        <f t="shared" si="21"/>
        <v>0.23695976154992549</v>
      </c>
    </row>
    <row r="146" spans="1:6" ht="18" customHeight="1">
      <c r="A146" s="99">
        <v>5</v>
      </c>
      <c r="B146" s="100" t="s">
        <v>274</v>
      </c>
      <c r="C146" s="97">
        <v>150000</v>
      </c>
      <c r="D146" s="97">
        <v>165000</v>
      </c>
      <c r="E146" s="97">
        <f t="shared" si="20"/>
        <v>15000</v>
      </c>
      <c r="F146" s="98">
        <f t="shared" si="21"/>
        <v>0.1</v>
      </c>
    </row>
    <row r="147" spans="1:6" ht="18" customHeight="1">
      <c r="A147" s="99">
        <v>6</v>
      </c>
      <c r="B147" s="100" t="s">
        <v>275</v>
      </c>
      <c r="C147" s="97">
        <v>890000</v>
      </c>
      <c r="D147" s="97">
        <v>1700000</v>
      </c>
      <c r="E147" s="97">
        <f t="shared" si="20"/>
        <v>810000</v>
      </c>
      <c r="F147" s="98">
        <f t="shared" si="21"/>
        <v>0.9101123595505618</v>
      </c>
    </row>
    <row r="148" spans="1:6" ht="18" customHeight="1">
      <c r="A148" s="99">
        <v>7</v>
      </c>
      <c r="B148" s="100" t="s">
        <v>276</v>
      </c>
      <c r="C148" s="97">
        <v>20390000</v>
      </c>
      <c r="D148" s="97">
        <v>20785000</v>
      </c>
      <c r="E148" s="97">
        <f t="shared" si="20"/>
        <v>395000</v>
      </c>
      <c r="F148" s="98">
        <f t="shared" si="21"/>
        <v>0.01937224129475233</v>
      </c>
    </row>
    <row r="149" spans="1:6" ht="18" customHeight="1">
      <c r="A149" s="99">
        <v>8</v>
      </c>
      <c r="B149" s="100" t="s">
        <v>277</v>
      </c>
      <c r="C149" s="97">
        <v>760000</v>
      </c>
      <c r="D149" s="97">
        <v>700000</v>
      </c>
      <c r="E149" s="97">
        <f t="shared" si="20"/>
        <v>-60000</v>
      </c>
      <c r="F149" s="98">
        <f t="shared" si="21"/>
        <v>-0.07894736842105263</v>
      </c>
    </row>
    <row r="150" spans="1:6" ht="18" customHeight="1">
      <c r="A150" s="99">
        <v>9</v>
      </c>
      <c r="B150" s="100" t="s">
        <v>278</v>
      </c>
      <c r="C150" s="97">
        <v>5600000</v>
      </c>
      <c r="D150" s="97">
        <v>5700000</v>
      </c>
      <c r="E150" s="97">
        <f t="shared" si="20"/>
        <v>100000</v>
      </c>
      <c r="F150" s="98">
        <f t="shared" si="21"/>
        <v>0.017857142857142856</v>
      </c>
    </row>
    <row r="151" spans="1:6" ht="18" customHeight="1">
      <c r="A151" s="99">
        <v>10</v>
      </c>
      <c r="B151" s="100" t="s">
        <v>279</v>
      </c>
      <c r="C151" s="97">
        <v>2180000</v>
      </c>
      <c r="D151" s="97">
        <v>3600000</v>
      </c>
      <c r="E151" s="97">
        <f t="shared" si="20"/>
        <v>1420000</v>
      </c>
      <c r="F151" s="98">
        <f t="shared" si="21"/>
        <v>0.6513761467889908</v>
      </c>
    </row>
    <row r="152" spans="1:6" ht="18" customHeight="1">
      <c r="A152" s="99">
        <v>11</v>
      </c>
      <c r="B152" s="100" t="s">
        <v>280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>
      <c r="A153" s="101"/>
      <c r="B153" s="102" t="s">
        <v>305</v>
      </c>
      <c r="C153" s="103">
        <f>SUM(C142:C152)</f>
        <v>53900000</v>
      </c>
      <c r="D153" s="103">
        <f>SUM(D142:D152)</f>
        <v>59500000</v>
      </c>
      <c r="E153" s="103">
        <f t="shared" si="20"/>
        <v>5600000</v>
      </c>
      <c r="F153" s="104">
        <f t="shared" si="21"/>
        <v>0.1038961038961039</v>
      </c>
    </row>
    <row r="154" spans="1:6" ht="18" customHeight="1">
      <c r="A154" s="94" t="s">
        <v>282</v>
      </c>
      <c r="B154" s="95" t="s">
        <v>306</v>
      </c>
      <c r="C154" s="97"/>
      <c r="D154" s="97"/>
      <c r="E154" s="97"/>
      <c r="F154" s="98"/>
    </row>
    <row r="155" spans="1:6" ht="18" customHeight="1">
      <c r="A155" s="99">
        <v>1</v>
      </c>
      <c r="B155" s="100" t="s">
        <v>270</v>
      </c>
      <c r="C155" s="97">
        <v>3100000</v>
      </c>
      <c r="D155" s="97">
        <v>3050000</v>
      </c>
      <c r="E155" s="97">
        <f aca="true" t="shared" si="22" ref="E155:E166">D155-C155</f>
        <v>-50000</v>
      </c>
      <c r="F155" s="98">
        <f aca="true" t="shared" si="23" ref="F155:F166">IF(C155=0,0,E155/C155)</f>
        <v>-0.016129032258064516</v>
      </c>
    </row>
    <row r="156" spans="1:6" ht="18" customHeight="1">
      <c r="A156" s="99">
        <v>2</v>
      </c>
      <c r="B156" s="100" t="s">
        <v>271</v>
      </c>
      <c r="C156" s="97">
        <v>400000</v>
      </c>
      <c r="D156" s="97">
        <v>560000</v>
      </c>
      <c r="E156" s="97">
        <f t="shared" si="22"/>
        <v>160000</v>
      </c>
      <c r="F156" s="98">
        <f t="shared" si="23"/>
        <v>0.4</v>
      </c>
    </row>
    <row r="157" spans="1:6" ht="18" customHeight="1">
      <c r="A157" s="99">
        <v>3</v>
      </c>
      <c r="B157" s="100" t="s">
        <v>272</v>
      </c>
      <c r="C157" s="97">
        <v>1100000</v>
      </c>
      <c r="D157" s="97">
        <v>1050000</v>
      </c>
      <c r="E157" s="97">
        <f t="shared" si="22"/>
        <v>-50000</v>
      </c>
      <c r="F157" s="98">
        <f t="shared" si="23"/>
        <v>-0.045454545454545456</v>
      </c>
    </row>
    <row r="158" spans="1:6" ht="18" customHeight="1">
      <c r="A158" s="99">
        <v>4</v>
      </c>
      <c r="B158" s="100" t="s">
        <v>273</v>
      </c>
      <c r="C158" s="97">
        <v>2010000</v>
      </c>
      <c r="D158" s="97">
        <v>2700000</v>
      </c>
      <c r="E158" s="97">
        <f t="shared" si="22"/>
        <v>690000</v>
      </c>
      <c r="F158" s="98">
        <f t="shared" si="23"/>
        <v>0.34328358208955223</v>
      </c>
    </row>
    <row r="159" spans="1:6" ht="18" customHeight="1">
      <c r="A159" s="99">
        <v>5</v>
      </c>
      <c r="B159" s="100" t="s">
        <v>274</v>
      </c>
      <c r="C159" s="97">
        <v>60000</v>
      </c>
      <c r="D159" s="97">
        <v>65000</v>
      </c>
      <c r="E159" s="97">
        <f t="shared" si="22"/>
        <v>5000</v>
      </c>
      <c r="F159" s="98">
        <f t="shared" si="23"/>
        <v>0.08333333333333333</v>
      </c>
    </row>
    <row r="160" spans="1:6" ht="18" customHeight="1">
      <c r="A160" s="99">
        <v>6</v>
      </c>
      <c r="B160" s="100" t="s">
        <v>275</v>
      </c>
      <c r="C160" s="97">
        <v>700000</v>
      </c>
      <c r="D160" s="97">
        <v>1071000</v>
      </c>
      <c r="E160" s="97">
        <f t="shared" si="22"/>
        <v>371000</v>
      </c>
      <c r="F160" s="98">
        <f t="shared" si="23"/>
        <v>0.53</v>
      </c>
    </row>
    <row r="161" spans="1:6" ht="18" customHeight="1">
      <c r="A161" s="99">
        <v>7</v>
      </c>
      <c r="B161" s="100" t="s">
        <v>276</v>
      </c>
      <c r="C161" s="97">
        <v>12970000</v>
      </c>
      <c r="D161" s="97">
        <v>12665000</v>
      </c>
      <c r="E161" s="97">
        <f t="shared" si="22"/>
        <v>-305000</v>
      </c>
      <c r="F161" s="98">
        <f t="shared" si="23"/>
        <v>-0.023515805705474173</v>
      </c>
    </row>
    <row r="162" spans="1:6" ht="18" customHeight="1">
      <c r="A162" s="99">
        <v>8</v>
      </c>
      <c r="B162" s="100" t="s">
        <v>277</v>
      </c>
      <c r="C162" s="97">
        <v>720000</v>
      </c>
      <c r="D162" s="97">
        <v>673000</v>
      </c>
      <c r="E162" s="97">
        <f t="shared" si="22"/>
        <v>-47000</v>
      </c>
      <c r="F162" s="98">
        <f t="shared" si="23"/>
        <v>-0.06527777777777778</v>
      </c>
    </row>
    <row r="163" spans="1:6" ht="18" customHeight="1">
      <c r="A163" s="99">
        <v>9</v>
      </c>
      <c r="B163" s="100" t="s">
        <v>278</v>
      </c>
      <c r="C163" s="97">
        <v>220000</v>
      </c>
      <c r="D163" s="97">
        <v>260000</v>
      </c>
      <c r="E163" s="97">
        <f t="shared" si="22"/>
        <v>40000</v>
      </c>
      <c r="F163" s="98">
        <f t="shared" si="23"/>
        <v>0.18181818181818182</v>
      </c>
    </row>
    <row r="164" spans="1:6" ht="18" customHeight="1">
      <c r="A164" s="99">
        <v>10</v>
      </c>
      <c r="B164" s="100" t="s">
        <v>279</v>
      </c>
      <c r="C164" s="97">
        <v>375000</v>
      </c>
      <c r="D164" s="97">
        <v>406000</v>
      </c>
      <c r="E164" s="97">
        <f t="shared" si="22"/>
        <v>31000</v>
      </c>
      <c r="F164" s="98">
        <f t="shared" si="23"/>
        <v>0.08266666666666667</v>
      </c>
    </row>
    <row r="165" spans="1:6" ht="18" customHeight="1">
      <c r="A165" s="99">
        <v>11</v>
      </c>
      <c r="B165" s="100" t="s">
        <v>280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>
      <c r="A166" s="101"/>
      <c r="B166" s="102" t="s">
        <v>307</v>
      </c>
      <c r="C166" s="103">
        <f>SUM(C155:C165)</f>
        <v>21655000</v>
      </c>
      <c r="D166" s="103">
        <f>SUM(D155:D165)</f>
        <v>22500000</v>
      </c>
      <c r="E166" s="103">
        <f t="shared" si="22"/>
        <v>845000</v>
      </c>
      <c r="F166" s="104">
        <f t="shared" si="23"/>
        <v>0.03902101131378435</v>
      </c>
    </row>
    <row r="167" spans="1:6" ht="18" customHeight="1">
      <c r="A167" s="94" t="s">
        <v>299</v>
      </c>
      <c r="B167" s="95" t="s">
        <v>308</v>
      </c>
      <c r="C167" s="97"/>
      <c r="D167" s="97"/>
      <c r="E167" s="97"/>
      <c r="F167" s="98"/>
    </row>
    <row r="168" spans="1:6" ht="18" customHeight="1">
      <c r="A168" s="99">
        <v>1</v>
      </c>
      <c r="B168" s="100" t="s">
        <v>270</v>
      </c>
      <c r="C168" s="117">
        <v>8028</v>
      </c>
      <c r="D168" s="117">
        <v>7736</v>
      </c>
      <c r="E168" s="117">
        <f aca="true" t="shared" si="24" ref="E168:E179">D168-C168</f>
        <v>-292</v>
      </c>
      <c r="F168" s="98">
        <f aca="true" t="shared" si="25" ref="F168:F179">IF(C168=0,0,E168/C168)</f>
        <v>-0.036372695565520675</v>
      </c>
    </row>
    <row r="169" spans="1:6" ht="18" customHeight="1">
      <c r="A169" s="99">
        <v>2</v>
      </c>
      <c r="B169" s="100" t="s">
        <v>271</v>
      </c>
      <c r="C169" s="117">
        <v>727</v>
      </c>
      <c r="D169" s="117">
        <v>998</v>
      </c>
      <c r="E169" s="117">
        <f t="shared" si="24"/>
        <v>271</v>
      </c>
      <c r="F169" s="98">
        <f t="shared" si="25"/>
        <v>0.37276478679504815</v>
      </c>
    </row>
    <row r="170" spans="1:6" ht="18" customHeight="1">
      <c r="A170" s="99">
        <v>3</v>
      </c>
      <c r="B170" s="100" t="s">
        <v>272</v>
      </c>
      <c r="C170" s="117">
        <v>4356</v>
      </c>
      <c r="D170" s="117">
        <v>3981</v>
      </c>
      <c r="E170" s="117">
        <f t="shared" si="24"/>
        <v>-375</v>
      </c>
      <c r="F170" s="98">
        <f t="shared" si="25"/>
        <v>-0.08608815426997245</v>
      </c>
    </row>
    <row r="171" spans="1:6" ht="18" customHeight="1">
      <c r="A171" s="99">
        <v>4</v>
      </c>
      <c r="B171" s="100" t="s">
        <v>273</v>
      </c>
      <c r="C171" s="117">
        <v>12988</v>
      </c>
      <c r="D171" s="117">
        <v>13979</v>
      </c>
      <c r="E171" s="117">
        <f t="shared" si="24"/>
        <v>991</v>
      </c>
      <c r="F171" s="98">
        <f t="shared" si="25"/>
        <v>0.07630120110871574</v>
      </c>
    </row>
    <row r="172" spans="1:6" ht="18" customHeight="1">
      <c r="A172" s="99">
        <v>5</v>
      </c>
      <c r="B172" s="100" t="s">
        <v>274</v>
      </c>
      <c r="C172" s="117">
        <v>207</v>
      </c>
      <c r="D172" s="117">
        <v>216</v>
      </c>
      <c r="E172" s="117">
        <f t="shared" si="24"/>
        <v>9</v>
      </c>
      <c r="F172" s="98">
        <f t="shared" si="25"/>
        <v>0.043478260869565216</v>
      </c>
    </row>
    <row r="173" spans="1:6" ht="18" customHeight="1">
      <c r="A173" s="99">
        <v>6</v>
      </c>
      <c r="B173" s="100" t="s">
        <v>275</v>
      </c>
      <c r="C173" s="117">
        <v>1095</v>
      </c>
      <c r="D173" s="117">
        <v>1973</v>
      </c>
      <c r="E173" s="117">
        <f t="shared" si="24"/>
        <v>878</v>
      </c>
      <c r="F173" s="98">
        <f t="shared" si="25"/>
        <v>0.8018264840182648</v>
      </c>
    </row>
    <row r="174" spans="1:6" ht="18" customHeight="1">
      <c r="A174" s="99">
        <v>7</v>
      </c>
      <c r="B174" s="100" t="s">
        <v>276</v>
      </c>
      <c r="C174" s="117">
        <v>22492</v>
      </c>
      <c r="D174" s="117">
        <v>19922</v>
      </c>
      <c r="E174" s="117">
        <f t="shared" si="24"/>
        <v>-2570</v>
      </c>
      <c r="F174" s="98">
        <f t="shared" si="25"/>
        <v>-0.11426284901298239</v>
      </c>
    </row>
    <row r="175" spans="1:6" ht="18" customHeight="1">
      <c r="A175" s="99">
        <v>8</v>
      </c>
      <c r="B175" s="100" t="s">
        <v>277</v>
      </c>
      <c r="C175" s="117">
        <v>1168</v>
      </c>
      <c r="D175" s="117">
        <v>969</v>
      </c>
      <c r="E175" s="117">
        <f t="shared" si="24"/>
        <v>-199</v>
      </c>
      <c r="F175" s="98">
        <f t="shared" si="25"/>
        <v>-0.1703767123287671</v>
      </c>
    </row>
    <row r="176" spans="1:6" ht="18" customHeight="1">
      <c r="A176" s="99">
        <v>9</v>
      </c>
      <c r="B176" s="100" t="s">
        <v>278</v>
      </c>
      <c r="C176" s="117">
        <v>7735</v>
      </c>
      <c r="D176" s="117">
        <v>7025</v>
      </c>
      <c r="E176" s="117">
        <f t="shared" si="24"/>
        <v>-710</v>
      </c>
      <c r="F176" s="98">
        <f t="shared" si="25"/>
        <v>-0.09179056237879767</v>
      </c>
    </row>
    <row r="177" spans="1:6" ht="18" customHeight="1">
      <c r="A177" s="99">
        <v>10</v>
      </c>
      <c r="B177" s="100" t="s">
        <v>279</v>
      </c>
      <c r="C177" s="117">
        <v>3106</v>
      </c>
      <c r="D177" s="117">
        <v>3681</v>
      </c>
      <c r="E177" s="117">
        <f t="shared" si="24"/>
        <v>575</v>
      </c>
      <c r="F177" s="98">
        <f t="shared" si="25"/>
        <v>0.1851255634256278</v>
      </c>
    </row>
    <row r="178" spans="1:6" ht="18" customHeight="1">
      <c r="A178" s="99">
        <v>11</v>
      </c>
      <c r="B178" s="100" t="s">
        <v>280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>
      <c r="A179" s="101"/>
      <c r="B179" s="102" t="s">
        <v>309</v>
      </c>
      <c r="C179" s="118">
        <f>SUM(C168:C178)</f>
        <v>61902</v>
      </c>
      <c r="D179" s="118">
        <f>SUM(D168:D178)</f>
        <v>60480</v>
      </c>
      <c r="E179" s="118">
        <f t="shared" si="24"/>
        <v>-1422</v>
      </c>
      <c r="F179" s="104">
        <f t="shared" si="25"/>
        <v>-0.022971794126199478</v>
      </c>
    </row>
  </sheetData>
  <sheetProtection/>
  <mergeCells count="23">
    <mergeCell ref="C9:F9"/>
    <mergeCell ref="A10:A11"/>
    <mergeCell ref="B10:B11"/>
    <mergeCell ref="C10:F11"/>
    <mergeCell ref="A2:F2"/>
    <mergeCell ref="A3:F3"/>
    <mergeCell ref="A4:F4"/>
    <mergeCell ref="A5:F5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fitToHeight="4" fitToWidth="1" horizontalDpi="1200" verticalDpi="1200" orientation="portrait" paperSize="9" scale="64" r:id="rId1"/>
  <headerFooter alignWithMargins="0">
    <oddHeader>&amp;LOFFICE OF HEALTH CARE ACCESS&amp;CTWELVE MONTHS ACTUAL FILING&amp;RMIDSTATE MEDICAL CENTER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9"/>
  <sheetViews>
    <sheetView zoomScale="75" zoomScaleNormal="75" zoomScalePageLayoutView="0" workbookViewId="0" topLeftCell="A1">
      <selection activeCell="F18" sqref="F18"/>
    </sheetView>
  </sheetViews>
  <sheetFormatPr defaultColWidth="9.140625" defaultRowHeight="15" customHeight="1"/>
  <cols>
    <col min="1" max="1" width="8.8515625" style="119" bestFit="1" customWidth="1"/>
    <col min="2" max="2" width="54.8515625" style="119" customWidth="1"/>
    <col min="3" max="3" width="18.28125" style="120" customWidth="1"/>
    <col min="4" max="4" width="18.140625" style="119" customWidth="1"/>
    <col min="5" max="5" width="19.00390625" style="119" bestFit="1" customWidth="1"/>
    <col min="6" max="6" width="17.421875" style="119" customWidth="1"/>
    <col min="7" max="7" width="101.7109375" style="119" customWidth="1"/>
    <col min="8" max="16384" width="9.140625" style="119" customWidth="1"/>
  </cols>
  <sheetData>
    <row r="1" spans="1:7" ht="18" customHeight="1">
      <c r="A1" s="121"/>
      <c r="B1" s="121"/>
      <c r="C1" s="122"/>
      <c r="E1" s="123"/>
      <c r="F1" s="123"/>
      <c r="G1" s="124"/>
    </row>
    <row r="2" spans="1:7" ht="15.75" customHeight="1">
      <c r="A2" s="121"/>
      <c r="C2" s="123" t="s">
        <v>158</v>
      </c>
      <c r="E2" s="123"/>
      <c r="F2" s="123"/>
      <c r="G2" s="124"/>
    </row>
    <row r="3" spans="1:7" ht="15.75" customHeight="1">
      <c r="A3" s="121"/>
      <c r="C3" s="123" t="s">
        <v>159</v>
      </c>
      <c r="E3" s="123"/>
      <c r="F3" s="123"/>
      <c r="G3" s="124"/>
    </row>
    <row r="4" spans="1:7" ht="15.75" customHeight="1">
      <c r="A4" s="121"/>
      <c r="C4" s="123" t="s">
        <v>160</v>
      </c>
      <c r="E4" s="123"/>
      <c r="F4" s="123"/>
      <c r="G4" s="124"/>
    </row>
    <row r="5" spans="1:7" ht="15.75" customHeight="1">
      <c r="A5" s="121"/>
      <c r="C5" s="123" t="s">
        <v>310</v>
      </c>
      <c r="E5" s="121"/>
      <c r="F5" s="121"/>
      <c r="G5" s="124"/>
    </row>
    <row r="6" spans="1:7" ht="15.75" customHeight="1">
      <c r="A6" s="121"/>
      <c r="C6" s="123"/>
      <c r="E6" s="121"/>
      <c r="F6" s="121"/>
      <c r="G6" s="124"/>
    </row>
    <row r="7" spans="1:7" ht="15" customHeight="1">
      <c r="A7" s="125"/>
      <c r="C7" s="119"/>
      <c r="G7" s="124"/>
    </row>
    <row r="8" spans="1:7" ht="15.75" customHeight="1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>
      <c r="A9" s="127"/>
      <c r="B9" s="128"/>
      <c r="C9" s="127" t="s">
        <v>162</v>
      </c>
      <c r="D9" s="127" t="s">
        <v>163</v>
      </c>
      <c r="E9" s="129" t="s">
        <v>164</v>
      </c>
      <c r="F9" s="130" t="s">
        <v>311</v>
      </c>
      <c r="G9" s="124"/>
    </row>
    <row r="10" spans="1:7" ht="15.75" customHeight="1">
      <c r="A10" s="131" t="s">
        <v>312</v>
      </c>
      <c r="B10" s="132" t="s">
        <v>167</v>
      </c>
      <c r="C10" s="133" t="s">
        <v>168</v>
      </c>
      <c r="D10" s="133" t="s">
        <v>168</v>
      </c>
      <c r="E10" s="134" t="s">
        <v>169</v>
      </c>
      <c r="F10" s="133" t="s">
        <v>169</v>
      </c>
      <c r="G10" s="124"/>
    </row>
    <row r="11" spans="1:7" ht="15.75" customHeight="1">
      <c r="A11" s="135"/>
      <c r="B11" s="126"/>
      <c r="C11" s="136"/>
      <c r="D11" s="136"/>
      <c r="E11" s="137"/>
      <c r="F11" s="136"/>
      <c r="G11" s="124"/>
    </row>
    <row r="12" spans="1:7" ht="15.75" customHeight="1">
      <c r="A12" s="138" t="s">
        <v>170</v>
      </c>
      <c r="B12" s="139" t="s">
        <v>313</v>
      </c>
      <c r="C12" s="140"/>
      <c r="D12" s="140"/>
      <c r="E12" s="140"/>
      <c r="F12" s="140"/>
      <c r="G12" s="124"/>
    </row>
    <row r="13" spans="1:7" ht="15.75" customHeight="1">
      <c r="A13" s="141"/>
      <c r="B13" s="142"/>
      <c r="C13" s="143"/>
      <c r="D13" s="143"/>
      <c r="E13" s="143"/>
      <c r="F13" s="143"/>
      <c r="G13" s="124"/>
    </row>
    <row r="14" spans="1:7" ht="15.75" customHeight="1">
      <c r="A14" s="144" t="s">
        <v>268</v>
      </c>
      <c r="B14" s="145" t="s">
        <v>314</v>
      </c>
      <c r="C14" s="146"/>
      <c r="D14" s="146"/>
      <c r="E14" s="147"/>
      <c r="F14" s="148"/>
      <c r="G14" s="124"/>
    </row>
    <row r="15" spans="1:6" ht="15" customHeight="1">
      <c r="A15" s="141">
        <v>1</v>
      </c>
      <c r="B15" s="149" t="s">
        <v>315</v>
      </c>
      <c r="C15" s="146">
        <v>23131224</v>
      </c>
      <c r="D15" s="146">
        <v>24579480</v>
      </c>
      <c r="E15" s="146">
        <f>+D15-C15</f>
        <v>1448256</v>
      </c>
      <c r="F15" s="150">
        <f>IF(C15=0,0,E15/C15)</f>
        <v>0.06261043514169419</v>
      </c>
    </row>
    <row r="16" spans="1:6" ht="15" customHeight="1">
      <c r="A16" s="141">
        <v>2</v>
      </c>
      <c r="B16" s="149" t="s">
        <v>316</v>
      </c>
      <c r="C16" s="146">
        <v>7910672</v>
      </c>
      <c r="D16" s="146">
        <v>8816052</v>
      </c>
      <c r="E16" s="146">
        <f>+D16-C16</f>
        <v>905380</v>
      </c>
      <c r="F16" s="150">
        <f>IF(C16=0,0,E16/C16)</f>
        <v>0.11445045376675964</v>
      </c>
    </row>
    <row r="17" spans="1:6" ht="15" customHeight="1">
      <c r="A17" s="141">
        <v>3</v>
      </c>
      <c r="B17" s="149" t="s">
        <v>317</v>
      </c>
      <c r="C17" s="146">
        <v>29002264</v>
      </c>
      <c r="D17" s="146">
        <v>31056879</v>
      </c>
      <c r="E17" s="146">
        <f>+D17-C17</f>
        <v>2054615</v>
      </c>
      <c r="F17" s="150">
        <f>IF(C17=0,0,E17/C17)</f>
        <v>0.07084326244323547</v>
      </c>
    </row>
    <row r="18" spans="1:7" ht="15.75" customHeight="1">
      <c r="A18" s="141"/>
      <c r="B18" s="151" t="s">
        <v>318</v>
      </c>
      <c r="C18" s="147">
        <f>SUM(C15:C17)</f>
        <v>60044160</v>
      </c>
      <c r="D18" s="147">
        <f>SUM(D15:D17)</f>
        <v>64452411</v>
      </c>
      <c r="E18" s="147">
        <f>+D18-C18</f>
        <v>4408251</v>
      </c>
      <c r="F18" s="148">
        <f>IF(C18=0,0,E18/C18)</f>
        <v>0.07341681522399514</v>
      </c>
      <c r="G18" s="124"/>
    </row>
    <row r="19" spans="1:7" ht="15.75" customHeight="1">
      <c r="A19" s="141"/>
      <c r="B19" s="152"/>
      <c r="C19" s="146"/>
      <c r="D19" s="146"/>
      <c r="E19" s="147"/>
      <c r="F19" s="148"/>
      <c r="G19" s="124"/>
    </row>
    <row r="20" spans="1:7" ht="15.75" customHeight="1">
      <c r="A20" s="144" t="s">
        <v>282</v>
      </c>
      <c r="B20" s="145" t="s">
        <v>319</v>
      </c>
      <c r="C20" s="146"/>
      <c r="D20" s="146"/>
      <c r="E20" s="147"/>
      <c r="F20" s="148"/>
      <c r="G20" s="124"/>
    </row>
    <row r="21" spans="1:6" ht="15" customHeight="1">
      <c r="A21" s="141">
        <v>1</v>
      </c>
      <c r="B21" s="149" t="s">
        <v>320</v>
      </c>
      <c r="C21" s="146">
        <v>6593854</v>
      </c>
      <c r="D21" s="146">
        <v>6537518</v>
      </c>
      <c r="E21" s="146">
        <f>+D21-C21</f>
        <v>-56336</v>
      </c>
      <c r="F21" s="150">
        <f>IF(C21=0,0,E21/C21)</f>
        <v>-0.008543713585408473</v>
      </c>
    </row>
    <row r="22" spans="1:6" ht="15" customHeight="1">
      <c r="A22" s="141">
        <v>2</v>
      </c>
      <c r="B22" s="149" t="s">
        <v>321</v>
      </c>
      <c r="C22" s="146">
        <v>2256152</v>
      </c>
      <c r="D22" s="146">
        <v>2399979</v>
      </c>
      <c r="E22" s="146">
        <f>+D22-C22</f>
        <v>143827</v>
      </c>
      <c r="F22" s="150">
        <f>IF(C22=0,0,E22/C22)</f>
        <v>0.06374880770444545</v>
      </c>
    </row>
    <row r="23" spans="1:6" ht="15" customHeight="1">
      <c r="A23" s="141">
        <v>3</v>
      </c>
      <c r="B23" s="149" t="s">
        <v>322</v>
      </c>
      <c r="C23" s="146">
        <v>8267994</v>
      </c>
      <c r="D23" s="146">
        <v>8205208</v>
      </c>
      <c r="E23" s="146">
        <f>+D23-C23</f>
        <v>-62786</v>
      </c>
      <c r="F23" s="150">
        <f>IF(C23=0,0,E23/C23)</f>
        <v>-0.007593861340489604</v>
      </c>
    </row>
    <row r="24" spans="1:7" ht="15.75" customHeight="1">
      <c r="A24" s="141"/>
      <c r="B24" s="151" t="s">
        <v>323</v>
      </c>
      <c r="C24" s="147">
        <f>SUM(C21:C23)</f>
        <v>17118000</v>
      </c>
      <c r="D24" s="147">
        <f>SUM(D21:D23)</f>
        <v>17142705</v>
      </c>
      <c r="E24" s="147">
        <f>+D24-C24</f>
        <v>24705</v>
      </c>
      <c r="F24" s="148">
        <f>IF(C24=0,0,E24/C24)</f>
        <v>0.0014432176656151419</v>
      </c>
      <c r="G24" s="124"/>
    </row>
    <row r="25" spans="1:7" ht="15.75" customHeight="1">
      <c r="A25" s="141"/>
      <c r="B25" s="152"/>
      <c r="C25" s="146"/>
      <c r="D25" s="146"/>
      <c r="E25" s="147"/>
      <c r="F25" s="148"/>
      <c r="G25" s="124"/>
    </row>
    <row r="26" spans="1:7" ht="15.75" customHeight="1">
      <c r="A26" s="144" t="s">
        <v>299</v>
      </c>
      <c r="B26" s="145" t="s">
        <v>324</v>
      </c>
      <c r="C26" s="146"/>
      <c r="D26" s="146"/>
      <c r="E26" s="147"/>
      <c r="F26" s="148"/>
      <c r="G26" s="124"/>
    </row>
    <row r="27" spans="1:6" ht="15" customHeight="1">
      <c r="A27" s="141">
        <v>1</v>
      </c>
      <c r="B27" s="149" t="s">
        <v>325</v>
      </c>
      <c r="C27" s="146">
        <v>1616842</v>
      </c>
      <c r="D27" s="146">
        <v>942232</v>
      </c>
      <c r="E27" s="146">
        <f>+D27-C27</f>
        <v>-674610</v>
      </c>
      <c r="F27" s="150">
        <f>IF(C27=0,0,E27/C27)</f>
        <v>-0.41723928497651597</v>
      </c>
    </row>
    <row r="28" spans="1:6" ht="15" customHeight="1">
      <c r="A28" s="141">
        <v>2</v>
      </c>
      <c r="B28" s="149" t="s">
        <v>326</v>
      </c>
      <c r="C28" s="146">
        <v>1300029</v>
      </c>
      <c r="D28" s="146">
        <v>1394538</v>
      </c>
      <c r="E28" s="146">
        <f>+D28-C28</f>
        <v>94509</v>
      </c>
      <c r="F28" s="150">
        <f>IF(C28=0,0,E28/C28)</f>
        <v>0.0726976090533365</v>
      </c>
    </row>
    <row r="29" spans="1:6" ht="15" customHeight="1">
      <c r="A29" s="141">
        <v>3</v>
      </c>
      <c r="B29" s="149" t="s">
        <v>327</v>
      </c>
      <c r="C29" s="146">
        <v>15998757</v>
      </c>
      <c r="D29" s="146">
        <v>16741709</v>
      </c>
      <c r="E29" s="146">
        <f>+D29-C29</f>
        <v>742952</v>
      </c>
      <c r="F29" s="150">
        <f>IF(C29=0,0,E29/C29)</f>
        <v>0.04643810766048887</v>
      </c>
    </row>
    <row r="30" spans="1:7" ht="15.75" customHeight="1">
      <c r="A30" s="141"/>
      <c r="B30" s="151" t="s">
        <v>328</v>
      </c>
      <c r="C30" s="147">
        <f>SUM(C27:C29)</f>
        <v>18915628</v>
      </c>
      <c r="D30" s="147">
        <f>SUM(D27:D29)</f>
        <v>19078479</v>
      </c>
      <c r="E30" s="147">
        <f>+D30-C30</f>
        <v>162851</v>
      </c>
      <c r="F30" s="148">
        <f>IF(C30=0,0,E30/C30)</f>
        <v>0.00860933615315336</v>
      </c>
      <c r="G30" s="124"/>
    </row>
    <row r="31" spans="1:7" ht="15.75" customHeight="1">
      <c r="A31" s="141"/>
      <c r="B31" s="152"/>
      <c r="C31" s="146"/>
      <c r="D31" s="146"/>
      <c r="E31" s="147"/>
      <c r="F31" s="148"/>
      <c r="G31" s="124"/>
    </row>
    <row r="32" spans="1:7" ht="15.75" customHeight="1">
      <c r="A32" s="144" t="s">
        <v>329</v>
      </c>
      <c r="B32" s="145" t="s">
        <v>330</v>
      </c>
      <c r="C32" s="146"/>
      <c r="D32" s="146"/>
      <c r="E32" s="147"/>
      <c r="F32" s="148"/>
      <c r="G32" s="124"/>
    </row>
    <row r="33" spans="1:6" ht="15" customHeight="1">
      <c r="A33" s="141">
        <v>1</v>
      </c>
      <c r="B33" s="149" t="s">
        <v>331</v>
      </c>
      <c r="C33" s="146">
        <v>12511216</v>
      </c>
      <c r="D33" s="146">
        <v>13806330</v>
      </c>
      <c r="E33" s="146">
        <f>+D33-C33</f>
        <v>1295114</v>
      </c>
      <c r="F33" s="150">
        <f>IF(C33=0,0,E33/C33)</f>
        <v>0.10351623695090868</v>
      </c>
    </row>
    <row r="34" spans="1:6" ht="15" customHeight="1">
      <c r="A34" s="141">
        <v>2</v>
      </c>
      <c r="B34" s="149" t="s">
        <v>332</v>
      </c>
      <c r="C34" s="146">
        <v>5575161</v>
      </c>
      <c r="D34" s="146">
        <v>5092182</v>
      </c>
      <c r="E34" s="146">
        <f>+D34-C34</f>
        <v>-482979</v>
      </c>
      <c r="F34" s="150">
        <f>IF(C34=0,0,E34/C34)</f>
        <v>-0.08663050268862191</v>
      </c>
    </row>
    <row r="35" spans="1:7" ht="15.75" customHeight="1">
      <c r="A35" s="141"/>
      <c r="B35" s="151" t="s">
        <v>333</v>
      </c>
      <c r="C35" s="147">
        <f>SUM(C33:C34)</f>
        <v>18086377</v>
      </c>
      <c r="D35" s="147">
        <f>SUM(D33:D34)</f>
        <v>18898512</v>
      </c>
      <c r="E35" s="147">
        <f>+D35-C35</f>
        <v>812135</v>
      </c>
      <c r="F35" s="148">
        <f>IF(C35=0,0,E35/C35)</f>
        <v>0.04490313344679258</v>
      </c>
      <c r="G35" s="124"/>
    </row>
    <row r="36" spans="1:7" ht="15.75" customHeight="1">
      <c r="A36" s="141"/>
      <c r="B36" s="152"/>
      <c r="C36" s="146"/>
      <c r="D36" s="146"/>
      <c r="E36" s="147"/>
      <c r="F36" s="148"/>
      <c r="G36" s="124"/>
    </row>
    <row r="37" spans="1:7" ht="15.75" customHeight="1">
      <c r="A37" s="144" t="s">
        <v>334</v>
      </c>
      <c r="B37" s="145" t="s">
        <v>335</v>
      </c>
      <c r="C37" s="146"/>
      <c r="D37" s="146"/>
      <c r="E37" s="147"/>
      <c r="F37" s="148"/>
      <c r="G37" s="124"/>
    </row>
    <row r="38" spans="1:6" ht="15" customHeight="1">
      <c r="A38" s="141">
        <v>1</v>
      </c>
      <c r="B38" s="149" t="s">
        <v>336</v>
      </c>
      <c r="C38" s="146">
        <v>2912544</v>
      </c>
      <c r="D38" s="146">
        <v>3668711</v>
      </c>
      <c r="E38" s="146">
        <f>+D38-C38</f>
        <v>756167</v>
      </c>
      <c r="F38" s="150">
        <f>IF(C38=0,0,E38/C38)</f>
        <v>0.2596242322862762</v>
      </c>
    </row>
    <row r="39" spans="1:6" ht="15" customHeight="1">
      <c r="A39" s="141">
        <v>2</v>
      </c>
      <c r="B39" s="149" t="s">
        <v>337</v>
      </c>
      <c r="C39" s="146">
        <v>6045147</v>
      </c>
      <c r="D39" s="146">
        <v>4997455</v>
      </c>
      <c r="E39" s="146">
        <f>+D39-C39</f>
        <v>-1047692</v>
      </c>
      <c r="F39" s="150">
        <f>IF(C39=0,0,E39/C39)</f>
        <v>-0.1733112528115528</v>
      </c>
    </row>
    <row r="40" spans="1:6" ht="15" customHeight="1">
      <c r="A40" s="141">
        <v>3</v>
      </c>
      <c r="B40" s="149" t="s">
        <v>338</v>
      </c>
      <c r="C40" s="146">
        <v>56867</v>
      </c>
      <c r="D40" s="146">
        <v>62467</v>
      </c>
      <c r="E40" s="146">
        <f>+D40-C40</f>
        <v>5600</v>
      </c>
      <c r="F40" s="150">
        <f>IF(C40=0,0,E40/C40)</f>
        <v>0.09847538994495929</v>
      </c>
    </row>
    <row r="41" spans="1:7" ht="15.75" customHeight="1">
      <c r="A41" s="141"/>
      <c r="B41" s="151" t="s">
        <v>339</v>
      </c>
      <c r="C41" s="147">
        <f>SUM(C38:C40)</f>
        <v>9014558</v>
      </c>
      <c r="D41" s="147">
        <f>SUM(D38:D40)</f>
        <v>8728633</v>
      </c>
      <c r="E41" s="147">
        <f>+D41-C41</f>
        <v>-285925</v>
      </c>
      <c r="F41" s="148">
        <f>IF(C41=0,0,E41/C41)</f>
        <v>-0.03171813859315121</v>
      </c>
      <c r="G41" s="124"/>
    </row>
    <row r="42" spans="1:7" ht="15.75" customHeight="1">
      <c r="A42" s="141"/>
      <c r="B42" s="152"/>
      <c r="C42" s="146"/>
      <c r="D42" s="146"/>
      <c r="E42" s="147"/>
      <c r="F42" s="148"/>
      <c r="G42" s="124"/>
    </row>
    <row r="43" spans="1:7" ht="15.75" customHeight="1">
      <c r="A43" s="144" t="s">
        <v>340</v>
      </c>
      <c r="B43" s="145" t="s">
        <v>341</v>
      </c>
      <c r="C43" s="146"/>
      <c r="D43" s="146"/>
      <c r="E43" s="147"/>
      <c r="F43" s="148"/>
      <c r="G43" s="124"/>
    </row>
    <row r="44" spans="1:6" ht="15" customHeight="1">
      <c r="A44" s="141">
        <v>1</v>
      </c>
      <c r="B44" s="149" t="s">
        <v>243</v>
      </c>
      <c r="C44" s="146">
        <v>9879112</v>
      </c>
      <c r="D44" s="146">
        <v>9717615</v>
      </c>
      <c r="E44" s="146">
        <f>+D44-C44</f>
        <v>-161497</v>
      </c>
      <c r="F44" s="150">
        <f>IF(C44=0,0,E44/C44)</f>
        <v>-0.01634731947567757</v>
      </c>
    </row>
    <row r="45" spans="1:7" ht="15.75" customHeight="1">
      <c r="A45" s="141"/>
      <c r="B45" s="152"/>
      <c r="C45" s="146"/>
      <c r="D45" s="146"/>
      <c r="E45" s="147"/>
      <c r="F45" s="148"/>
      <c r="G45" s="124"/>
    </row>
    <row r="46" spans="1:7" ht="15.75" customHeight="1">
      <c r="A46" s="144" t="s">
        <v>342</v>
      </c>
      <c r="B46" s="145" t="s">
        <v>343</v>
      </c>
      <c r="C46" s="146"/>
      <c r="D46" s="146"/>
      <c r="E46" s="147"/>
      <c r="F46" s="148"/>
      <c r="G46" s="124"/>
    </row>
    <row r="47" spans="1:6" ht="15" customHeight="1">
      <c r="A47" s="141">
        <v>1</v>
      </c>
      <c r="B47" s="149" t="s">
        <v>344</v>
      </c>
      <c r="C47" s="146">
        <v>2795157</v>
      </c>
      <c r="D47" s="146">
        <v>2456574</v>
      </c>
      <c r="E47" s="146">
        <f>+D47-C47</f>
        <v>-338583</v>
      </c>
      <c r="F47" s="150">
        <f>IF(C47=0,0,E47/C47)</f>
        <v>-0.12113201512473182</v>
      </c>
    </row>
    <row r="48" spans="1:7" ht="15.75" customHeight="1">
      <c r="A48" s="141"/>
      <c r="B48" s="152"/>
      <c r="C48" s="146"/>
      <c r="D48" s="146"/>
      <c r="E48" s="147"/>
      <c r="F48" s="148"/>
      <c r="G48" s="124"/>
    </row>
    <row r="49" spans="1:7" ht="15.75" customHeight="1">
      <c r="A49" s="144" t="s">
        <v>345</v>
      </c>
      <c r="B49" s="145" t="s">
        <v>346</v>
      </c>
      <c r="C49" s="146"/>
      <c r="D49" s="146"/>
      <c r="E49" s="147"/>
      <c r="F49" s="148"/>
      <c r="G49" s="124"/>
    </row>
    <row r="50" spans="1:6" ht="15" customHeight="1">
      <c r="A50" s="141">
        <v>1</v>
      </c>
      <c r="B50" s="149" t="s">
        <v>347</v>
      </c>
      <c r="C50" s="146">
        <v>5421558</v>
      </c>
      <c r="D50" s="146">
        <v>5321837</v>
      </c>
      <c r="E50" s="146">
        <f>+D50-C50</f>
        <v>-99721</v>
      </c>
      <c r="F50" s="150">
        <f>IF(C50=0,0,E50/C50)</f>
        <v>-0.01839342122688718</v>
      </c>
    </row>
    <row r="51" spans="1:7" ht="15.75" customHeight="1">
      <c r="A51" s="141"/>
      <c r="B51" s="152"/>
      <c r="C51" s="146"/>
      <c r="D51" s="146"/>
      <c r="E51" s="147"/>
      <c r="F51" s="148"/>
      <c r="G51" s="124"/>
    </row>
    <row r="52" spans="1:7" ht="15.75" customHeight="1">
      <c r="A52" s="144" t="s">
        <v>348</v>
      </c>
      <c r="B52" s="145" t="s">
        <v>349</v>
      </c>
      <c r="C52" s="146"/>
      <c r="D52" s="146"/>
      <c r="E52" s="147"/>
      <c r="F52" s="148"/>
      <c r="G52" s="124"/>
    </row>
    <row r="53" spans="1:6" ht="15" customHeight="1">
      <c r="A53" s="141">
        <v>1</v>
      </c>
      <c r="B53" s="149" t="s">
        <v>350</v>
      </c>
      <c r="C53" s="146">
        <v>145000</v>
      </c>
      <c r="D53" s="146">
        <v>180000</v>
      </c>
      <c r="E53" s="146">
        <f aca="true" t="shared" si="0" ref="E53:E59">+D53-C53</f>
        <v>35000</v>
      </c>
      <c r="F53" s="150">
        <f aca="true" t="shared" si="1" ref="F53:F59">IF(C53=0,0,E53/C53)</f>
        <v>0.2413793103448276</v>
      </c>
    </row>
    <row r="54" spans="1:6" ht="15" customHeight="1">
      <c r="A54" s="141">
        <v>2</v>
      </c>
      <c r="B54" s="149" t="s">
        <v>351</v>
      </c>
      <c r="C54" s="146">
        <v>842914</v>
      </c>
      <c r="D54" s="146">
        <v>883695</v>
      </c>
      <c r="E54" s="146">
        <f t="shared" si="0"/>
        <v>40781</v>
      </c>
      <c r="F54" s="150">
        <f t="shared" si="1"/>
        <v>0.04838097362245733</v>
      </c>
    </row>
    <row r="55" spans="1:6" ht="15" customHeight="1">
      <c r="A55" s="141">
        <v>3</v>
      </c>
      <c r="B55" s="149" t="s">
        <v>352</v>
      </c>
      <c r="C55" s="146">
        <v>110776</v>
      </c>
      <c r="D55" s="146">
        <v>64538</v>
      </c>
      <c r="E55" s="146">
        <f t="shared" si="0"/>
        <v>-46238</v>
      </c>
      <c r="F55" s="150">
        <f t="shared" si="1"/>
        <v>-0.41740088105726875</v>
      </c>
    </row>
    <row r="56" spans="1:6" ht="15" customHeight="1">
      <c r="A56" s="141">
        <v>4</v>
      </c>
      <c r="B56" s="149" t="s">
        <v>353</v>
      </c>
      <c r="C56" s="146">
        <v>1339047</v>
      </c>
      <c r="D56" s="146">
        <v>1479807</v>
      </c>
      <c r="E56" s="146">
        <f t="shared" si="0"/>
        <v>140760</v>
      </c>
      <c r="F56" s="150">
        <f t="shared" si="1"/>
        <v>0.10511953650618686</v>
      </c>
    </row>
    <row r="57" spans="1:6" ht="15" customHeight="1">
      <c r="A57" s="141">
        <v>5</v>
      </c>
      <c r="B57" s="149" t="s">
        <v>354</v>
      </c>
      <c r="C57" s="146">
        <v>277971</v>
      </c>
      <c r="D57" s="146">
        <v>347670</v>
      </c>
      <c r="E57" s="146">
        <f t="shared" si="0"/>
        <v>69699</v>
      </c>
      <c r="F57" s="150">
        <f t="shared" si="1"/>
        <v>0.2507419838760158</v>
      </c>
    </row>
    <row r="58" spans="1:6" ht="15" customHeight="1">
      <c r="A58" s="141">
        <v>6</v>
      </c>
      <c r="B58" s="149" t="s">
        <v>355</v>
      </c>
      <c r="C58" s="146">
        <v>18178</v>
      </c>
      <c r="D58" s="146">
        <v>12240</v>
      </c>
      <c r="E58" s="146">
        <f t="shared" si="0"/>
        <v>-5938</v>
      </c>
      <c r="F58" s="150">
        <f t="shared" si="1"/>
        <v>-0.3266585983056442</v>
      </c>
    </row>
    <row r="59" spans="1:7" ht="15.75" customHeight="1">
      <c r="A59" s="141"/>
      <c r="B59" s="151" t="s">
        <v>356</v>
      </c>
      <c r="C59" s="147">
        <f>SUM(C53:C58)</f>
        <v>2733886</v>
      </c>
      <c r="D59" s="147">
        <f>SUM(D53:D58)</f>
        <v>2967950</v>
      </c>
      <c r="E59" s="147">
        <f t="shared" si="0"/>
        <v>234064</v>
      </c>
      <c r="F59" s="148">
        <f t="shared" si="1"/>
        <v>0.08561585962252997</v>
      </c>
      <c r="G59" s="124"/>
    </row>
    <row r="60" spans="1:7" ht="15.75" customHeight="1">
      <c r="A60" s="141"/>
      <c r="B60" s="152"/>
      <c r="C60" s="146"/>
      <c r="D60" s="146"/>
      <c r="E60" s="147"/>
      <c r="F60" s="148"/>
      <c r="G60" s="124"/>
    </row>
    <row r="61" spans="1:7" ht="15.75" customHeight="1">
      <c r="A61" s="144" t="s">
        <v>357</v>
      </c>
      <c r="B61" s="145" t="s">
        <v>358</v>
      </c>
      <c r="C61" s="146"/>
      <c r="D61" s="146"/>
      <c r="E61" s="147"/>
      <c r="F61" s="148"/>
      <c r="G61" s="124"/>
    </row>
    <row r="62" spans="1:6" ht="15" customHeight="1">
      <c r="A62" s="141">
        <v>1</v>
      </c>
      <c r="B62" s="149" t="s">
        <v>359</v>
      </c>
      <c r="C62" s="146">
        <v>87710</v>
      </c>
      <c r="D62" s="146">
        <v>206107</v>
      </c>
      <c r="E62" s="146">
        <f aca="true" t="shared" si="2" ref="E62:E78">+D62-C62</f>
        <v>118397</v>
      </c>
      <c r="F62" s="150">
        <f aca="true" t="shared" si="3" ref="F62:F78">IF(C62=0,0,E62/C62)</f>
        <v>1.3498688861019268</v>
      </c>
    </row>
    <row r="63" spans="1:6" ht="15" customHeight="1">
      <c r="A63" s="141">
        <v>2</v>
      </c>
      <c r="B63" s="149" t="s">
        <v>360</v>
      </c>
      <c r="C63" s="146">
        <v>202353</v>
      </c>
      <c r="D63" s="146">
        <v>246226</v>
      </c>
      <c r="E63" s="146">
        <f t="shared" si="2"/>
        <v>43873</v>
      </c>
      <c r="F63" s="150">
        <f t="shared" si="3"/>
        <v>0.21681418115866827</v>
      </c>
    </row>
    <row r="64" spans="1:6" ht="15" customHeight="1">
      <c r="A64" s="141">
        <v>3</v>
      </c>
      <c r="B64" s="149" t="s">
        <v>361</v>
      </c>
      <c r="C64" s="146">
        <v>743207</v>
      </c>
      <c r="D64" s="146">
        <v>668084</v>
      </c>
      <c r="E64" s="146">
        <f t="shared" si="2"/>
        <v>-75123</v>
      </c>
      <c r="F64" s="150">
        <f t="shared" si="3"/>
        <v>-0.10107951082269138</v>
      </c>
    </row>
    <row r="65" spans="1:6" ht="15" customHeight="1">
      <c r="A65" s="141">
        <v>4</v>
      </c>
      <c r="B65" s="149" t="s">
        <v>362</v>
      </c>
      <c r="C65" s="146">
        <v>1274332</v>
      </c>
      <c r="D65" s="146">
        <v>2127533</v>
      </c>
      <c r="E65" s="146">
        <f t="shared" si="2"/>
        <v>853201</v>
      </c>
      <c r="F65" s="150">
        <f t="shared" si="3"/>
        <v>0.6695280350803401</v>
      </c>
    </row>
    <row r="66" spans="1:6" ht="15" customHeight="1">
      <c r="A66" s="141">
        <v>5</v>
      </c>
      <c r="B66" s="149" t="s">
        <v>363</v>
      </c>
      <c r="C66" s="146">
        <v>462069</v>
      </c>
      <c r="D66" s="146">
        <v>810470</v>
      </c>
      <c r="E66" s="146">
        <f t="shared" si="2"/>
        <v>348401</v>
      </c>
      <c r="F66" s="150">
        <f t="shared" si="3"/>
        <v>0.7540021079102904</v>
      </c>
    </row>
    <row r="67" spans="1:6" ht="15" customHeight="1">
      <c r="A67" s="141">
        <v>6</v>
      </c>
      <c r="B67" s="149" t="s">
        <v>364</v>
      </c>
      <c r="C67" s="146">
        <v>300263</v>
      </c>
      <c r="D67" s="146">
        <v>710410</v>
      </c>
      <c r="E67" s="146">
        <f t="shared" si="2"/>
        <v>410147</v>
      </c>
      <c r="F67" s="150">
        <f t="shared" si="3"/>
        <v>1.3659591757892249</v>
      </c>
    </row>
    <row r="68" spans="1:6" ht="15" customHeight="1">
      <c r="A68" s="141">
        <v>7</v>
      </c>
      <c r="B68" s="149" t="s">
        <v>365</v>
      </c>
      <c r="C68" s="146">
        <v>2543676</v>
      </c>
      <c r="D68" s="146">
        <v>2824644</v>
      </c>
      <c r="E68" s="146">
        <f t="shared" si="2"/>
        <v>280968</v>
      </c>
      <c r="F68" s="150">
        <f t="shared" si="3"/>
        <v>0.11045746392229198</v>
      </c>
    </row>
    <row r="69" spans="1:6" ht="15" customHeight="1">
      <c r="A69" s="141">
        <v>8</v>
      </c>
      <c r="B69" s="149" t="s">
        <v>366</v>
      </c>
      <c r="C69" s="146">
        <v>402957</v>
      </c>
      <c r="D69" s="146">
        <v>444396</v>
      </c>
      <c r="E69" s="146">
        <f t="shared" si="2"/>
        <v>41439</v>
      </c>
      <c r="F69" s="150">
        <f t="shared" si="3"/>
        <v>0.10283727544130018</v>
      </c>
    </row>
    <row r="70" spans="1:6" ht="15" customHeight="1">
      <c r="A70" s="141">
        <v>9</v>
      </c>
      <c r="B70" s="149" t="s">
        <v>367</v>
      </c>
      <c r="C70" s="146">
        <v>144765</v>
      </c>
      <c r="D70" s="146">
        <v>83005</v>
      </c>
      <c r="E70" s="146">
        <f t="shared" si="2"/>
        <v>-61760</v>
      </c>
      <c r="F70" s="150">
        <f t="shared" si="3"/>
        <v>-0.4266224570856215</v>
      </c>
    </row>
    <row r="71" spans="1:6" ht="15" customHeight="1">
      <c r="A71" s="141">
        <v>10</v>
      </c>
      <c r="B71" s="149" t="s">
        <v>368</v>
      </c>
      <c r="C71" s="146">
        <v>35522</v>
      </c>
      <c r="D71" s="146">
        <v>38293</v>
      </c>
      <c r="E71" s="146">
        <f t="shared" si="2"/>
        <v>2771</v>
      </c>
      <c r="F71" s="150">
        <f t="shared" si="3"/>
        <v>0.07800799504532402</v>
      </c>
    </row>
    <row r="72" spans="1:6" ht="15" customHeight="1">
      <c r="A72" s="141">
        <v>11</v>
      </c>
      <c r="B72" s="149" t="s">
        <v>369</v>
      </c>
      <c r="C72" s="146">
        <v>230985</v>
      </c>
      <c r="D72" s="146">
        <v>18449</v>
      </c>
      <c r="E72" s="146">
        <f t="shared" si="2"/>
        <v>-212536</v>
      </c>
      <c r="F72" s="150">
        <f t="shared" si="3"/>
        <v>-0.9201290127064528</v>
      </c>
    </row>
    <row r="73" spans="1:6" ht="15" customHeight="1">
      <c r="A73" s="141">
        <v>12</v>
      </c>
      <c r="B73" s="149" t="s">
        <v>370</v>
      </c>
      <c r="C73" s="146">
        <v>1318555</v>
      </c>
      <c r="D73" s="146">
        <v>1245711</v>
      </c>
      <c r="E73" s="146">
        <f t="shared" si="2"/>
        <v>-72844</v>
      </c>
      <c r="F73" s="150">
        <f t="shared" si="3"/>
        <v>-0.05524532537512656</v>
      </c>
    </row>
    <row r="74" spans="1:6" ht="15" customHeight="1">
      <c r="A74" s="141">
        <v>13</v>
      </c>
      <c r="B74" s="149" t="s">
        <v>371</v>
      </c>
      <c r="C74" s="146">
        <v>209266</v>
      </c>
      <c r="D74" s="146">
        <v>188740</v>
      </c>
      <c r="E74" s="146">
        <f t="shared" si="2"/>
        <v>-20526</v>
      </c>
      <c r="F74" s="150">
        <f t="shared" si="3"/>
        <v>-0.09808568998308373</v>
      </c>
    </row>
    <row r="75" spans="1:6" ht="15" customHeight="1">
      <c r="A75" s="141">
        <v>14</v>
      </c>
      <c r="B75" s="149" t="s">
        <v>372</v>
      </c>
      <c r="C75" s="146">
        <v>179267</v>
      </c>
      <c r="D75" s="146">
        <v>175218</v>
      </c>
      <c r="E75" s="146">
        <f t="shared" si="2"/>
        <v>-4049</v>
      </c>
      <c r="F75" s="150">
        <f t="shared" si="3"/>
        <v>-0.022586421371473837</v>
      </c>
    </row>
    <row r="76" spans="1:6" ht="15" customHeight="1">
      <c r="A76" s="141">
        <v>15</v>
      </c>
      <c r="B76" s="149" t="s">
        <v>373</v>
      </c>
      <c r="C76" s="146">
        <v>658042</v>
      </c>
      <c r="D76" s="146">
        <v>791616</v>
      </c>
      <c r="E76" s="146">
        <f t="shared" si="2"/>
        <v>133574</v>
      </c>
      <c r="F76" s="150">
        <f t="shared" si="3"/>
        <v>0.2029870433802098</v>
      </c>
    </row>
    <row r="77" spans="1:6" ht="15" customHeight="1">
      <c r="A77" s="141">
        <v>16</v>
      </c>
      <c r="B77" s="149" t="s">
        <v>374</v>
      </c>
      <c r="C77" s="146">
        <v>9734185</v>
      </c>
      <c r="D77" s="146">
        <v>9896340</v>
      </c>
      <c r="E77" s="146">
        <f t="shared" si="2"/>
        <v>162155</v>
      </c>
      <c r="F77" s="150">
        <f t="shared" si="3"/>
        <v>0.01665830267248876</v>
      </c>
    </row>
    <row r="78" spans="1:7" ht="15.75" customHeight="1">
      <c r="A78" s="141"/>
      <c r="B78" s="151" t="s">
        <v>375</v>
      </c>
      <c r="C78" s="147">
        <f>SUM(C62:C77)</f>
        <v>18527154</v>
      </c>
      <c r="D78" s="147">
        <f>SUM(D62:D77)</f>
        <v>20475242</v>
      </c>
      <c r="E78" s="147">
        <f t="shared" si="2"/>
        <v>1948088</v>
      </c>
      <c r="F78" s="148">
        <f t="shared" si="3"/>
        <v>0.1051477199358304</v>
      </c>
      <c r="G78" s="124"/>
    </row>
    <row r="79" spans="1:7" ht="15.75" customHeight="1">
      <c r="A79" s="141"/>
      <c r="B79" s="152"/>
      <c r="C79" s="146"/>
      <c r="D79" s="146"/>
      <c r="E79" s="147"/>
      <c r="F79" s="148"/>
      <c r="G79" s="124"/>
    </row>
    <row r="80" spans="1:7" ht="15.75" customHeight="1">
      <c r="A80" s="144" t="s">
        <v>376</v>
      </c>
      <c r="B80" s="145" t="s">
        <v>377</v>
      </c>
      <c r="C80" s="146"/>
      <c r="D80" s="146"/>
      <c r="E80" s="147"/>
      <c r="F80" s="148"/>
      <c r="G80" s="124"/>
    </row>
    <row r="81" spans="1:6" ht="15" customHeight="1">
      <c r="A81" s="141">
        <v>1</v>
      </c>
      <c r="B81" s="149" t="s">
        <v>378</v>
      </c>
      <c r="C81" s="146">
        <v>4578106</v>
      </c>
      <c r="D81" s="146">
        <v>4029883</v>
      </c>
      <c r="E81" s="146">
        <f>+D81-C81</f>
        <v>-548223</v>
      </c>
      <c r="F81" s="150">
        <f>IF(C81=0,0,E81/C81)</f>
        <v>-0.11974886557890971</v>
      </c>
    </row>
    <row r="82" spans="1:7" ht="15.75" customHeight="1">
      <c r="A82" s="141"/>
      <c r="B82" s="152"/>
      <c r="C82" s="146"/>
      <c r="D82" s="146"/>
      <c r="E82" s="147"/>
      <c r="F82" s="148"/>
      <c r="G82" s="124"/>
    </row>
    <row r="83" spans="1:7" ht="15.75" customHeight="1">
      <c r="A83" s="153"/>
      <c r="B83" s="154" t="s">
        <v>379</v>
      </c>
      <c r="C83" s="147">
        <f>+C81+C78+C59+C50+C47+C44+C41+C35+C30+C24+C18</f>
        <v>167113696</v>
      </c>
      <c r="D83" s="147">
        <f>+D81+D78+D59+D50+D47+D44+D41+D35+D30+D24+D18</f>
        <v>173269841</v>
      </c>
      <c r="E83" s="147">
        <f>+D83-C83</f>
        <v>6156145</v>
      </c>
      <c r="F83" s="148">
        <f>IF(C83=0,0,E83/C83)</f>
        <v>0.036838063829310555</v>
      </c>
      <c r="G83" s="155"/>
    </row>
    <row r="84" spans="1:7" ht="15.75" customHeight="1">
      <c r="A84" s="153"/>
      <c r="B84" s="154"/>
      <c r="C84" s="146"/>
      <c r="D84" s="146"/>
      <c r="E84" s="146"/>
      <c r="F84" s="156"/>
      <c r="G84" s="124"/>
    </row>
    <row r="85" spans="1:7" ht="15.75" customHeight="1">
      <c r="A85" s="153"/>
      <c r="B85" s="157" t="s">
        <v>380</v>
      </c>
      <c r="C85" s="146"/>
      <c r="D85" s="146"/>
      <c r="E85" s="146"/>
      <c r="F85" s="156"/>
      <c r="G85" s="124"/>
    </row>
    <row r="86" spans="1:7" ht="15.75" customHeight="1">
      <c r="A86" s="153"/>
      <c r="B86" s="157"/>
      <c r="C86" s="146"/>
      <c r="D86" s="146"/>
      <c r="E86" s="146"/>
      <c r="F86" s="156"/>
      <c r="G86" s="124"/>
    </row>
    <row r="87" spans="1:7" ht="15.75" customHeight="1">
      <c r="A87" s="153"/>
      <c r="B87" s="157"/>
      <c r="C87" s="146"/>
      <c r="D87" s="146"/>
      <c r="E87" s="146"/>
      <c r="F87" s="156"/>
      <c r="G87" s="124"/>
    </row>
    <row r="88" spans="1:7" ht="15.75" customHeight="1">
      <c r="A88" s="158" t="s">
        <v>202</v>
      </c>
      <c r="B88" s="142" t="s">
        <v>381</v>
      </c>
      <c r="C88" s="143"/>
      <c r="D88" s="143"/>
      <c r="E88" s="159"/>
      <c r="F88" s="160"/>
      <c r="G88" s="155"/>
    </row>
    <row r="89" spans="1:7" ht="15.75" customHeight="1">
      <c r="A89" s="141"/>
      <c r="B89" s="142"/>
      <c r="C89" s="143"/>
      <c r="D89" s="143"/>
      <c r="E89" s="159"/>
      <c r="F89" s="160"/>
      <c r="G89" s="155"/>
    </row>
    <row r="90" spans="1:7" ht="15.75" customHeight="1">
      <c r="A90" s="144" t="s">
        <v>268</v>
      </c>
      <c r="B90" s="145" t="s">
        <v>382</v>
      </c>
      <c r="C90" s="146"/>
      <c r="D90" s="146"/>
      <c r="E90" s="147"/>
      <c r="F90" s="160"/>
      <c r="G90" s="155"/>
    </row>
    <row r="91" spans="1:7" ht="15" customHeight="1">
      <c r="A91" s="141">
        <v>1</v>
      </c>
      <c r="B91" s="161" t="s">
        <v>383</v>
      </c>
      <c r="C91" s="146">
        <v>42409623</v>
      </c>
      <c r="D91" s="146">
        <v>42798181</v>
      </c>
      <c r="E91" s="146">
        <f aca="true" t="shared" si="4" ref="E91:E109">D91-C91</f>
        <v>388558</v>
      </c>
      <c r="F91" s="150">
        <f aca="true" t="shared" si="5" ref="F91:F109">IF(C91=0,0,E91/C91)</f>
        <v>0.00916202438300383</v>
      </c>
      <c r="G91" s="155"/>
    </row>
    <row r="92" spans="1:7" ht="15" customHeight="1">
      <c r="A92" s="141">
        <v>2</v>
      </c>
      <c r="B92" s="161" t="s">
        <v>384</v>
      </c>
      <c r="C92" s="146">
        <v>1876907</v>
      </c>
      <c r="D92" s="146">
        <v>1985843</v>
      </c>
      <c r="E92" s="146">
        <f t="shared" si="4"/>
        <v>108936</v>
      </c>
      <c r="F92" s="150">
        <f t="shared" si="5"/>
        <v>0.05804016927849915</v>
      </c>
      <c r="G92" s="155"/>
    </row>
    <row r="93" spans="1:7" ht="15" customHeight="1">
      <c r="A93" s="141">
        <v>3</v>
      </c>
      <c r="B93" s="161" t="s">
        <v>385</v>
      </c>
      <c r="C93" s="146">
        <v>1960419</v>
      </c>
      <c r="D93" s="146">
        <v>1961815</v>
      </c>
      <c r="E93" s="146">
        <f t="shared" si="4"/>
        <v>1396</v>
      </c>
      <c r="F93" s="150">
        <f t="shared" si="5"/>
        <v>0.000712092669985345</v>
      </c>
      <c r="G93" s="155"/>
    </row>
    <row r="94" spans="1:7" ht="15" customHeight="1">
      <c r="A94" s="141">
        <v>4</v>
      </c>
      <c r="B94" s="161" t="s">
        <v>386</v>
      </c>
      <c r="C94" s="146">
        <v>1627761</v>
      </c>
      <c r="D94" s="146">
        <v>1541895</v>
      </c>
      <c r="E94" s="146">
        <f t="shared" si="4"/>
        <v>-85866</v>
      </c>
      <c r="F94" s="150">
        <f t="shared" si="5"/>
        <v>-0.05275098739925579</v>
      </c>
      <c r="G94" s="155"/>
    </row>
    <row r="95" spans="1:7" ht="15" customHeight="1">
      <c r="A95" s="141">
        <v>5</v>
      </c>
      <c r="B95" s="161" t="s">
        <v>387</v>
      </c>
      <c r="C95" s="146">
        <v>3644729</v>
      </c>
      <c r="D95" s="146">
        <v>4397271</v>
      </c>
      <c r="E95" s="146">
        <f t="shared" si="4"/>
        <v>752542</v>
      </c>
      <c r="F95" s="150">
        <f t="shared" si="5"/>
        <v>0.20647406158317944</v>
      </c>
      <c r="G95" s="155"/>
    </row>
    <row r="96" spans="1:7" ht="15" customHeight="1">
      <c r="A96" s="141">
        <v>6</v>
      </c>
      <c r="B96" s="161" t="s">
        <v>388</v>
      </c>
      <c r="C96" s="146">
        <v>0</v>
      </c>
      <c r="D96" s="146">
        <v>0</v>
      </c>
      <c r="E96" s="146">
        <f t="shared" si="4"/>
        <v>0</v>
      </c>
      <c r="F96" s="150">
        <f t="shared" si="5"/>
        <v>0</v>
      </c>
      <c r="G96" s="155"/>
    </row>
    <row r="97" spans="1:7" ht="15" customHeight="1">
      <c r="A97" s="141">
        <v>7</v>
      </c>
      <c r="B97" s="161" t="s">
        <v>389</v>
      </c>
      <c r="C97" s="146">
        <v>1089344</v>
      </c>
      <c r="D97" s="146">
        <v>915042</v>
      </c>
      <c r="E97" s="146">
        <f t="shared" si="4"/>
        <v>-174302</v>
      </c>
      <c r="F97" s="150">
        <f t="shared" si="5"/>
        <v>-0.16000638916632395</v>
      </c>
      <c r="G97" s="155"/>
    </row>
    <row r="98" spans="1:7" ht="15" customHeight="1">
      <c r="A98" s="141">
        <v>8</v>
      </c>
      <c r="B98" s="161" t="s">
        <v>390</v>
      </c>
      <c r="C98" s="146">
        <v>1312641</v>
      </c>
      <c r="D98" s="146">
        <v>1491151</v>
      </c>
      <c r="E98" s="146">
        <f t="shared" si="4"/>
        <v>178510</v>
      </c>
      <c r="F98" s="150">
        <f t="shared" si="5"/>
        <v>0.13599300951288282</v>
      </c>
      <c r="G98" s="155"/>
    </row>
    <row r="99" spans="1:7" ht="15" customHeight="1">
      <c r="A99" s="141">
        <v>9</v>
      </c>
      <c r="B99" s="161" t="s">
        <v>391</v>
      </c>
      <c r="C99" s="146">
        <v>834320</v>
      </c>
      <c r="D99" s="146">
        <v>881368</v>
      </c>
      <c r="E99" s="146">
        <f t="shared" si="4"/>
        <v>47048</v>
      </c>
      <c r="F99" s="150">
        <f t="shared" si="5"/>
        <v>0.05639083325342794</v>
      </c>
      <c r="G99" s="155"/>
    </row>
    <row r="100" spans="1:7" ht="15" customHeight="1">
      <c r="A100" s="141">
        <v>10</v>
      </c>
      <c r="B100" s="161" t="s">
        <v>392</v>
      </c>
      <c r="C100" s="146">
        <v>2977543</v>
      </c>
      <c r="D100" s="146">
        <v>3023048</v>
      </c>
      <c r="E100" s="146">
        <f t="shared" si="4"/>
        <v>45505</v>
      </c>
      <c r="F100" s="150">
        <f t="shared" si="5"/>
        <v>0.015282734791739364</v>
      </c>
      <c r="G100" s="155"/>
    </row>
    <row r="101" spans="1:7" ht="15" customHeight="1">
      <c r="A101" s="141">
        <v>11</v>
      </c>
      <c r="B101" s="161" t="s">
        <v>393</v>
      </c>
      <c r="C101" s="146">
        <v>2634808</v>
      </c>
      <c r="D101" s="146">
        <v>2696469</v>
      </c>
      <c r="E101" s="146">
        <f t="shared" si="4"/>
        <v>61661</v>
      </c>
      <c r="F101" s="150">
        <f t="shared" si="5"/>
        <v>0.023402464240278607</v>
      </c>
      <c r="G101" s="155"/>
    </row>
    <row r="102" spans="1:7" ht="15" customHeight="1">
      <c r="A102" s="141">
        <v>12</v>
      </c>
      <c r="B102" s="161" t="s">
        <v>394</v>
      </c>
      <c r="C102" s="146">
        <v>0</v>
      </c>
      <c r="D102" s="146">
        <v>0</v>
      </c>
      <c r="E102" s="146">
        <f t="shared" si="4"/>
        <v>0</v>
      </c>
      <c r="F102" s="150">
        <f t="shared" si="5"/>
        <v>0</v>
      </c>
      <c r="G102" s="155"/>
    </row>
    <row r="103" spans="1:7" ht="15" customHeight="1">
      <c r="A103" s="141">
        <v>13</v>
      </c>
      <c r="B103" s="161" t="s">
        <v>395</v>
      </c>
      <c r="C103" s="146">
        <v>5436845</v>
      </c>
      <c r="D103" s="146">
        <v>5535338</v>
      </c>
      <c r="E103" s="146">
        <f t="shared" si="4"/>
        <v>98493</v>
      </c>
      <c r="F103" s="150">
        <f t="shared" si="5"/>
        <v>0.01811583740202268</v>
      </c>
      <c r="G103" s="155"/>
    </row>
    <row r="104" spans="1:7" ht="15" customHeight="1">
      <c r="A104" s="141">
        <v>14</v>
      </c>
      <c r="B104" s="161" t="s">
        <v>396</v>
      </c>
      <c r="C104" s="146">
        <v>0</v>
      </c>
      <c r="D104" s="146">
        <v>0</v>
      </c>
      <c r="E104" s="146">
        <f t="shared" si="4"/>
        <v>0</v>
      </c>
      <c r="F104" s="150">
        <f t="shared" si="5"/>
        <v>0</v>
      </c>
      <c r="G104" s="155"/>
    </row>
    <row r="105" spans="1:7" ht="15" customHeight="1">
      <c r="A105" s="141">
        <v>15</v>
      </c>
      <c r="B105" s="161" t="s">
        <v>365</v>
      </c>
      <c r="C105" s="146">
        <v>0</v>
      </c>
      <c r="D105" s="146">
        <v>0</v>
      </c>
      <c r="E105" s="146">
        <f t="shared" si="4"/>
        <v>0</v>
      </c>
      <c r="F105" s="150">
        <f t="shared" si="5"/>
        <v>0</v>
      </c>
      <c r="G105" s="155"/>
    </row>
    <row r="106" spans="1:7" ht="15" customHeight="1">
      <c r="A106" s="141">
        <v>16</v>
      </c>
      <c r="B106" s="161" t="s">
        <v>397</v>
      </c>
      <c r="C106" s="146">
        <v>0</v>
      </c>
      <c r="D106" s="146">
        <v>0</v>
      </c>
      <c r="E106" s="146">
        <f t="shared" si="4"/>
        <v>0</v>
      </c>
      <c r="F106" s="150">
        <f t="shared" si="5"/>
        <v>0</v>
      </c>
      <c r="G106" s="155"/>
    </row>
    <row r="107" spans="1:7" ht="15" customHeight="1">
      <c r="A107" s="141">
        <v>17</v>
      </c>
      <c r="B107" s="161" t="s">
        <v>398</v>
      </c>
      <c r="C107" s="146">
        <v>6533682</v>
      </c>
      <c r="D107" s="146">
        <v>6207339</v>
      </c>
      <c r="E107" s="146">
        <f t="shared" si="4"/>
        <v>-326343</v>
      </c>
      <c r="F107" s="150">
        <f t="shared" si="5"/>
        <v>-0.04994779360244346</v>
      </c>
      <c r="G107" s="155"/>
    </row>
    <row r="108" spans="1:7" ht="15" customHeight="1">
      <c r="A108" s="141">
        <v>18</v>
      </c>
      <c r="B108" s="161" t="s">
        <v>399</v>
      </c>
      <c r="C108" s="146">
        <v>12674269</v>
      </c>
      <c r="D108" s="146">
        <v>12174189</v>
      </c>
      <c r="E108" s="146">
        <f t="shared" si="4"/>
        <v>-500080</v>
      </c>
      <c r="F108" s="150">
        <f t="shared" si="5"/>
        <v>-0.039456318940366504</v>
      </c>
      <c r="G108" s="155"/>
    </row>
    <row r="109" spans="1:7" ht="15.75" customHeight="1">
      <c r="A109" s="141"/>
      <c r="B109" s="154" t="s">
        <v>400</v>
      </c>
      <c r="C109" s="147">
        <f>SUM(C91:C108)</f>
        <v>85012891</v>
      </c>
      <c r="D109" s="147">
        <f>SUM(D91:D108)</f>
        <v>85608949</v>
      </c>
      <c r="E109" s="147">
        <f t="shared" si="4"/>
        <v>596058</v>
      </c>
      <c r="F109" s="148">
        <f t="shared" si="5"/>
        <v>0.007011383720617147</v>
      </c>
      <c r="G109" s="155"/>
    </row>
    <row r="110" spans="1:7" ht="15.75" customHeight="1">
      <c r="A110" s="141"/>
      <c r="B110" s="162"/>
      <c r="C110" s="146"/>
      <c r="D110" s="146"/>
      <c r="E110" s="147"/>
      <c r="F110" s="160"/>
      <c r="G110" s="155"/>
    </row>
    <row r="111" spans="1:7" ht="15.75" customHeight="1">
      <c r="A111" s="144" t="s">
        <v>282</v>
      </c>
      <c r="B111" s="145" t="s">
        <v>401</v>
      </c>
      <c r="C111" s="146"/>
      <c r="D111" s="146"/>
      <c r="E111" s="147"/>
      <c r="F111" s="160"/>
      <c r="G111" s="155"/>
    </row>
    <row r="112" spans="1:7" ht="15" customHeight="1">
      <c r="A112" s="141">
        <v>1</v>
      </c>
      <c r="B112" s="161" t="s">
        <v>402</v>
      </c>
      <c r="C112" s="146">
        <v>341238</v>
      </c>
      <c r="D112" s="146">
        <v>533472</v>
      </c>
      <c r="E112" s="146">
        <f aca="true" t="shared" si="6" ref="E112:E118">D112-C112</f>
        <v>192234</v>
      </c>
      <c r="F112" s="150">
        <f aca="true" t="shared" si="7" ref="F112:F118">IF(C112=0,0,E112/C112)</f>
        <v>0.563342886782832</v>
      </c>
      <c r="G112" s="155"/>
    </row>
    <row r="113" spans="1:7" ht="15" customHeight="1">
      <c r="A113" s="141">
        <v>2</v>
      </c>
      <c r="B113" s="161" t="s">
        <v>403</v>
      </c>
      <c r="C113" s="146">
        <v>0</v>
      </c>
      <c r="D113" s="146">
        <v>0</v>
      </c>
      <c r="E113" s="146">
        <f t="shared" si="6"/>
        <v>0</v>
      </c>
      <c r="F113" s="150">
        <f t="shared" si="7"/>
        <v>0</v>
      </c>
      <c r="G113" s="155"/>
    </row>
    <row r="114" spans="1:7" ht="15" customHeight="1">
      <c r="A114" s="141">
        <v>3</v>
      </c>
      <c r="B114" s="161" t="s">
        <v>404</v>
      </c>
      <c r="C114" s="146">
        <v>1242249</v>
      </c>
      <c r="D114" s="146">
        <v>1733731</v>
      </c>
      <c r="E114" s="146">
        <f t="shared" si="6"/>
        <v>491482</v>
      </c>
      <c r="F114" s="150">
        <f t="shared" si="7"/>
        <v>0.39563887755192395</v>
      </c>
      <c r="G114" s="155"/>
    </row>
    <row r="115" spans="1:7" ht="15" customHeight="1">
      <c r="A115" s="141">
        <v>4</v>
      </c>
      <c r="B115" s="161" t="s">
        <v>405</v>
      </c>
      <c r="C115" s="146">
        <v>1579426</v>
      </c>
      <c r="D115" s="146">
        <v>1832198</v>
      </c>
      <c r="E115" s="146">
        <f t="shared" si="6"/>
        <v>252772</v>
      </c>
      <c r="F115" s="150">
        <f t="shared" si="7"/>
        <v>0.16004041974742722</v>
      </c>
      <c r="G115" s="155"/>
    </row>
    <row r="116" spans="1:7" ht="15" customHeight="1">
      <c r="A116" s="141">
        <v>5</v>
      </c>
      <c r="B116" s="161" t="s">
        <v>406</v>
      </c>
      <c r="C116" s="146">
        <v>1066646</v>
      </c>
      <c r="D116" s="146">
        <v>1109951</v>
      </c>
      <c r="E116" s="146">
        <f t="shared" si="6"/>
        <v>43305</v>
      </c>
      <c r="F116" s="150">
        <f t="shared" si="7"/>
        <v>0.04059922410996713</v>
      </c>
      <c r="G116" s="155"/>
    </row>
    <row r="117" spans="1:7" ht="15" customHeight="1">
      <c r="A117" s="141">
        <v>6</v>
      </c>
      <c r="B117" s="161" t="s">
        <v>407</v>
      </c>
      <c r="C117" s="146">
        <v>2841955</v>
      </c>
      <c r="D117" s="146">
        <v>2888514</v>
      </c>
      <c r="E117" s="146">
        <f t="shared" si="6"/>
        <v>46559</v>
      </c>
      <c r="F117" s="150">
        <f t="shared" si="7"/>
        <v>0.016382736531718484</v>
      </c>
      <c r="G117" s="155"/>
    </row>
    <row r="118" spans="1:7" ht="15.75" customHeight="1">
      <c r="A118" s="141"/>
      <c r="B118" s="154" t="s">
        <v>408</v>
      </c>
      <c r="C118" s="147">
        <f>SUM(C112:C117)</f>
        <v>7071514</v>
      </c>
      <c r="D118" s="147">
        <f>SUM(D112:D117)</f>
        <v>8097866</v>
      </c>
      <c r="E118" s="147">
        <f t="shared" si="6"/>
        <v>1026352</v>
      </c>
      <c r="F118" s="148">
        <f t="shared" si="7"/>
        <v>0.14513893347308654</v>
      </c>
      <c r="G118" s="155"/>
    </row>
    <row r="119" spans="1:7" ht="15.75" customHeight="1">
      <c r="A119" s="141"/>
      <c r="B119" s="162"/>
      <c r="C119" s="146"/>
      <c r="D119" s="146"/>
      <c r="E119" s="147"/>
      <c r="F119" s="160"/>
      <c r="G119" s="155"/>
    </row>
    <row r="120" spans="1:7" ht="15.75" customHeight="1">
      <c r="A120" s="144" t="s">
        <v>299</v>
      </c>
      <c r="B120" s="145" t="s">
        <v>409</v>
      </c>
      <c r="C120" s="146"/>
      <c r="D120" s="146"/>
      <c r="E120" s="147"/>
      <c r="F120" s="160"/>
      <c r="G120" s="155"/>
    </row>
    <row r="121" spans="1:7" ht="15" customHeight="1">
      <c r="A121" s="141">
        <v>1</v>
      </c>
      <c r="B121" s="161" t="s">
        <v>410</v>
      </c>
      <c r="C121" s="146">
        <v>11753416</v>
      </c>
      <c r="D121" s="146">
        <v>13544648</v>
      </c>
      <c r="E121" s="146">
        <f aca="true" t="shared" si="8" ref="E121:E155">D121-C121</f>
        <v>1791232</v>
      </c>
      <c r="F121" s="150">
        <f aca="true" t="shared" si="9" ref="F121:F155">IF(C121=0,0,E121/C121)</f>
        <v>0.15240097006691503</v>
      </c>
      <c r="G121" s="155"/>
    </row>
    <row r="122" spans="1:7" ht="15" customHeight="1">
      <c r="A122" s="141">
        <v>2</v>
      </c>
      <c r="B122" s="161" t="s">
        <v>411</v>
      </c>
      <c r="C122" s="146">
        <v>1958410</v>
      </c>
      <c r="D122" s="146">
        <v>2210605</v>
      </c>
      <c r="E122" s="146">
        <f t="shared" si="8"/>
        <v>252195</v>
      </c>
      <c r="F122" s="150">
        <f t="shared" si="9"/>
        <v>0.128775384112622</v>
      </c>
      <c r="G122" s="155"/>
    </row>
    <row r="123" spans="1:7" ht="15" customHeight="1">
      <c r="A123" s="141">
        <v>3</v>
      </c>
      <c r="B123" s="161" t="s">
        <v>412</v>
      </c>
      <c r="C123" s="146">
        <v>422734</v>
      </c>
      <c r="D123" s="146">
        <v>505528</v>
      </c>
      <c r="E123" s="146">
        <f t="shared" si="8"/>
        <v>82794</v>
      </c>
      <c r="F123" s="150">
        <f t="shared" si="9"/>
        <v>0.1958536573826567</v>
      </c>
      <c r="G123" s="155"/>
    </row>
    <row r="124" spans="1:7" ht="15" customHeight="1">
      <c r="A124" s="141">
        <v>4</v>
      </c>
      <c r="B124" s="161" t="s">
        <v>413</v>
      </c>
      <c r="C124" s="146">
        <v>0</v>
      </c>
      <c r="D124" s="146">
        <v>0</v>
      </c>
      <c r="E124" s="146">
        <f t="shared" si="8"/>
        <v>0</v>
      </c>
      <c r="F124" s="150">
        <f t="shared" si="9"/>
        <v>0</v>
      </c>
      <c r="G124" s="155"/>
    </row>
    <row r="125" spans="1:7" ht="15" customHeight="1">
      <c r="A125" s="141">
        <v>5</v>
      </c>
      <c r="B125" s="161" t="s">
        <v>414</v>
      </c>
      <c r="C125" s="146">
        <v>5905248</v>
      </c>
      <c r="D125" s="146">
        <v>6006240</v>
      </c>
      <c r="E125" s="146">
        <f t="shared" si="8"/>
        <v>100992</v>
      </c>
      <c r="F125" s="150">
        <f t="shared" si="9"/>
        <v>0.017102075983938356</v>
      </c>
      <c r="G125" s="155"/>
    </row>
    <row r="126" spans="1:7" ht="15" customHeight="1">
      <c r="A126" s="141">
        <v>6</v>
      </c>
      <c r="B126" s="161" t="s">
        <v>415</v>
      </c>
      <c r="C126" s="146">
        <v>874102</v>
      </c>
      <c r="D126" s="146">
        <v>907305</v>
      </c>
      <c r="E126" s="146">
        <f t="shared" si="8"/>
        <v>33203</v>
      </c>
      <c r="F126" s="150">
        <f t="shared" si="9"/>
        <v>0.03798526945367932</v>
      </c>
      <c r="G126" s="155"/>
    </row>
    <row r="127" spans="1:7" ht="15" customHeight="1">
      <c r="A127" s="141">
        <v>7</v>
      </c>
      <c r="B127" s="161" t="s">
        <v>416</v>
      </c>
      <c r="C127" s="146">
        <v>2014322</v>
      </c>
      <c r="D127" s="146">
        <v>2141746</v>
      </c>
      <c r="E127" s="146">
        <f t="shared" si="8"/>
        <v>127424</v>
      </c>
      <c r="F127" s="150">
        <f t="shared" si="9"/>
        <v>0.0632590022846397</v>
      </c>
      <c r="G127" s="155"/>
    </row>
    <row r="128" spans="1:7" ht="15" customHeight="1">
      <c r="A128" s="141">
        <v>8</v>
      </c>
      <c r="B128" s="161" t="s">
        <v>417</v>
      </c>
      <c r="C128" s="146">
        <v>856560</v>
      </c>
      <c r="D128" s="146">
        <v>884454</v>
      </c>
      <c r="E128" s="146">
        <f t="shared" si="8"/>
        <v>27894</v>
      </c>
      <c r="F128" s="150">
        <f t="shared" si="9"/>
        <v>0.032565144298122725</v>
      </c>
      <c r="G128" s="155"/>
    </row>
    <row r="129" spans="1:7" ht="15" customHeight="1">
      <c r="A129" s="141">
        <v>9</v>
      </c>
      <c r="B129" s="161" t="s">
        <v>418</v>
      </c>
      <c r="C129" s="146">
        <v>1010564</v>
      </c>
      <c r="D129" s="146">
        <v>1022271</v>
      </c>
      <c r="E129" s="146">
        <f t="shared" si="8"/>
        <v>11707</v>
      </c>
      <c r="F129" s="150">
        <f t="shared" si="9"/>
        <v>0.01158462007354309</v>
      </c>
      <c r="G129" s="155"/>
    </row>
    <row r="130" spans="1:7" ht="15" customHeight="1">
      <c r="A130" s="141">
        <v>10</v>
      </c>
      <c r="B130" s="161" t="s">
        <v>419</v>
      </c>
      <c r="C130" s="146">
        <v>7113259</v>
      </c>
      <c r="D130" s="146">
        <v>7320195</v>
      </c>
      <c r="E130" s="146">
        <f t="shared" si="8"/>
        <v>206936</v>
      </c>
      <c r="F130" s="150">
        <f t="shared" si="9"/>
        <v>0.029091587976762832</v>
      </c>
      <c r="G130" s="155"/>
    </row>
    <row r="131" spans="1:7" ht="15" customHeight="1">
      <c r="A131" s="141">
        <v>11</v>
      </c>
      <c r="B131" s="161" t="s">
        <v>420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>
      <c r="A132" s="141">
        <v>12</v>
      </c>
      <c r="B132" s="161" t="s">
        <v>421</v>
      </c>
      <c r="C132" s="146">
        <v>0</v>
      </c>
      <c r="D132" s="146">
        <v>0</v>
      </c>
      <c r="E132" s="146">
        <f t="shared" si="8"/>
        <v>0</v>
      </c>
      <c r="F132" s="150">
        <f t="shared" si="9"/>
        <v>0</v>
      </c>
      <c r="G132" s="155"/>
    </row>
    <row r="133" spans="1:7" ht="15" customHeight="1">
      <c r="A133" s="141">
        <v>13</v>
      </c>
      <c r="B133" s="161" t="s">
        <v>422</v>
      </c>
      <c r="C133" s="146">
        <v>1012332</v>
      </c>
      <c r="D133" s="146">
        <v>1017664</v>
      </c>
      <c r="E133" s="146">
        <f t="shared" si="8"/>
        <v>5332</v>
      </c>
      <c r="F133" s="150">
        <f t="shared" si="9"/>
        <v>0.005267046779119894</v>
      </c>
      <c r="G133" s="155"/>
    </row>
    <row r="134" spans="1:7" ht="15" customHeight="1">
      <c r="A134" s="141">
        <v>14</v>
      </c>
      <c r="B134" s="161" t="s">
        <v>423</v>
      </c>
      <c r="C134" s="146">
        <v>0</v>
      </c>
      <c r="D134" s="146">
        <v>0</v>
      </c>
      <c r="E134" s="146">
        <f t="shared" si="8"/>
        <v>0</v>
      </c>
      <c r="F134" s="150">
        <f t="shared" si="9"/>
        <v>0</v>
      </c>
      <c r="G134" s="155"/>
    </row>
    <row r="135" spans="1:7" ht="15" customHeight="1">
      <c r="A135" s="141">
        <v>15</v>
      </c>
      <c r="B135" s="161" t="s">
        <v>424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>
      <c r="A136" s="141">
        <v>16</v>
      </c>
      <c r="B136" s="161" t="s">
        <v>425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>
      <c r="A137" s="141">
        <v>17</v>
      </c>
      <c r="B137" s="161" t="s">
        <v>426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>
      <c r="A138" s="141">
        <v>18</v>
      </c>
      <c r="B138" s="161" t="s">
        <v>427</v>
      </c>
      <c r="C138" s="146">
        <v>1107455</v>
      </c>
      <c r="D138" s="146">
        <v>1187367</v>
      </c>
      <c r="E138" s="146">
        <f t="shared" si="8"/>
        <v>79912</v>
      </c>
      <c r="F138" s="150">
        <f t="shared" si="9"/>
        <v>0.07215823667778826</v>
      </c>
      <c r="G138" s="155"/>
    </row>
    <row r="139" spans="1:7" ht="15" customHeight="1">
      <c r="A139" s="141">
        <v>19</v>
      </c>
      <c r="B139" s="161" t="s">
        <v>428</v>
      </c>
      <c r="C139" s="146">
        <v>93441</v>
      </c>
      <c r="D139" s="146">
        <v>85534</v>
      </c>
      <c r="E139" s="146">
        <f t="shared" si="8"/>
        <v>-7907</v>
      </c>
      <c r="F139" s="150">
        <f t="shared" si="9"/>
        <v>-0.0846202416498111</v>
      </c>
      <c r="G139" s="155"/>
    </row>
    <row r="140" spans="1:7" ht="15" customHeight="1">
      <c r="A140" s="141">
        <v>20</v>
      </c>
      <c r="B140" s="161" t="s">
        <v>429</v>
      </c>
      <c r="C140" s="146">
        <v>507083</v>
      </c>
      <c r="D140" s="146">
        <v>471889</v>
      </c>
      <c r="E140" s="146">
        <f t="shared" si="8"/>
        <v>-35194</v>
      </c>
      <c r="F140" s="150">
        <f t="shared" si="9"/>
        <v>-0.06940481144112502</v>
      </c>
      <c r="G140" s="155"/>
    </row>
    <row r="141" spans="1:7" ht="15" customHeight="1">
      <c r="A141" s="141">
        <v>21</v>
      </c>
      <c r="B141" s="161" t="s">
        <v>430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>
      <c r="A142" s="141">
        <v>22</v>
      </c>
      <c r="B142" s="161" t="s">
        <v>431</v>
      </c>
      <c r="C142" s="146">
        <v>0</v>
      </c>
      <c r="D142" s="146">
        <v>0</v>
      </c>
      <c r="E142" s="146">
        <f t="shared" si="8"/>
        <v>0</v>
      </c>
      <c r="F142" s="150">
        <f t="shared" si="9"/>
        <v>0</v>
      </c>
      <c r="G142" s="155"/>
    </row>
    <row r="143" spans="1:7" ht="15" customHeight="1">
      <c r="A143" s="141">
        <v>23</v>
      </c>
      <c r="B143" s="161" t="s">
        <v>432</v>
      </c>
      <c r="C143" s="146">
        <v>0</v>
      </c>
      <c r="D143" s="146">
        <v>0</v>
      </c>
      <c r="E143" s="146">
        <f t="shared" si="8"/>
        <v>0</v>
      </c>
      <c r="F143" s="150">
        <f t="shared" si="9"/>
        <v>0</v>
      </c>
      <c r="G143" s="155"/>
    </row>
    <row r="144" spans="1:7" ht="15" customHeight="1">
      <c r="A144" s="141">
        <v>24</v>
      </c>
      <c r="B144" s="161" t="s">
        <v>433</v>
      </c>
      <c r="C144" s="146">
        <v>10699397</v>
      </c>
      <c r="D144" s="146">
        <v>11725038</v>
      </c>
      <c r="E144" s="146">
        <f t="shared" si="8"/>
        <v>1025641</v>
      </c>
      <c r="F144" s="150">
        <f t="shared" si="9"/>
        <v>0.09585970125232292</v>
      </c>
      <c r="G144" s="155"/>
    </row>
    <row r="145" spans="1:7" ht="15" customHeight="1">
      <c r="A145" s="141">
        <v>25</v>
      </c>
      <c r="B145" s="161" t="s">
        <v>434</v>
      </c>
      <c r="C145" s="146">
        <v>1561002</v>
      </c>
      <c r="D145" s="146">
        <v>1420526</v>
      </c>
      <c r="E145" s="146">
        <f t="shared" si="8"/>
        <v>-140476</v>
      </c>
      <c r="F145" s="150">
        <f t="shared" si="9"/>
        <v>-0.08999091609107483</v>
      </c>
      <c r="G145" s="155"/>
    </row>
    <row r="146" spans="1:7" ht="15" customHeight="1">
      <c r="A146" s="141">
        <v>26</v>
      </c>
      <c r="B146" s="161" t="s">
        <v>435</v>
      </c>
      <c r="C146" s="146">
        <v>459595</v>
      </c>
      <c r="D146" s="146">
        <v>474645</v>
      </c>
      <c r="E146" s="146">
        <f t="shared" si="8"/>
        <v>15050</v>
      </c>
      <c r="F146" s="150">
        <f t="shared" si="9"/>
        <v>0.032746222217387044</v>
      </c>
      <c r="G146" s="155"/>
    </row>
    <row r="147" spans="1:7" ht="15" customHeight="1">
      <c r="A147" s="141">
        <v>27</v>
      </c>
      <c r="B147" s="161" t="s">
        <v>436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>
      <c r="A148" s="141">
        <v>28</v>
      </c>
      <c r="B148" s="161" t="s">
        <v>437</v>
      </c>
      <c r="C148" s="146">
        <v>2504398</v>
      </c>
      <c r="D148" s="146">
        <v>2521860</v>
      </c>
      <c r="E148" s="146">
        <f t="shared" si="8"/>
        <v>17462</v>
      </c>
      <c r="F148" s="150">
        <f t="shared" si="9"/>
        <v>0.006972533918330873</v>
      </c>
      <c r="G148" s="155"/>
    </row>
    <row r="149" spans="1:7" ht="15" customHeight="1">
      <c r="A149" s="141">
        <v>29</v>
      </c>
      <c r="B149" s="161" t="s">
        <v>438</v>
      </c>
      <c r="C149" s="146">
        <v>354666</v>
      </c>
      <c r="D149" s="146">
        <v>502762</v>
      </c>
      <c r="E149" s="146">
        <f t="shared" si="8"/>
        <v>148096</v>
      </c>
      <c r="F149" s="150">
        <f t="shared" si="9"/>
        <v>0.4175646946704787</v>
      </c>
      <c r="G149" s="155"/>
    </row>
    <row r="150" spans="1:7" ht="15" customHeight="1">
      <c r="A150" s="141">
        <v>30</v>
      </c>
      <c r="B150" s="161" t="s">
        <v>439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>
      <c r="A151" s="141">
        <v>31</v>
      </c>
      <c r="B151" s="161" t="s">
        <v>440</v>
      </c>
      <c r="C151" s="146">
        <v>102224</v>
      </c>
      <c r="D151" s="146">
        <v>122625</v>
      </c>
      <c r="E151" s="146">
        <f t="shared" si="8"/>
        <v>20401</v>
      </c>
      <c r="F151" s="150">
        <f t="shared" si="9"/>
        <v>0.19957152919079668</v>
      </c>
      <c r="G151" s="155"/>
    </row>
    <row r="152" spans="1:7" ht="15" customHeight="1">
      <c r="A152" s="141">
        <v>32</v>
      </c>
      <c r="B152" s="161" t="s">
        <v>441</v>
      </c>
      <c r="C152" s="146">
        <v>630749</v>
      </c>
      <c r="D152" s="146">
        <v>625080</v>
      </c>
      <c r="E152" s="146">
        <f t="shared" si="8"/>
        <v>-5669</v>
      </c>
      <c r="F152" s="150">
        <f t="shared" si="9"/>
        <v>-0.008987727289302083</v>
      </c>
      <c r="G152" s="155"/>
    </row>
    <row r="153" spans="1:7" ht="15" customHeight="1">
      <c r="A153" s="141">
        <v>33</v>
      </c>
      <c r="B153" s="161" t="s">
        <v>442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>
      <c r="A154" s="141">
        <v>34</v>
      </c>
      <c r="B154" s="161" t="s">
        <v>443</v>
      </c>
      <c r="C154" s="146">
        <v>1282648</v>
      </c>
      <c r="D154" s="146">
        <v>1605082</v>
      </c>
      <c r="E154" s="146">
        <f t="shared" si="8"/>
        <v>322434</v>
      </c>
      <c r="F154" s="150">
        <f t="shared" si="9"/>
        <v>0.2513815169867337</v>
      </c>
      <c r="G154" s="155"/>
    </row>
    <row r="155" spans="1:7" ht="15.75" customHeight="1">
      <c r="A155" s="141"/>
      <c r="B155" s="154" t="s">
        <v>444</v>
      </c>
      <c r="C155" s="147">
        <f>SUM(C121:C154)</f>
        <v>52223605</v>
      </c>
      <c r="D155" s="147">
        <f>SUM(D121:D154)</f>
        <v>56303064</v>
      </c>
      <c r="E155" s="147">
        <f t="shared" si="8"/>
        <v>4079459</v>
      </c>
      <c r="F155" s="148">
        <f t="shared" si="9"/>
        <v>0.07811523160838858</v>
      </c>
      <c r="G155" s="155"/>
    </row>
    <row r="156" spans="1:7" ht="15.75" customHeight="1">
      <c r="A156" s="141"/>
      <c r="B156" s="162"/>
      <c r="C156" s="146"/>
      <c r="D156" s="146"/>
      <c r="E156" s="147"/>
      <c r="F156" s="160"/>
      <c r="G156" s="155"/>
    </row>
    <row r="157" spans="1:7" ht="15.75" customHeight="1">
      <c r="A157" s="144" t="s">
        <v>329</v>
      </c>
      <c r="B157" s="145" t="s">
        <v>445</v>
      </c>
      <c r="C157" s="146"/>
      <c r="D157" s="146"/>
      <c r="E157" s="147"/>
      <c r="F157" s="160"/>
      <c r="G157" s="155"/>
    </row>
    <row r="158" spans="1:7" ht="15" customHeight="1">
      <c r="A158" s="141">
        <v>1</v>
      </c>
      <c r="B158" s="161" t="s">
        <v>446</v>
      </c>
      <c r="C158" s="146">
        <v>16314037</v>
      </c>
      <c r="D158" s="146">
        <v>16929652</v>
      </c>
      <c r="E158" s="146">
        <f aca="true" t="shared" si="10" ref="E158:E171">D158-C158</f>
        <v>615615</v>
      </c>
      <c r="F158" s="150">
        <f aca="true" t="shared" si="11" ref="F158:F171">IF(C158=0,0,E158/C158)</f>
        <v>0.037735295071354806</v>
      </c>
      <c r="G158" s="155"/>
    </row>
    <row r="159" spans="1:7" ht="15" customHeight="1">
      <c r="A159" s="141">
        <v>2</v>
      </c>
      <c r="B159" s="161" t="s">
        <v>447</v>
      </c>
      <c r="C159" s="146">
        <v>0</v>
      </c>
      <c r="D159" s="146">
        <v>0</v>
      </c>
      <c r="E159" s="146">
        <f t="shared" si="10"/>
        <v>0</v>
      </c>
      <c r="F159" s="150">
        <f t="shared" si="11"/>
        <v>0</v>
      </c>
      <c r="G159" s="155"/>
    </row>
    <row r="160" spans="1:7" ht="15" customHeight="1">
      <c r="A160" s="141">
        <v>3</v>
      </c>
      <c r="B160" s="161" t="s">
        <v>448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>
      <c r="A161" s="141">
        <v>4</v>
      </c>
      <c r="B161" s="161" t="s">
        <v>449</v>
      </c>
      <c r="C161" s="146">
        <v>2330105</v>
      </c>
      <c r="D161" s="146">
        <v>2142940</v>
      </c>
      <c r="E161" s="146">
        <f t="shared" si="10"/>
        <v>-187165</v>
      </c>
      <c r="F161" s="150">
        <f t="shared" si="11"/>
        <v>-0.08032470639735119</v>
      </c>
      <c r="G161" s="155"/>
    </row>
    <row r="162" spans="1:7" ht="15" customHeight="1">
      <c r="A162" s="141">
        <v>5</v>
      </c>
      <c r="B162" s="161" t="s">
        <v>450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>
      <c r="A163" s="141">
        <v>6</v>
      </c>
      <c r="B163" s="161" t="s">
        <v>451</v>
      </c>
      <c r="C163" s="146">
        <v>4161544</v>
      </c>
      <c r="D163" s="146">
        <v>4187370</v>
      </c>
      <c r="E163" s="146">
        <f t="shared" si="10"/>
        <v>25826</v>
      </c>
      <c r="F163" s="150">
        <f t="shared" si="11"/>
        <v>0.006205869744498676</v>
      </c>
      <c r="G163" s="155"/>
    </row>
    <row r="164" spans="1:7" ht="15" customHeight="1">
      <c r="A164" s="141">
        <v>7</v>
      </c>
      <c r="B164" s="161" t="s">
        <v>452</v>
      </c>
      <c r="C164" s="146">
        <v>0</v>
      </c>
      <c r="D164" s="146">
        <v>0</v>
      </c>
      <c r="E164" s="146">
        <f t="shared" si="10"/>
        <v>0</v>
      </c>
      <c r="F164" s="150">
        <f t="shared" si="11"/>
        <v>0</v>
      </c>
      <c r="G164" s="155"/>
    </row>
    <row r="165" spans="1:7" ht="15" customHeight="1">
      <c r="A165" s="141">
        <v>8</v>
      </c>
      <c r="B165" s="161" t="s">
        <v>453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>
      <c r="A166" s="141">
        <v>9</v>
      </c>
      <c r="B166" s="161" t="s">
        <v>454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>
      <c r="A167" s="141">
        <v>10</v>
      </c>
      <c r="B167" s="161" t="s">
        <v>455</v>
      </c>
      <c r="C167" s="146">
        <v>0</v>
      </c>
      <c r="D167" s="146">
        <v>0</v>
      </c>
      <c r="E167" s="146">
        <f t="shared" si="10"/>
        <v>0</v>
      </c>
      <c r="F167" s="150">
        <f t="shared" si="11"/>
        <v>0</v>
      </c>
      <c r="G167" s="155"/>
    </row>
    <row r="168" spans="1:7" ht="15" customHeight="1">
      <c r="A168" s="141">
        <v>11</v>
      </c>
      <c r="B168" s="161" t="s">
        <v>456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>
      <c r="A169" s="141">
        <v>12</v>
      </c>
      <c r="B169" s="161" t="s">
        <v>457</v>
      </c>
      <c r="C169" s="146">
        <v>0</v>
      </c>
      <c r="D169" s="146">
        <v>0</v>
      </c>
      <c r="E169" s="146">
        <f t="shared" si="10"/>
        <v>0</v>
      </c>
      <c r="F169" s="150">
        <f t="shared" si="11"/>
        <v>0</v>
      </c>
      <c r="G169" s="155"/>
    </row>
    <row r="170" spans="1:7" ht="15" customHeight="1">
      <c r="A170" s="141">
        <v>13</v>
      </c>
      <c r="B170" s="161" t="s">
        <v>458</v>
      </c>
      <c r="C170" s="146">
        <v>0</v>
      </c>
      <c r="D170" s="146">
        <v>0</v>
      </c>
      <c r="E170" s="146">
        <f t="shared" si="10"/>
        <v>0</v>
      </c>
      <c r="F170" s="150">
        <f t="shared" si="11"/>
        <v>0</v>
      </c>
      <c r="G170" s="155"/>
    </row>
    <row r="171" spans="1:7" ht="15.75" customHeight="1">
      <c r="A171" s="141"/>
      <c r="B171" s="154" t="s">
        <v>459</v>
      </c>
      <c r="C171" s="147">
        <f>SUM(C158:C170)</f>
        <v>22805686</v>
      </c>
      <c r="D171" s="147">
        <f>SUM(D158:D170)</f>
        <v>23259962</v>
      </c>
      <c r="E171" s="147">
        <f t="shared" si="10"/>
        <v>454276</v>
      </c>
      <c r="F171" s="148">
        <f t="shared" si="11"/>
        <v>0.019919418341548683</v>
      </c>
      <c r="G171" s="155"/>
    </row>
    <row r="172" spans="1:7" ht="15.75" customHeight="1">
      <c r="A172" s="141"/>
      <c r="B172" s="162"/>
      <c r="C172" s="146"/>
      <c r="D172" s="146"/>
      <c r="E172" s="147"/>
      <c r="F172" s="160"/>
      <c r="G172" s="155"/>
    </row>
    <row r="173" spans="1:7" ht="15.75" customHeight="1">
      <c r="A173" s="144" t="s">
        <v>334</v>
      </c>
      <c r="B173" s="145" t="s">
        <v>460</v>
      </c>
      <c r="C173" s="146"/>
      <c r="D173" s="146"/>
      <c r="E173" s="147"/>
      <c r="F173" s="160"/>
      <c r="G173" s="155"/>
    </row>
    <row r="174" spans="1:7" ht="15" customHeight="1">
      <c r="A174" s="141">
        <v>1</v>
      </c>
      <c r="B174" s="161" t="s">
        <v>461</v>
      </c>
      <c r="C174" s="146">
        <v>0</v>
      </c>
      <c r="D174" s="146">
        <v>0</v>
      </c>
      <c r="E174" s="146">
        <f>D174-C174</f>
        <v>0</v>
      </c>
      <c r="F174" s="150">
        <f>IF(C174=0,0,E174/C174)</f>
        <v>0</v>
      </c>
      <c r="G174" s="155"/>
    </row>
    <row r="175" spans="1:7" ht="15.75" customHeight="1">
      <c r="A175" s="141"/>
      <c r="B175" s="162"/>
      <c r="C175" s="146"/>
      <c r="D175" s="146"/>
      <c r="E175" s="147"/>
      <c r="F175" s="160"/>
      <c r="G175" s="155"/>
    </row>
    <row r="176" spans="1:7" ht="15.75" customHeight="1">
      <c r="A176" s="153"/>
      <c r="B176" s="154" t="s">
        <v>462</v>
      </c>
      <c r="C176" s="147">
        <f>+C174+C171+C155+C118+C109</f>
        <v>167113696</v>
      </c>
      <c r="D176" s="147">
        <f>+D174+D171+D155+D118+D109</f>
        <v>173269841</v>
      </c>
      <c r="E176" s="147">
        <f>D176-C176</f>
        <v>6156145</v>
      </c>
      <c r="F176" s="148">
        <f>IF(C176=0,0,E176/C176)</f>
        <v>0.036838063829310555</v>
      </c>
      <c r="G176" s="155"/>
    </row>
    <row r="177" spans="1:7" ht="15.75" customHeight="1">
      <c r="A177" s="153"/>
      <c r="B177" s="162"/>
      <c r="C177" s="146"/>
      <c r="D177" s="146"/>
      <c r="E177" s="147"/>
      <c r="F177" s="148"/>
      <c r="G177" s="155"/>
    </row>
    <row r="178" spans="1:7" ht="15.75" customHeight="1">
      <c r="A178" s="153"/>
      <c r="B178" s="157" t="s">
        <v>463</v>
      </c>
      <c r="C178" s="146"/>
      <c r="D178" s="146"/>
      <c r="E178" s="147"/>
      <c r="F178" s="148"/>
      <c r="G178" s="155"/>
    </row>
    <row r="179" spans="1:7" ht="15" customHeight="1">
      <c r="A179" s="153"/>
      <c r="B179" s="162"/>
      <c r="C179" s="163"/>
      <c r="D179" s="163"/>
      <c r="E179" s="163"/>
      <c r="F179" s="163"/>
      <c r="G179" s="155"/>
    </row>
  </sheetData>
  <sheetProtection/>
  <printOptions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FILING&amp;RMIDSTATE MEDICAL CENTER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92"/>
  <sheetViews>
    <sheetView zoomScale="85" zoomScaleNormal="85" zoomScalePageLayoutView="0" workbookViewId="0" topLeftCell="A1">
      <selection activeCell="A1" sqref="A1"/>
    </sheetView>
  </sheetViews>
  <sheetFormatPr defaultColWidth="9.140625" defaultRowHeight="24" customHeight="1"/>
  <cols>
    <col min="1" max="1" width="7.7109375" style="1" customWidth="1"/>
    <col min="2" max="2" width="63.00390625" style="1" customWidth="1"/>
    <col min="3" max="4" width="21.8515625" style="1" customWidth="1"/>
    <col min="5" max="6" width="21.8515625" style="2" customWidth="1"/>
    <col min="7" max="16384" width="9.140625" style="1" customWidth="1"/>
  </cols>
  <sheetData>
    <row r="1" spans="1:6" ht="24" customHeight="1">
      <c r="A1" s="21"/>
      <c r="B1" s="3" t="s">
        <v>158</v>
      </c>
      <c r="C1" s="3"/>
      <c r="D1" s="3"/>
      <c r="E1" s="4"/>
      <c r="F1" s="5"/>
    </row>
    <row r="2" spans="1:6" ht="24" customHeight="1">
      <c r="A2" s="35"/>
      <c r="B2" s="3" t="s">
        <v>159</v>
      </c>
      <c r="C2" s="3"/>
      <c r="D2" s="3"/>
      <c r="E2" s="4"/>
      <c r="F2" s="5"/>
    </row>
    <row r="3" spans="1:6" ht="24" customHeight="1">
      <c r="A3" s="35"/>
      <c r="B3" s="3" t="s">
        <v>160</v>
      </c>
      <c r="C3" s="3"/>
      <c r="D3" s="3"/>
      <c r="E3" s="4"/>
      <c r="F3" s="5"/>
    </row>
    <row r="4" spans="1:6" ht="24" customHeight="1">
      <c r="A4" s="35"/>
      <c r="B4" s="3" t="s">
        <v>464</v>
      </c>
      <c r="C4" s="4"/>
      <c r="D4" s="4"/>
      <c r="E4" s="4"/>
      <c r="F4" s="5"/>
    </row>
    <row r="5" spans="1:6" ht="24" customHeight="1">
      <c r="A5" s="35"/>
      <c r="B5" s="3"/>
      <c r="C5" s="3"/>
      <c r="D5" s="3"/>
      <c r="E5" s="4"/>
      <c r="F5" s="5"/>
    </row>
    <row r="6" spans="1:6" ht="24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>
      <c r="A7" s="11"/>
      <c r="B7" s="9"/>
      <c r="C7" s="11" t="s">
        <v>168</v>
      </c>
      <c r="D7" s="11" t="s">
        <v>168</v>
      </c>
      <c r="E7" s="11" t="s">
        <v>168</v>
      </c>
      <c r="F7" s="11"/>
    </row>
    <row r="8" spans="1:6" ht="24" customHeight="1">
      <c r="A8" s="13" t="s">
        <v>166</v>
      </c>
      <c r="B8" s="16" t="s">
        <v>167</v>
      </c>
      <c r="C8" s="13" t="s">
        <v>465</v>
      </c>
      <c r="D8" s="13" t="s">
        <v>162</v>
      </c>
      <c r="E8" s="13" t="s">
        <v>163</v>
      </c>
      <c r="F8" s="13"/>
    </row>
    <row r="9" spans="1:6" ht="24" customHeight="1">
      <c r="A9" s="13"/>
      <c r="B9" s="16"/>
      <c r="C9" s="13"/>
      <c r="D9" s="13"/>
      <c r="E9" s="13"/>
      <c r="F9" s="13"/>
    </row>
    <row r="10" spans="1:6" ht="24" customHeight="1">
      <c r="A10" s="20" t="s">
        <v>172</v>
      </c>
      <c r="B10" s="30" t="s">
        <v>466</v>
      </c>
      <c r="C10" s="27"/>
      <c r="D10" s="27"/>
      <c r="E10" s="53"/>
      <c r="F10" s="13"/>
    </row>
    <row r="11" spans="1:6" ht="24" customHeight="1">
      <c r="A11" s="44">
        <v>1</v>
      </c>
      <c r="B11" s="48" t="s">
        <v>233</v>
      </c>
      <c r="C11" s="51">
        <v>154243792</v>
      </c>
      <c r="D11" s="164">
        <v>166466604</v>
      </c>
      <c r="E11" s="51">
        <v>172470335</v>
      </c>
      <c r="F11" s="13"/>
    </row>
    <row r="12" spans="1:6" ht="24" customHeight="1">
      <c r="A12" s="44">
        <v>2</v>
      </c>
      <c r="B12" s="165" t="s">
        <v>467</v>
      </c>
      <c r="C12" s="49">
        <v>5745078</v>
      </c>
      <c r="D12" s="49">
        <v>5307321</v>
      </c>
      <c r="E12" s="49">
        <v>6514587</v>
      </c>
      <c r="F12" s="13"/>
    </row>
    <row r="13" spans="1:6" ht="24" customHeight="1">
      <c r="A13" s="44">
        <v>3</v>
      </c>
      <c r="B13" s="48" t="s">
        <v>236</v>
      </c>
      <c r="C13" s="51">
        <f>+C11+C12</f>
        <v>159988870</v>
      </c>
      <c r="D13" s="51">
        <f>+D11+D12</f>
        <v>171773925</v>
      </c>
      <c r="E13" s="51">
        <f>+E11+E12</f>
        <v>178984922</v>
      </c>
      <c r="F13" s="13"/>
    </row>
    <row r="14" spans="1:6" ht="24" customHeight="1">
      <c r="A14" s="44">
        <v>4</v>
      </c>
      <c r="B14" s="166" t="s">
        <v>247</v>
      </c>
      <c r="C14" s="49">
        <v>153965816</v>
      </c>
      <c r="D14" s="49">
        <v>167113696</v>
      </c>
      <c r="E14" s="49">
        <v>173269841</v>
      </c>
      <c r="F14" s="13"/>
    </row>
    <row r="15" spans="1:6" ht="24" customHeight="1">
      <c r="A15" s="44">
        <v>5</v>
      </c>
      <c r="B15" s="48" t="s">
        <v>248</v>
      </c>
      <c r="C15" s="51">
        <f>+C13-C14</f>
        <v>6023054</v>
      </c>
      <c r="D15" s="51">
        <f>+D13-D14</f>
        <v>4660229</v>
      </c>
      <c r="E15" s="51">
        <f>+E13-E14</f>
        <v>5715081</v>
      </c>
      <c r="F15" s="13"/>
    </row>
    <row r="16" spans="1:6" ht="24" customHeight="1">
      <c r="A16" s="44">
        <v>6</v>
      </c>
      <c r="B16" s="166" t="s">
        <v>253</v>
      </c>
      <c r="C16" s="49">
        <v>2837373</v>
      </c>
      <c r="D16" s="49">
        <v>-908510</v>
      </c>
      <c r="E16" s="49">
        <v>-345750</v>
      </c>
      <c r="F16" s="13"/>
    </row>
    <row r="17" spans="1:6" ht="24" customHeight="1">
      <c r="A17" s="44">
        <v>7</v>
      </c>
      <c r="B17" s="45" t="s">
        <v>468</v>
      </c>
      <c r="C17" s="51">
        <f>C15+C16</f>
        <v>8860427</v>
      </c>
      <c r="D17" s="51">
        <f>D15+D16</f>
        <v>3751719</v>
      </c>
      <c r="E17" s="51">
        <f>E15+E16</f>
        <v>5369331</v>
      </c>
      <c r="F17" s="13"/>
    </row>
    <row r="18" spans="1:6" ht="24" customHeight="1">
      <c r="A18" s="44"/>
      <c r="B18" s="30"/>
      <c r="C18" s="167"/>
      <c r="D18" s="167"/>
      <c r="E18" s="168"/>
      <c r="F18" s="13"/>
    </row>
    <row r="19" spans="1:6" ht="24" customHeight="1">
      <c r="A19" s="20" t="s">
        <v>184</v>
      </c>
      <c r="B19" s="30" t="s">
        <v>469</v>
      </c>
      <c r="C19" s="27"/>
      <c r="D19" s="27"/>
      <c r="E19" s="53"/>
      <c r="F19" s="13"/>
    </row>
    <row r="20" spans="1:6" ht="24" customHeight="1">
      <c r="A20" s="25">
        <v>1</v>
      </c>
      <c r="B20" s="48" t="s">
        <v>470</v>
      </c>
      <c r="C20" s="169">
        <f>IF(+C27=0,0,+C24/+C27)</f>
        <v>0.036990683375283676</v>
      </c>
      <c r="D20" s="169">
        <f>IF(+D27=0,0,+D24/+D27)</f>
        <v>0.02727426729394009</v>
      </c>
      <c r="E20" s="169">
        <f>IF(+E27=0,0,+E24/+E27)</f>
        <v>0.031992316892288326</v>
      </c>
      <c r="F20" s="13"/>
    </row>
    <row r="21" spans="1:6" ht="24" customHeight="1">
      <c r="A21" s="25">
        <v>2</v>
      </c>
      <c r="B21" s="48" t="s">
        <v>471</v>
      </c>
      <c r="C21" s="169">
        <f>IF(C27=0,0,+C26/C27)</f>
        <v>0.0174257720851546</v>
      </c>
      <c r="D21" s="169">
        <f>IF(D27=0,0,+D26/D27)</f>
        <v>-0.005317108789979529</v>
      </c>
      <c r="E21" s="169">
        <f>IF(E27=0,0,+E26/E27)</f>
        <v>-0.0019354657555174964</v>
      </c>
      <c r="F21" s="13"/>
    </row>
    <row r="22" spans="1:6" ht="24" customHeight="1">
      <c r="A22" s="25">
        <v>3</v>
      </c>
      <c r="B22" s="48" t="s">
        <v>472</v>
      </c>
      <c r="C22" s="169">
        <f>IF(C27=0,0,+C28/C27)</f>
        <v>0.05441645546043828</v>
      </c>
      <c r="D22" s="169">
        <f>IF(D27=0,0,+D28/D27)</f>
        <v>0.021957158503960558</v>
      </c>
      <c r="E22" s="169">
        <f>IF(E27=0,0,+E28/E27)</f>
        <v>0.03005685113677083</v>
      </c>
      <c r="F22" s="13"/>
    </row>
    <row r="23" spans="1:6" ht="24" customHeight="1">
      <c r="A23" s="21"/>
      <c r="B23" s="48"/>
      <c r="C23" s="169"/>
      <c r="D23" s="169"/>
      <c r="E23" s="169"/>
      <c r="F23" s="13"/>
    </row>
    <row r="24" spans="1:6" ht="24" customHeight="1">
      <c r="A24" s="21">
        <v>4</v>
      </c>
      <c r="B24" s="48" t="s">
        <v>248</v>
      </c>
      <c r="C24" s="51">
        <f>+C15</f>
        <v>6023054</v>
      </c>
      <c r="D24" s="51">
        <f>+D15</f>
        <v>4660229</v>
      </c>
      <c r="E24" s="51">
        <f>+E15</f>
        <v>5715081</v>
      </c>
      <c r="F24" s="13"/>
    </row>
    <row r="25" spans="1:6" ht="24" customHeight="1">
      <c r="A25" s="21">
        <v>5</v>
      </c>
      <c r="B25" s="48" t="s">
        <v>236</v>
      </c>
      <c r="C25" s="51">
        <f>+C13</f>
        <v>159988870</v>
      </c>
      <c r="D25" s="51">
        <f>+D13</f>
        <v>171773925</v>
      </c>
      <c r="E25" s="51">
        <f>+E13</f>
        <v>178984922</v>
      </c>
      <c r="F25" s="13"/>
    </row>
    <row r="26" spans="1:6" ht="24" customHeight="1">
      <c r="A26" s="21">
        <v>6</v>
      </c>
      <c r="B26" s="48" t="s">
        <v>253</v>
      </c>
      <c r="C26" s="51">
        <f>+C16</f>
        <v>2837373</v>
      </c>
      <c r="D26" s="51">
        <f>+D16</f>
        <v>-908510</v>
      </c>
      <c r="E26" s="51">
        <f>+E16</f>
        <v>-345750</v>
      </c>
      <c r="F26" s="13"/>
    </row>
    <row r="27" spans="1:6" ht="24" customHeight="1">
      <c r="A27" s="21">
        <v>7</v>
      </c>
      <c r="B27" s="48" t="s">
        <v>473</v>
      </c>
      <c r="C27" s="51">
        <f>+C25+C26</f>
        <v>162826243</v>
      </c>
      <c r="D27" s="51">
        <f>+D25+D26</f>
        <v>170865415</v>
      </c>
      <c r="E27" s="51">
        <f>+E25+E26</f>
        <v>178639172</v>
      </c>
      <c r="F27" s="13"/>
    </row>
    <row r="28" spans="1:6" ht="24" customHeight="1">
      <c r="A28" s="21">
        <v>8</v>
      </c>
      <c r="B28" s="45" t="s">
        <v>468</v>
      </c>
      <c r="C28" s="51">
        <f>+C17</f>
        <v>8860427</v>
      </c>
      <c r="D28" s="51">
        <f>+D17</f>
        <v>3751719</v>
      </c>
      <c r="E28" s="51">
        <f>+E17</f>
        <v>5369331</v>
      </c>
      <c r="F28" s="13"/>
    </row>
    <row r="29" spans="1:6" ht="24" customHeight="1">
      <c r="A29" s="170"/>
      <c r="B29" s="48"/>
      <c r="C29" s="51"/>
      <c r="D29" s="51"/>
      <c r="E29" s="51"/>
      <c r="F29" s="13"/>
    </row>
    <row r="30" spans="1:6" ht="24" customHeight="1">
      <c r="A30" s="20" t="s">
        <v>194</v>
      </c>
      <c r="B30" s="41" t="s">
        <v>474</v>
      </c>
      <c r="C30" s="27"/>
      <c r="D30" s="27"/>
      <c r="E30" s="53"/>
      <c r="F30" s="13"/>
    </row>
    <row r="31" spans="1:6" ht="24" customHeight="1">
      <c r="A31" s="25">
        <v>1</v>
      </c>
      <c r="B31" s="22" t="s">
        <v>475</v>
      </c>
      <c r="C31" s="51">
        <v>68816228</v>
      </c>
      <c r="D31" s="51">
        <v>63218152</v>
      </c>
      <c r="E31" s="51">
        <v>48490546</v>
      </c>
      <c r="F31" s="13"/>
    </row>
    <row r="32" spans="1:6" ht="24" customHeight="1">
      <c r="A32" s="25">
        <v>2</v>
      </c>
      <c r="B32" s="48" t="s">
        <v>476</v>
      </c>
      <c r="C32" s="51">
        <v>77200784</v>
      </c>
      <c r="D32" s="51">
        <v>71309938</v>
      </c>
      <c r="E32" s="51">
        <v>54907397</v>
      </c>
      <c r="F32" s="13"/>
    </row>
    <row r="33" spans="1:6" ht="24" customHeight="1">
      <c r="A33" s="25">
        <v>3</v>
      </c>
      <c r="B33" s="48" t="s">
        <v>477</v>
      </c>
      <c r="C33" s="51">
        <v>77200784</v>
      </c>
      <c r="D33" s="51">
        <f>+D32-C32</f>
        <v>-5890846</v>
      </c>
      <c r="E33" s="51">
        <f>+E32-D32</f>
        <v>-16402541</v>
      </c>
      <c r="F33" s="5"/>
    </row>
    <row r="34" spans="1:6" ht="24" customHeight="1">
      <c r="A34" s="25">
        <v>4</v>
      </c>
      <c r="B34" s="48" t="s">
        <v>478</v>
      </c>
      <c r="C34" s="171">
        <v>0</v>
      </c>
      <c r="D34" s="171">
        <f>IF(C32=0,0,+D33/C32)</f>
        <v>-0.07630552042062164</v>
      </c>
      <c r="E34" s="171">
        <f>IF(D32=0,0,+E33/D32)</f>
        <v>-0.23001760287605355</v>
      </c>
      <c r="F34" s="5"/>
    </row>
    <row r="35" spans="1:6" ht="24" customHeight="1">
      <c r="A35" s="170"/>
      <c r="B35" s="26"/>
      <c r="C35" s="27"/>
      <c r="D35" s="27"/>
      <c r="E35" s="53"/>
      <c r="F35" s="5"/>
    </row>
    <row r="36" spans="1:6" ht="24" customHeight="1">
      <c r="A36" s="20" t="s">
        <v>479</v>
      </c>
      <c r="B36" s="41" t="s">
        <v>480</v>
      </c>
      <c r="C36" s="4"/>
      <c r="D36" s="4"/>
      <c r="E36" s="4"/>
      <c r="F36" s="5"/>
    </row>
    <row r="37" spans="1:6" ht="24" customHeight="1">
      <c r="A37" s="20"/>
      <c r="B37" s="41"/>
      <c r="C37" s="4"/>
      <c r="D37" s="4"/>
      <c r="E37" s="4"/>
      <c r="F37" s="5"/>
    </row>
    <row r="38" spans="1:6" ht="24" customHeight="1">
      <c r="A38" s="29">
        <v>1</v>
      </c>
      <c r="B38" s="30" t="s">
        <v>481</v>
      </c>
      <c r="C38" s="172">
        <f>IF((C40+C41)=0,0,+C39/(C40+C41))</f>
        <v>0.47232804858472777</v>
      </c>
      <c r="D38" s="172">
        <f>IF((D40+D41)=0,0,+D39/(D40+D41))</f>
        <v>0.476456352374268</v>
      </c>
      <c r="E38" s="172">
        <f>IF((E40+E41)=0,0,+E39/(E40+E41))</f>
        <v>0.48922976912484273</v>
      </c>
      <c r="F38" s="5"/>
    </row>
    <row r="39" spans="1:6" ht="24" customHeight="1">
      <c r="A39" s="21">
        <v>2</v>
      </c>
      <c r="B39" s="48" t="s">
        <v>482</v>
      </c>
      <c r="C39" s="51">
        <v>146150404</v>
      </c>
      <c r="D39" s="51">
        <v>159022197</v>
      </c>
      <c r="E39" s="23">
        <v>173269841</v>
      </c>
      <c r="F39" s="5"/>
    </row>
    <row r="40" spans="1:6" ht="24" customHeight="1">
      <c r="A40" s="21">
        <v>3</v>
      </c>
      <c r="B40" s="48" t="s">
        <v>483</v>
      </c>
      <c r="C40" s="51">
        <v>304867118</v>
      </c>
      <c r="D40" s="51">
        <v>328452941</v>
      </c>
      <c r="E40" s="23">
        <v>347627051</v>
      </c>
      <c r="F40" s="5"/>
    </row>
    <row r="41" spans="1:6" ht="24" customHeight="1">
      <c r="A41" s="21">
        <v>4</v>
      </c>
      <c r="B41" s="48" t="s">
        <v>484</v>
      </c>
      <c r="C41" s="51">
        <v>4558512</v>
      </c>
      <c r="D41" s="51">
        <v>5307321</v>
      </c>
      <c r="E41" s="23">
        <v>6541587</v>
      </c>
      <c r="F41" s="5"/>
    </row>
    <row r="42" spans="1:6" ht="24" customHeight="1">
      <c r="A42" s="170"/>
      <c r="B42" s="48"/>
      <c r="C42" s="3"/>
      <c r="D42" s="3"/>
      <c r="E42" s="4"/>
      <c r="F42" s="5"/>
    </row>
    <row r="43" spans="1:6" ht="24" customHeight="1">
      <c r="A43" s="29">
        <v>5</v>
      </c>
      <c r="B43" s="30" t="s">
        <v>485</v>
      </c>
      <c r="C43" s="173">
        <f>IF(C38=0,0,IF((C46-C47)=0,0,((+C44-C45)/(C46-C47)/C38)))</f>
        <v>1.4857438533986038</v>
      </c>
      <c r="D43" s="173">
        <f>IF(D38=0,0,IF((D46-D47)=0,0,((+D44-D45)/(D46-D47)/D38)))</f>
        <v>1.4365157290347408</v>
      </c>
      <c r="E43" s="173">
        <f>IF(E38=0,0,IF((E46-E47)=0,0,((+E44-E45)/(E46-E47)/E38)))</f>
        <v>1.3924385398474355</v>
      </c>
      <c r="F43" s="5"/>
    </row>
    <row r="44" spans="1:6" ht="24" customHeight="1">
      <c r="A44" s="21">
        <v>6</v>
      </c>
      <c r="B44" s="48" t="s">
        <v>486</v>
      </c>
      <c r="C44" s="51">
        <v>82151566</v>
      </c>
      <c r="D44" s="51">
        <v>83772490</v>
      </c>
      <c r="E44" s="23">
        <v>87968614</v>
      </c>
      <c r="F44" s="5"/>
    </row>
    <row r="45" spans="1:6" ht="24" customHeight="1">
      <c r="A45" s="21">
        <v>7</v>
      </c>
      <c r="B45" s="48" t="s">
        <v>487</v>
      </c>
      <c r="C45" s="51">
        <v>462214</v>
      </c>
      <c r="D45" s="51">
        <v>478208</v>
      </c>
      <c r="E45" s="23">
        <v>495336</v>
      </c>
      <c r="F45" s="5"/>
    </row>
    <row r="46" spans="1:6" ht="24" customHeight="1">
      <c r="A46" s="21">
        <v>8</v>
      </c>
      <c r="B46" s="48" t="s">
        <v>488</v>
      </c>
      <c r="C46" s="51">
        <v>125733439</v>
      </c>
      <c r="D46" s="51">
        <v>132543662</v>
      </c>
      <c r="E46" s="23">
        <v>139391778</v>
      </c>
      <c r="F46" s="5"/>
    </row>
    <row r="47" spans="1:6" ht="24" customHeight="1">
      <c r="A47" s="21">
        <v>9</v>
      </c>
      <c r="B47" s="48" t="s">
        <v>489</v>
      </c>
      <c r="C47" s="51">
        <v>9326794</v>
      </c>
      <c r="D47" s="51">
        <v>10846155</v>
      </c>
      <c r="E47" s="174">
        <v>10985431</v>
      </c>
      <c r="F47" s="5"/>
    </row>
    <row r="48" spans="1:6" ht="24" customHeight="1">
      <c r="A48" s="170"/>
      <c r="B48" s="48"/>
      <c r="C48" s="3"/>
      <c r="D48" s="3"/>
      <c r="E48" s="4"/>
      <c r="F48" s="5"/>
    </row>
    <row r="49" spans="1:6" ht="24" customHeight="1">
      <c r="A49" s="29">
        <v>10</v>
      </c>
      <c r="B49" s="30" t="s">
        <v>490</v>
      </c>
      <c r="C49" s="175">
        <f>IF(C38=0,0,IF(C51=0,0,(C50/C51)/C38))</f>
        <v>0.847759250789152</v>
      </c>
      <c r="D49" s="175">
        <f>IF(D38=0,0,IF(D51=0,0,(D50/D51)/D38))</f>
        <v>0.8476603559966289</v>
      </c>
      <c r="E49" s="175">
        <f>IF(E38=0,0,IF(E51=0,0,(E50/E51)/E38))</f>
        <v>0.7976304355026772</v>
      </c>
      <c r="F49" s="7"/>
    </row>
    <row r="50" spans="1:6" ht="24" customHeight="1">
      <c r="A50" s="21">
        <v>11</v>
      </c>
      <c r="B50" s="48" t="s">
        <v>491</v>
      </c>
      <c r="C50" s="176">
        <v>57444132</v>
      </c>
      <c r="D50" s="176">
        <v>62007684</v>
      </c>
      <c r="E50" s="176">
        <v>62393615</v>
      </c>
      <c r="F50" s="11"/>
    </row>
    <row r="51" spans="1:6" ht="24" customHeight="1">
      <c r="A51" s="21">
        <v>12</v>
      </c>
      <c r="B51" s="48" t="s">
        <v>492</v>
      </c>
      <c r="C51" s="176">
        <v>143459528</v>
      </c>
      <c r="D51" s="176">
        <v>153532569</v>
      </c>
      <c r="E51" s="176">
        <v>159891566</v>
      </c>
      <c r="F51" s="11"/>
    </row>
    <row r="52" spans="1:6" ht="24" customHeight="1">
      <c r="A52" s="170"/>
      <c r="B52" s="48"/>
      <c r="C52" s="11"/>
      <c r="D52" s="11"/>
      <c r="E52" s="11"/>
      <c r="F52" s="11"/>
    </row>
    <row r="53" spans="1:6" ht="24" customHeight="1">
      <c r="A53" s="29">
        <v>13</v>
      </c>
      <c r="B53" s="30" t="s">
        <v>493</v>
      </c>
      <c r="C53" s="175">
        <f>IF(C38=0,0,IF(C55=0,0,(C54/C55)/C38))</f>
        <v>0.5861995036535769</v>
      </c>
      <c r="D53" s="175">
        <f>IF(D38=0,0,IF(D55=0,0,(D54/D55)/D38))</f>
        <v>0.7202054924221607</v>
      </c>
      <c r="E53" s="175">
        <f>IF(E38=0,0,IF(E55=0,0,(E54/E55)/E38))</f>
        <v>0.7487667271907674</v>
      </c>
      <c r="F53" s="13"/>
    </row>
    <row r="54" spans="1:6" ht="24" customHeight="1">
      <c r="A54" s="21">
        <v>14</v>
      </c>
      <c r="B54" s="48" t="s">
        <v>494</v>
      </c>
      <c r="C54" s="176">
        <v>7616441</v>
      </c>
      <c r="D54" s="176">
        <v>11947667</v>
      </c>
      <c r="E54" s="176">
        <v>13702359</v>
      </c>
      <c r="F54" s="13"/>
    </row>
    <row r="55" spans="1:6" ht="24" customHeight="1">
      <c r="A55" s="21">
        <v>15</v>
      </c>
      <c r="B55" s="48" t="s">
        <v>495</v>
      </c>
      <c r="C55" s="176">
        <v>27508246</v>
      </c>
      <c r="D55" s="176">
        <v>34817979</v>
      </c>
      <c r="E55" s="176">
        <v>37405540</v>
      </c>
      <c r="F55" s="13"/>
    </row>
    <row r="56" spans="1:6" ht="24" customHeight="1">
      <c r="A56" s="170"/>
      <c r="B56" s="177"/>
      <c r="C56" s="13"/>
      <c r="D56" s="13"/>
      <c r="E56" s="13"/>
      <c r="F56" s="13"/>
    </row>
    <row r="57" spans="1:6" ht="24" customHeight="1">
      <c r="A57" s="29">
        <v>16</v>
      </c>
      <c r="B57" s="30" t="s">
        <v>496</v>
      </c>
      <c r="C57" s="53">
        <f>+C60*C38</f>
        <v>4575133.376424532</v>
      </c>
      <c r="D57" s="53">
        <f>+D60*D38</f>
        <v>6173099.526857919</v>
      </c>
      <c r="E57" s="53">
        <f>+E60*E38</f>
        <v>6403138.042719305</v>
      </c>
      <c r="F57" s="13"/>
    </row>
    <row r="58" spans="1:6" ht="24" customHeight="1">
      <c r="A58" s="21">
        <v>17</v>
      </c>
      <c r="B58" s="48" t="s">
        <v>497</v>
      </c>
      <c r="C58" s="51">
        <v>850136</v>
      </c>
      <c r="D58" s="51">
        <v>3077163</v>
      </c>
      <c r="E58" s="52">
        <v>3370587</v>
      </c>
      <c r="F58" s="28"/>
    </row>
    <row r="59" spans="1:6" ht="24" customHeight="1">
      <c r="A59" s="21">
        <v>18</v>
      </c>
      <c r="B59" s="48" t="s">
        <v>243</v>
      </c>
      <c r="C59" s="51">
        <v>8836211</v>
      </c>
      <c r="D59" s="51">
        <v>9879112</v>
      </c>
      <c r="E59" s="52">
        <v>9717615</v>
      </c>
      <c r="F59" s="28"/>
    </row>
    <row r="60" spans="1:6" ht="24" customHeight="1">
      <c r="A60" s="21">
        <v>19</v>
      </c>
      <c r="B60" s="48" t="s">
        <v>498</v>
      </c>
      <c r="C60" s="51">
        <v>9686347</v>
      </c>
      <c r="D60" s="51">
        <v>12956275</v>
      </c>
      <c r="E60" s="52">
        <v>13088202</v>
      </c>
      <c r="F60" s="28"/>
    </row>
    <row r="61" spans="1:6" ht="24" customHeight="1">
      <c r="A61" s="170"/>
      <c r="B61" s="16"/>
      <c r="C61" s="13"/>
      <c r="D61" s="13"/>
      <c r="E61" s="13"/>
      <c r="F61" s="13"/>
    </row>
    <row r="62" spans="1:6" ht="24" customHeight="1">
      <c r="A62" s="29">
        <v>20</v>
      </c>
      <c r="B62" s="30" t="s">
        <v>499</v>
      </c>
      <c r="C62" s="178">
        <f>IF(C63=0,0,+C57/C63)</f>
        <v>0.03130428141973889</v>
      </c>
      <c r="D62" s="178">
        <f>IF(D63=0,0,+D57/D63)</f>
        <v>0.03881910603246111</v>
      </c>
      <c r="E62" s="178">
        <f>IF(E63=0,0,+E57/E63)</f>
        <v>0.03695471759981187</v>
      </c>
      <c r="F62" s="13"/>
    </row>
    <row r="63" spans="1:6" ht="24" customHeight="1">
      <c r="A63" s="21">
        <v>21</v>
      </c>
      <c r="B63" s="45" t="s">
        <v>482</v>
      </c>
      <c r="C63" s="176">
        <v>146150404</v>
      </c>
      <c r="D63" s="176">
        <v>159022197</v>
      </c>
      <c r="E63" s="176">
        <v>173269841</v>
      </c>
      <c r="F63" s="13"/>
    </row>
    <row r="64" spans="1:6" ht="24" customHeight="1">
      <c r="A64" s="170"/>
      <c r="B64" s="48"/>
      <c r="C64" s="44"/>
      <c r="D64" s="44"/>
      <c r="E64" s="44"/>
      <c r="F64" s="13"/>
    </row>
    <row r="65" spans="1:6" ht="24" customHeight="1">
      <c r="A65" s="29" t="s">
        <v>500</v>
      </c>
      <c r="B65" s="41" t="s">
        <v>501</v>
      </c>
      <c r="C65" s="27"/>
      <c r="D65" s="27"/>
      <c r="E65" s="53"/>
      <c r="F65" s="28"/>
    </row>
    <row r="66" spans="1:6" ht="24" customHeight="1">
      <c r="A66" s="29"/>
      <c r="B66" s="41"/>
      <c r="C66" s="27"/>
      <c r="D66" s="27"/>
      <c r="E66" s="53"/>
      <c r="F66" s="28"/>
    </row>
    <row r="67" spans="1:6" ht="24" customHeight="1">
      <c r="A67" s="29">
        <v>1</v>
      </c>
      <c r="B67" s="30" t="s">
        <v>502</v>
      </c>
      <c r="C67" s="179">
        <f>IF(C69=0,0,C68/C69)</f>
        <v>4.422376692062607</v>
      </c>
      <c r="D67" s="179">
        <f>IF(D69=0,0,D68/D69)</f>
        <v>3.7815212897891692</v>
      </c>
      <c r="E67" s="179">
        <f>IF(E69=0,0,E68/E69)</f>
        <v>2.376328136211968</v>
      </c>
      <c r="F67" s="28"/>
    </row>
    <row r="68" spans="1:6" ht="24" customHeight="1">
      <c r="A68" s="21">
        <v>2</v>
      </c>
      <c r="B68" s="48" t="s">
        <v>183</v>
      </c>
      <c r="C68" s="180">
        <v>64609526</v>
      </c>
      <c r="D68" s="180">
        <v>66849930</v>
      </c>
      <c r="E68" s="180">
        <v>65521020</v>
      </c>
      <c r="F68" s="28"/>
    </row>
    <row r="69" spans="1:6" ht="24" customHeight="1">
      <c r="A69" s="21">
        <v>3</v>
      </c>
      <c r="B69" s="48" t="s">
        <v>212</v>
      </c>
      <c r="C69" s="180">
        <v>14609684</v>
      </c>
      <c r="D69" s="180">
        <v>17678052</v>
      </c>
      <c r="E69" s="180">
        <v>27572379</v>
      </c>
      <c r="F69" s="28"/>
    </row>
    <row r="70" spans="1:6" ht="24" customHeight="1">
      <c r="A70" s="21"/>
      <c r="B70" s="26"/>
      <c r="C70" s="27"/>
      <c r="D70" s="27"/>
      <c r="E70" s="53"/>
      <c r="F70" s="28"/>
    </row>
    <row r="71" spans="1:6" ht="24" customHeight="1">
      <c r="A71" s="29">
        <v>4</v>
      </c>
      <c r="B71" s="30" t="s">
        <v>503</v>
      </c>
      <c r="C71" s="181">
        <f>IF((C77/365)=0,0,+C74/(C77/365))</f>
        <v>99.99263981774762</v>
      </c>
      <c r="D71" s="181">
        <f>IF((D77/365)=0,0,+D74/(D77/365))</f>
        <v>101.38051018342681</v>
      </c>
      <c r="E71" s="181">
        <f>IF((E77/365)=0,0,+E74/(E77/365))</f>
        <v>91.27485149495196</v>
      </c>
      <c r="F71" s="28"/>
    </row>
    <row r="72" spans="1:6" ht="24" customHeight="1">
      <c r="A72" s="21">
        <v>5</v>
      </c>
      <c r="B72" s="22" t="s">
        <v>174</v>
      </c>
      <c r="C72" s="182">
        <v>39816847</v>
      </c>
      <c r="D72" s="182">
        <v>43912798</v>
      </c>
      <c r="E72" s="182">
        <v>41146505</v>
      </c>
      <c r="F72" s="28"/>
    </row>
    <row r="73" spans="1:6" ht="24" customHeight="1">
      <c r="A73" s="21">
        <v>6</v>
      </c>
      <c r="B73" s="183" t="s">
        <v>175</v>
      </c>
      <c r="C73" s="184">
        <v>0</v>
      </c>
      <c r="D73" s="184">
        <v>0</v>
      </c>
      <c r="E73" s="184">
        <v>0</v>
      </c>
      <c r="F73" s="28"/>
    </row>
    <row r="74" spans="1:6" ht="24" customHeight="1">
      <c r="A74" s="21">
        <v>7</v>
      </c>
      <c r="B74" s="48" t="s">
        <v>504</v>
      </c>
      <c r="C74" s="180">
        <f>+C72+C73</f>
        <v>39816847</v>
      </c>
      <c r="D74" s="180">
        <f>+D72+D73</f>
        <v>43912798</v>
      </c>
      <c r="E74" s="180">
        <f>+E72+E73</f>
        <v>41146505</v>
      </c>
      <c r="F74" s="28"/>
    </row>
    <row r="75" spans="1:6" ht="24" customHeight="1">
      <c r="A75" s="21">
        <v>8</v>
      </c>
      <c r="B75" s="48" t="s">
        <v>482</v>
      </c>
      <c r="C75" s="180">
        <f>+C14</f>
        <v>153965816</v>
      </c>
      <c r="D75" s="180">
        <f>+D14</f>
        <v>167113696</v>
      </c>
      <c r="E75" s="180">
        <f>+E14</f>
        <v>173269841</v>
      </c>
      <c r="F75" s="28"/>
    </row>
    <row r="76" spans="1:6" ht="24" customHeight="1">
      <c r="A76" s="21">
        <v>9</v>
      </c>
      <c r="B76" s="45" t="s">
        <v>505</v>
      </c>
      <c r="C76" s="180">
        <v>8623627</v>
      </c>
      <c r="D76" s="180">
        <v>9014558</v>
      </c>
      <c r="E76" s="180">
        <v>8728633</v>
      </c>
      <c r="F76" s="28"/>
    </row>
    <row r="77" spans="1:6" ht="24" customHeight="1">
      <c r="A77" s="21">
        <v>10</v>
      </c>
      <c r="B77" s="45" t="s">
        <v>506</v>
      </c>
      <c r="C77" s="180">
        <f>+C75-C76</f>
        <v>145342189</v>
      </c>
      <c r="D77" s="180">
        <f>+D75-D76</f>
        <v>158099138</v>
      </c>
      <c r="E77" s="180">
        <f>+E75-E76</f>
        <v>164541208</v>
      </c>
      <c r="F77" s="28"/>
    </row>
    <row r="78" spans="1:6" ht="24" customHeight="1">
      <c r="A78" s="170"/>
      <c r="B78" s="8"/>
      <c r="C78" s="185"/>
      <c r="D78" s="185"/>
      <c r="E78" s="186"/>
      <c r="F78" s="28"/>
    </row>
    <row r="79" spans="1:6" ht="24" customHeight="1">
      <c r="A79" s="29">
        <v>11</v>
      </c>
      <c r="B79" s="187" t="s">
        <v>507</v>
      </c>
      <c r="C79" s="179">
        <f>IF((C84/365)=0,0,+C83/(C84/365))</f>
        <v>47.04343643859586</v>
      </c>
      <c r="D79" s="179">
        <f>IF((D84/365)=0,0,+D83/(D84/365))</f>
        <v>40.40914401665814</v>
      </c>
      <c r="E79" s="179">
        <f>IF((E84/365)=0,0,+E83/(E84/365))</f>
        <v>39.442889584461</v>
      </c>
      <c r="F79" s="28"/>
    </row>
    <row r="80" spans="1:6" ht="24" customHeight="1">
      <c r="A80" s="21">
        <v>12</v>
      </c>
      <c r="B80" s="188" t="s">
        <v>508</v>
      </c>
      <c r="C80" s="189">
        <v>20044817</v>
      </c>
      <c r="D80" s="189">
        <v>18867122</v>
      </c>
      <c r="E80" s="189">
        <v>19523079</v>
      </c>
      <c r="F80" s="28"/>
    </row>
    <row r="81" spans="1:6" ht="24" customHeight="1">
      <c r="A81" s="21">
        <v>13</v>
      </c>
      <c r="B81" s="188" t="s">
        <v>179</v>
      </c>
      <c r="C81" s="190">
        <v>0</v>
      </c>
      <c r="D81" s="190">
        <v>0</v>
      </c>
      <c r="E81" s="190">
        <v>0</v>
      </c>
      <c r="F81" s="28"/>
    </row>
    <row r="82" spans="1:6" ht="24" customHeight="1">
      <c r="A82" s="21">
        <v>14</v>
      </c>
      <c r="B82" s="188" t="s">
        <v>207</v>
      </c>
      <c r="C82" s="190">
        <v>164932</v>
      </c>
      <c r="D82" s="190">
        <v>437607</v>
      </c>
      <c r="E82" s="190">
        <v>885467</v>
      </c>
      <c r="F82" s="28"/>
    </row>
    <row r="83" spans="1:6" ht="33.75" customHeight="1">
      <c r="A83" s="21">
        <v>15</v>
      </c>
      <c r="B83" s="45" t="s">
        <v>509</v>
      </c>
      <c r="C83" s="191">
        <f>+C80+C81-C82</f>
        <v>19879885</v>
      </c>
      <c r="D83" s="191">
        <f>+D80+D81-D82</f>
        <v>18429515</v>
      </c>
      <c r="E83" s="191">
        <f>+E80+E81-E82</f>
        <v>18637612</v>
      </c>
      <c r="F83" s="28"/>
    </row>
    <row r="84" spans="1:6" ht="24" customHeight="1">
      <c r="A84" s="21">
        <v>16</v>
      </c>
      <c r="B84" s="48" t="s">
        <v>233</v>
      </c>
      <c r="C84" s="180">
        <f>+C11</f>
        <v>154243792</v>
      </c>
      <c r="D84" s="191">
        <f>+D11</f>
        <v>166466604</v>
      </c>
      <c r="E84" s="191">
        <f>+E11</f>
        <v>172470335</v>
      </c>
      <c r="F84" s="28"/>
    </row>
    <row r="85" spans="1:6" ht="24" customHeight="1">
      <c r="A85" s="170"/>
      <c r="B85" s="48"/>
      <c r="C85" s="51"/>
      <c r="D85" s="164"/>
      <c r="E85" s="164"/>
      <c r="F85" s="28"/>
    </row>
    <row r="86" spans="1:6" ht="24" customHeight="1">
      <c r="A86" s="29">
        <v>17</v>
      </c>
      <c r="B86" s="30" t="s">
        <v>510</v>
      </c>
      <c r="C86" s="179">
        <f>IF((C90/365)=0,0,+C87/(C90/365))</f>
        <v>36.6895166275499</v>
      </c>
      <c r="D86" s="179">
        <f>IF((D90/365)=0,0,+D87/(D90/365))</f>
        <v>40.81292954298081</v>
      </c>
      <c r="E86" s="179">
        <f>IF((E90/365)=0,0,+E87/(E90/365))</f>
        <v>61.163513124323245</v>
      </c>
      <c r="F86" s="13"/>
    </row>
    <row r="87" spans="1:6" ht="24" customHeight="1">
      <c r="A87" s="21">
        <v>18</v>
      </c>
      <c r="B87" s="48" t="s">
        <v>212</v>
      </c>
      <c r="C87" s="51">
        <f>+C69</f>
        <v>14609684</v>
      </c>
      <c r="D87" s="51">
        <f>+D69</f>
        <v>17678052</v>
      </c>
      <c r="E87" s="51">
        <f>+E69</f>
        <v>27572379</v>
      </c>
      <c r="F87" s="28"/>
    </row>
    <row r="88" spans="1:6" ht="24" customHeight="1">
      <c r="A88" s="21">
        <v>19</v>
      </c>
      <c r="B88" s="48" t="s">
        <v>482</v>
      </c>
      <c r="C88" s="51">
        <f aca="true" t="shared" si="0" ref="C88:E89">+C75</f>
        <v>153965816</v>
      </c>
      <c r="D88" s="51">
        <f t="shared" si="0"/>
        <v>167113696</v>
      </c>
      <c r="E88" s="51">
        <f t="shared" si="0"/>
        <v>173269841</v>
      </c>
      <c r="F88" s="28"/>
    </row>
    <row r="89" spans="1:6" ht="24" customHeight="1">
      <c r="A89" s="21">
        <v>20</v>
      </c>
      <c r="B89" s="48" t="s">
        <v>505</v>
      </c>
      <c r="C89" s="52">
        <f t="shared" si="0"/>
        <v>8623627</v>
      </c>
      <c r="D89" s="52">
        <f t="shared" si="0"/>
        <v>9014558</v>
      </c>
      <c r="E89" s="52">
        <f t="shared" si="0"/>
        <v>8728633</v>
      </c>
      <c r="F89" s="28"/>
    </row>
    <row r="90" spans="1:6" ht="24" customHeight="1">
      <c r="A90" s="21">
        <v>21</v>
      </c>
      <c r="B90" s="48" t="s">
        <v>511</v>
      </c>
      <c r="C90" s="51">
        <f>+C88-C89</f>
        <v>145342189</v>
      </c>
      <c r="D90" s="51">
        <f>+D88-D89</f>
        <v>158099138</v>
      </c>
      <c r="E90" s="51">
        <f>+E88-E89</f>
        <v>164541208</v>
      </c>
      <c r="F90" s="28"/>
    </row>
    <row r="91" spans="1:6" ht="24" customHeight="1">
      <c r="A91" s="170"/>
      <c r="B91" s="48"/>
      <c r="C91" s="51"/>
      <c r="D91" s="51"/>
      <c r="E91" s="53"/>
      <c r="F91" s="28"/>
    </row>
    <row r="92" spans="1:6" ht="24" customHeight="1">
      <c r="A92" s="29" t="s">
        <v>512</v>
      </c>
      <c r="B92" s="41" t="s">
        <v>513</v>
      </c>
      <c r="C92" s="51"/>
      <c r="D92" s="51"/>
      <c r="E92" s="53"/>
      <c r="F92" s="28"/>
    </row>
    <row r="93" spans="1:6" ht="24" customHeight="1">
      <c r="A93" s="29"/>
      <c r="B93" s="41"/>
      <c r="C93" s="51"/>
      <c r="D93" s="51"/>
      <c r="E93" s="53"/>
      <c r="F93" s="28"/>
    </row>
    <row r="94" spans="1:6" ht="24" customHeight="1">
      <c r="A94" s="29">
        <v>1</v>
      </c>
      <c r="B94" s="30" t="s">
        <v>514</v>
      </c>
      <c r="C94" s="192">
        <f>IF(C96=0,0,(C95/C96)*100)</f>
        <v>44.2145904719556</v>
      </c>
      <c r="D94" s="192">
        <f>IF(D96=0,0,(D95/D96)*100)</f>
        <v>34.29935359009736</v>
      </c>
      <c r="E94" s="192">
        <f>IF(E96=0,0,(E95/E96)*100)</f>
        <v>25.017558114530765</v>
      </c>
      <c r="F94" s="28"/>
    </row>
    <row r="95" spans="1:6" ht="24" customHeight="1">
      <c r="A95" s="21">
        <v>2</v>
      </c>
      <c r="B95" s="48" t="s">
        <v>225</v>
      </c>
      <c r="C95" s="51">
        <f>+C32</f>
        <v>77200784</v>
      </c>
      <c r="D95" s="51">
        <f>+D32</f>
        <v>71309938</v>
      </c>
      <c r="E95" s="51">
        <f>+E32</f>
        <v>54907397</v>
      </c>
      <c r="F95" s="28"/>
    </row>
    <row r="96" spans="1:6" ht="24" customHeight="1">
      <c r="A96" s="21">
        <v>3</v>
      </c>
      <c r="B96" s="48" t="s">
        <v>201</v>
      </c>
      <c r="C96" s="51">
        <v>174604770</v>
      </c>
      <c r="D96" s="51">
        <v>207904612</v>
      </c>
      <c r="E96" s="51">
        <v>219475445</v>
      </c>
      <c r="F96" s="28"/>
    </row>
    <row r="97" spans="1:6" ht="24" customHeight="1">
      <c r="A97" s="170"/>
      <c r="B97" s="30"/>
      <c r="C97" s="193"/>
      <c r="D97" s="193"/>
      <c r="E97" s="53"/>
      <c r="F97" s="28"/>
    </row>
    <row r="98" spans="1:6" ht="24" customHeight="1">
      <c r="A98" s="29">
        <v>4</v>
      </c>
      <c r="B98" s="30" t="s">
        <v>515</v>
      </c>
      <c r="C98" s="192">
        <f>IF(C104=0,0,(C101/C104)*100)</f>
        <v>24.157693040842844</v>
      </c>
      <c r="D98" s="192">
        <f>IF(D104=0,0,(D101/D104)*100)</f>
        <v>12.396483452442252</v>
      </c>
      <c r="E98" s="192">
        <f>IF(E104=0,0,(E101/E104)*100)</f>
        <v>12.759795849623693</v>
      </c>
      <c r="F98" s="28"/>
    </row>
    <row r="99" spans="1:6" ht="24" customHeight="1">
      <c r="A99" s="21">
        <v>5</v>
      </c>
      <c r="B99" s="48" t="s">
        <v>516</v>
      </c>
      <c r="C99" s="51">
        <f>+C28</f>
        <v>8860427</v>
      </c>
      <c r="D99" s="51">
        <f>+D28</f>
        <v>3751719</v>
      </c>
      <c r="E99" s="51">
        <f>+E28</f>
        <v>5369331</v>
      </c>
      <c r="F99" s="28"/>
    </row>
    <row r="100" spans="1:6" ht="24" customHeight="1">
      <c r="A100" s="21">
        <v>6</v>
      </c>
      <c r="B100" s="48" t="s">
        <v>505</v>
      </c>
      <c r="C100" s="52">
        <f>+C76</f>
        <v>8623627</v>
      </c>
      <c r="D100" s="52">
        <f>+D76</f>
        <v>9014558</v>
      </c>
      <c r="E100" s="52">
        <f>+E76</f>
        <v>8728633</v>
      </c>
      <c r="F100" s="28"/>
    </row>
    <row r="101" spans="1:6" ht="24" customHeight="1">
      <c r="A101" s="21">
        <v>7</v>
      </c>
      <c r="B101" s="48" t="s">
        <v>517</v>
      </c>
      <c r="C101" s="51">
        <f>+C99+C100</f>
        <v>17484054</v>
      </c>
      <c r="D101" s="51">
        <f>+D99+D100</f>
        <v>12766277</v>
      </c>
      <c r="E101" s="51">
        <f>+E99+E100</f>
        <v>14097964</v>
      </c>
      <c r="F101" s="28"/>
    </row>
    <row r="102" spans="1:6" ht="24" customHeight="1">
      <c r="A102" s="21">
        <v>8</v>
      </c>
      <c r="B102" s="48" t="s">
        <v>212</v>
      </c>
      <c r="C102" s="180">
        <f>+C69</f>
        <v>14609684</v>
      </c>
      <c r="D102" s="180">
        <f>+D69</f>
        <v>17678052</v>
      </c>
      <c r="E102" s="180">
        <f>+E69</f>
        <v>27572379</v>
      </c>
      <c r="F102" s="28"/>
    </row>
    <row r="103" spans="1:6" ht="24" customHeight="1">
      <c r="A103" s="21">
        <v>9</v>
      </c>
      <c r="B103" s="48" t="s">
        <v>216</v>
      </c>
      <c r="C103" s="194">
        <v>57765000</v>
      </c>
      <c r="D103" s="194">
        <v>85305000</v>
      </c>
      <c r="E103" s="194">
        <v>82915000</v>
      </c>
      <c r="F103" s="28"/>
    </row>
    <row r="104" spans="1:6" ht="24" customHeight="1">
      <c r="A104" s="21">
        <v>10</v>
      </c>
      <c r="B104" s="195" t="s">
        <v>518</v>
      </c>
      <c r="C104" s="180">
        <f>+C102+C103</f>
        <v>72374684</v>
      </c>
      <c r="D104" s="180">
        <f>+D102+D103</f>
        <v>102983052</v>
      </c>
      <c r="E104" s="180">
        <f>+E102+E103</f>
        <v>110487379</v>
      </c>
      <c r="F104" s="28"/>
    </row>
    <row r="105" spans="1:6" ht="24" customHeight="1">
      <c r="A105" s="170"/>
      <c r="B105" s="30"/>
      <c r="C105" s="196"/>
      <c r="D105" s="196"/>
      <c r="E105" s="186"/>
      <c r="F105" s="28"/>
    </row>
    <row r="106" spans="1:6" ht="24" customHeight="1">
      <c r="A106" s="20">
        <v>11</v>
      </c>
      <c r="B106" s="30" t="s">
        <v>519</v>
      </c>
      <c r="C106" s="197">
        <f>IF(C109=0,0,(C107/C109)*100)</f>
        <v>42.79973656137914</v>
      </c>
      <c r="D106" s="197">
        <f>IF(D109=0,0,(D107/D109)*100)</f>
        <v>54.46798440133469</v>
      </c>
      <c r="E106" s="197">
        <f>IF(E109=0,0,(E107/E109)*100)</f>
        <v>60.16075892222364</v>
      </c>
      <c r="F106" s="28"/>
    </row>
    <row r="107" spans="1:6" ht="24" customHeight="1">
      <c r="A107" s="17">
        <v>12</v>
      </c>
      <c r="B107" s="48" t="s">
        <v>216</v>
      </c>
      <c r="C107" s="180">
        <f>+C103</f>
        <v>57765000</v>
      </c>
      <c r="D107" s="180">
        <f>+D103</f>
        <v>85305000</v>
      </c>
      <c r="E107" s="180">
        <f>+E103</f>
        <v>82915000</v>
      </c>
      <c r="F107" s="28"/>
    </row>
    <row r="108" spans="1:6" ht="24" customHeight="1">
      <c r="A108" s="17">
        <v>13</v>
      </c>
      <c r="B108" s="48" t="s">
        <v>225</v>
      </c>
      <c r="C108" s="180">
        <f>+C32</f>
        <v>77200784</v>
      </c>
      <c r="D108" s="180">
        <f>+D32</f>
        <v>71309938</v>
      </c>
      <c r="E108" s="180">
        <f>+E32</f>
        <v>54907397</v>
      </c>
      <c r="F108" s="28"/>
    </row>
    <row r="109" spans="1:6" ht="24" customHeight="1">
      <c r="A109" s="17">
        <v>14</v>
      </c>
      <c r="B109" s="48" t="s">
        <v>520</v>
      </c>
      <c r="C109" s="180">
        <f>+C107+C108</f>
        <v>134965784</v>
      </c>
      <c r="D109" s="180">
        <f>+D107+D108</f>
        <v>156614938</v>
      </c>
      <c r="E109" s="180">
        <f>+E107+E108</f>
        <v>137822397</v>
      </c>
      <c r="F109" s="28"/>
    </row>
    <row r="110" spans="1:6" ht="24" customHeight="1">
      <c r="A110" s="170"/>
      <c r="B110" s="48"/>
      <c r="C110" s="51"/>
      <c r="D110" s="51"/>
      <c r="E110" s="53"/>
      <c r="F110" s="28"/>
    </row>
    <row r="111" spans="1:5" ht="24" customHeight="1">
      <c r="A111" s="20">
        <v>15</v>
      </c>
      <c r="B111" s="187" t="s">
        <v>521</v>
      </c>
      <c r="C111" s="197">
        <f>IF((+C113+C115)=0,0,((+C112+C113+C114)/(+C113+C115)))</f>
        <v>6.70617592747918</v>
      </c>
      <c r="D111" s="197">
        <f>IF((+D113+D115)=0,0,((+D112+D113+D114)/(+D113+D115)))</f>
        <v>5.567284413719873</v>
      </c>
      <c r="E111" s="197">
        <f>IF((+E113+E115)=0,0,((+E112+E113+E114)/(+E113+E115)))</f>
        <v>3.367088139017129</v>
      </c>
    </row>
    <row r="112" spans="1:6" ht="24" customHeight="1">
      <c r="A112" s="17">
        <v>16</v>
      </c>
      <c r="B112" s="48" t="s">
        <v>522</v>
      </c>
      <c r="C112" s="180">
        <f>+C17</f>
        <v>8860427</v>
      </c>
      <c r="D112" s="180">
        <f>+D17</f>
        <v>3751719</v>
      </c>
      <c r="E112" s="180">
        <f>+E17</f>
        <v>5369331</v>
      </c>
      <c r="F112" s="28"/>
    </row>
    <row r="113" spans="1:6" ht="24" customHeight="1">
      <c r="A113" s="17">
        <v>17</v>
      </c>
      <c r="B113" s="48" t="s">
        <v>344</v>
      </c>
      <c r="C113" s="180">
        <v>3064058</v>
      </c>
      <c r="D113" s="180">
        <v>2795157</v>
      </c>
      <c r="E113" s="180">
        <v>2456574</v>
      </c>
      <c r="F113" s="28"/>
    </row>
    <row r="114" spans="1:6" ht="24" customHeight="1">
      <c r="A114" s="17">
        <v>18</v>
      </c>
      <c r="B114" s="48" t="s">
        <v>523</v>
      </c>
      <c r="C114" s="180">
        <v>8623627</v>
      </c>
      <c r="D114" s="180">
        <v>9014558</v>
      </c>
      <c r="E114" s="180">
        <v>8728633</v>
      </c>
      <c r="F114" s="28"/>
    </row>
    <row r="115" spans="1:6" ht="24" customHeight="1">
      <c r="A115" s="17">
        <v>19</v>
      </c>
      <c r="B115" s="48" t="s">
        <v>260</v>
      </c>
      <c r="C115" s="180">
        <v>0</v>
      </c>
      <c r="D115" s="180">
        <v>0</v>
      </c>
      <c r="E115" s="180">
        <v>2460000</v>
      </c>
      <c r="F115" s="28"/>
    </row>
    <row r="116" spans="1:6" ht="24" customHeight="1">
      <c r="A116" s="170"/>
      <c r="B116" s="48"/>
      <c r="C116" s="51"/>
      <c r="D116" s="51"/>
      <c r="E116" s="53"/>
      <c r="F116" s="28"/>
    </row>
    <row r="117" spans="1:5" ht="24" customHeight="1">
      <c r="A117" s="20" t="s">
        <v>524</v>
      </c>
      <c r="B117" s="30" t="s">
        <v>525</v>
      </c>
      <c r="C117" s="27"/>
      <c r="D117" s="27"/>
      <c r="E117" s="53"/>
    </row>
    <row r="118" spans="1:6" ht="24" customHeight="1">
      <c r="A118" s="170"/>
      <c r="B118" s="48"/>
      <c r="C118" s="51"/>
      <c r="D118" s="51"/>
      <c r="E118" s="53"/>
      <c r="F118" s="28"/>
    </row>
    <row r="119" spans="1:5" ht="24" customHeight="1">
      <c r="A119" s="20">
        <v>20</v>
      </c>
      <c r="B119" s="187" t="s">
        <v>526</v>
      </c>
      <c r="C119" s="197">
        <f>IF(+C121=0,0,(+C120)/(+C121))</f>
        <v>8.999732942994868</v>
      </c>
      <c r="D119" s="197">
        <f>IF(+D121=0,0,(+D120)/(+D121))</f>
        <v>9.02160971175736</v>
      </c>
      <c r="E119" s="197">
        <f>IF(+E121=0,0,(+E120)/(+E121))</f>
        <v>10.310376206675203</v>
      </c>
    </row>
    <row r="120" spans="1:6" ht="24" customHeight="1">
      <c r="A120" s="17">
        <v>21</v>
      </c>
      <c r="B120" s="48" t="s">
        <v>527</v>
      </c>
      <c r="C120" s="180">
        <v>77610340</v>
      </c>
      <c r="D120" s="180">
        <v>81325824</v>
      </c>
      <c r="E120" s="180">
        <v>89995490</v>
      </c>
      <c r="F120" s="28"/>
    </row>
    <row r="121" spans="1:6" ht="24" customHeight="1">
      <c r="A121" s="17">
        <v>22</v>
      </c>
      <c r="B121" s="48" t="s">
        <v>523</v>
      </c>
      <c r="C121" s="180">
        <v>8623627</v>
      </c>
      <c r="D121" s="180">
        <v>9014558</v>
      </c>
      <c r="E121" s="180">
        <v>8728633</v>
      </c>
      <c r="F121" s="28"/>
    </row>
    <row r="122" spans="1:6" ht="24" customHeight="1">
      <c r="A122" s="170"/>
      <c r="B122" s="48"/>
      <c r="C122" s="51"/>
      <c r="D122" s="51"/>
      <c r="E122" s="53"/>
      <c r="F122" s="28"/>
    </row>
    <row r="123" spans="1:5" ht="24" customHeight="1">
      <c r="A123" s="20" t="s">
        <v>528</v>
      </c>
      <c r="B123" s="30" t="s">
        <v>529</v>
      </c>
      <c r="C123" s="27"/>
      <c r="D123" s="27"/>
      <c r="E123" s="53"/>
    </row>
    <row r="124" spans="1:5" ht="24" customHeight="1">
      <c r="A124" s="44">
        <v>1</v>
      </c>
      <c r="B124" s="48" t="s">
        <v>530</v>
      </c>
      <c r="C124" s="198">
        <v>44321</v>
      </c>
      <c r="D124" s="198">
        <v>45363</v>
      </c>
      <c r="E124" s="198">
        <v>42873</v>
      </c>
    </row>
    <row r="125" spans="1:5" ht="24" customHeight="1">
      <c r="A125" s="44">
        <v>2</v>
      </c>
      <c r="B125" s="48" t="s">
        <v>531</v>
      </c>
      <c r="C125" s="198">
        <v>9664</v>
      </c>
      <c r="D125" s="198">
        <v>9722</v>
      </c>
      <c r="E125" s="198">
        <v>9955</v>
      </c>
    </row>
    <row r="126" spans="1:5" ht="24" customHeight="1">
      <c r="A126" s="44">
        <v>3</v>
      </c>
      <c r="B126" s="48" t="s">
        <v>532</v>
      </c>
      <c r="C126" s="199">
        <f>IF(C125=0,0,C124/C125)</f>
        <v>4.58619619205298</v>
      </c>
      <c r="D126" s="199">
        <f>IF(D125=0,0,D124/D125)</f>
        <v>4.666015223205102</v>
      </c>
      <c r="E126" s="199">
        <f>IF(E125=0,0,E124/E125)</f>
        <v>4.30668006027122</v>
      </c>
    </row>
    <row r="127" spans="1:5" ht="24" customHeight="1">
      <c r="A127" s="44">
        <v>4</v>
      </c>
      <c r="B127" s="48" t="s">
        <v>533</v>
      </c>
      <c r="C127" s="198">
        <v>136</v>
      </c>
      <c r="D127" s="198">
        <v>136</v>
      </c>
      <c r="E127" s="198">
        <v>140</v>
      </c>
    </row>
    <row r="128" spans="1:8" ht="24" customHeight="1">
      <c r="A128" s="44">
        <v>5</v>
      </c>
      <c r="B128" s="48" t="s">
        <v>534</v>
      </c>
      <c r="C128" s="198">
        <v>0</v>
      </c>
      <c r="D128" s="198">
        <v>0</v>
      </c>
      <c r="E128" s="198">
        <v>142</v>
      </c>
      <c r="G128" s="6"/>
      <c r="H128" s="12"/>
    </row>
    <row r="129" spans="1:8" ht="24" customHeight="1">
      <c r="A129" s="44">
        <v>6</v>
      </c>
      <c r="B129" s="48" t="s">
        <v>535</v>
      </c>
      <c r="C129" s="198">
        <v>142</v>
      </c>
      <c r="D129" s="198">
        <v>142</v>
      </c>
      <c r="E129" s="198">
        <v>156</v>
      </c>
      <c r="G129" s="6"/>
      <c r="H129" s="12"/>
    </row>
    <row r="130" spans="1:5" ht="24" customHeight="1">
      <c r="A130" s="44">
        <v>6</v>
      </c>
      <c r="B130" s="48" t="s">
        <v>536</v>
      </c>
      <c r="C130" s="171">
        <v>0.8928</v>
      </c>
      <c r="D130" s="171">
        <v>0.9138</v>
      </c>
      <c r="E130" s="171">
        <v>0.839</v>
      </c>
    </row>
    <row r="131" spans="1:5" ht="24" customHeight="1">
      <c r="A131" s="44">
        <v>7</v>
      </c>
      <c r="B131" s="48" t="s">
        <v>537</v>
      </c>
      <c r="C131" s="171">
        <v>0.8551</v>
      </c>
      <c r="D131" s="171">
        <v>0.8752</v>
      </c>
      <c r="E131" s="171">
        <v>0.8271</v>
      </c>
    </row>
    <row r="132" spans="1:5" ht="24" customHeight="1">
      <c r="A132" s="44">
        <v>8</v>
      </c>
      <c r="B132" s="48" t="s">
        <v>538</v>
      </c>
      <c r="C132" s="199">
        <v>866.4</v>
      </c>
      <c r="D132" s="199">
        <v>909</v>
      </c>
      <c r="E132" s="199">
        <v>950.5</v>
      </c>
    </row>
    <row r="133" ht="24" customHeight="1">
      <c r="B133" s="55"/>
    </row>
    <row r="134" spans="1:6" ht="19.5" customHeight="1">
      <c r="A134" s="200" t="s">
        <v>170</v>
      </c>
      <c r="B134" s="30" t="s">
        <v>539</v>
      </c>
      <c r="C134" s="201"/>
      <c r="D134" s="201"/>
      <c r="E134" s="201"/>
      <c r="F134" s="56"/>
    </row>
    <row r="135" spans="1:7" ht="19.5" customHeight="1">
      <c r="A135" s="202">
        <v>1</v>
      </c>
      <c r="B135" s="195" t="s">
        <v>540</v>
      </c>
      <c r="C135" s="203">
        <f>IF(C149=0,0,C143/C149)</f>
        <v>0.38182748524555543</v>
      </c>
      <c r="D135" s="203">
        <f>IF(D149=0,0,D143/D149)</f>
        <v>0.37051733082213445</v>
      </c>
      <c r="E135" s="203">
        <f>IF(E149=0,0,E143/E149)</f>
        <v>0.36937961712306444</v>
      </c>
      <c r="G135" s="6"/>
    </row>
    <row r="136" spans="1:5" ht="19.5" customHeight="1">
      <c r="A136" s="202">
        <v>2</v>
      </c>
      <c r="B136" s="195" t="s">
        <v>541</v>
      </c>
      <c r="C136" s="203">
        <f>IF(C149=0,0,C144/C149)</f>
        <v>0.4705641229566778</v>
      </c>
      <c r="D136" s="203">
        <f>IF(D149=0,0,D144/D149)</f>
        <v>0.46744160223549347</v>
      </c>
      <c r="E136" s="203">
        <f>IF(E149=0,0,E144/E149)</f>
        <v>0.459951449520538</v>
      </c>
    </row>
    <row r="137" spans="1:7" ht="19.5" customHeight="1">
      <c r="A137" s="202">
        <v>3</v>
      </c>
      <c r="B137" s="195" t="s">
        <v>542</v>
      </c>
      <c r="C137" s="203">
        <f>IF(C149=0,0,C145/C149)</f>
        <v>0.09023028190268785</v>
      </c>
      <c r="D137" s="203">
        <f>IF(D149=0,0,D145/D149)</f>
        <v>0.1060059894546659</v>
      </c>
      <c r="E137" s="203">
        <f>IF(E149=0,0,E145/E149)</f>
        <v>0.10760250070412386</v>
      </c>
      <c r="G137" s="6"/>
    </row>
    <row r="138" spans="1:7" ht="19.5" customHeight="1">
      <c r="A138" s="202">
        <v>4</v>
      </c>
      <c r="B138" s="195" t="s">
        <v>543</v>
      </c>
      <c r="C138" s="203">
        <f>IF(C149=0,0,C146/C149)</f>
        <v>0.02552145029953673</v>
      </c>
      <c r="D138" s="203">
        <f>IF(D149=0,0,D146/D149)</f>
        <v>0.021990246085207076</v>
      </c>
      <c r="E138" s="203">
        <f>IF(E149=0,0,E146/E149)</f>
        <v>0.02989182795213483</v>
      </c>
      <c r="G138" s="6"/>
    </row>
    <row r="139" spans="1:5" ht="19.5" customHeight="1">
      <c r="A139" s="202">
        <v>5</v>
      </c>
      <c r="B139" s="195" t="s">
        <v>544</v>
      </c>
      <c r="C139" s="203">
        <f>IF(C149=0,0,C147/C149)</f>
        <v>0.030592981168930132</v>
      </c>
      <c r="D139" s="203">
        <f>IF(D149=0,0,D147/D149)</f>
        <v>0.033021945143733696</v>
      </c>
      <c r="E139" s="203">
        <f>IF(E149=0,0,E147/E149)</f>
        <v>0.03160119722673711</v>
      </c>
    </row>
    <row r="140" spans="1:5" ht="19.5" customHeight="1">
      <c r="A140" s="202">
        <v>6</v>
      </c>
      <c r="B140" s="195" t="s">
        <v>545</v>
      </c>
      <c r="C140" s="203">
        <f>IF(C149=0,0,C148/C149)</f>
        <v>0.001263678426612082</v>
      </c>
      <c r="D140" s="203">
        <f>IF(D149=0,0,D148/D149)</f>
        <v>0.0010228862587654528</v>
      </c>
      <c r="E140" s="203">
        <f>IF(E149=0,0,E148/E149)</f>
        <v>0.0015734074734017175</v>
      </c>
    </row>
    <row r="141" spans="1:5" ht="19.5" customHeight="1">
      <c r="A141" s="202">
        <v>7</v>
      </c>
      <c r="B141" s="195" t="s">
        <v>546</v>
      </c>
      <c r="C141" s="203">
        <f>SUM(C135:C140)</f>
        <v>1.0000000000000002</v>
      </c>
      <c r="D141" s="203">
        <f>SUM(D135:D140)</f>
        <v>1</v>
      </c>
      <c r="E141" s="203">
        <f>SUM(E135:E140)</f>
        <v>1</v>
      </c>
    </row>
    <row r="142" spans="1:5" ht="19.5" customHeight="1">
      <c r="A142" s="55"/>
      <c r="B142" s="55"/>
      <c r="C142" s="201"/>
      <c r="D142" s="201"/>
      <c r="E142" s="201"/>
    </row>
    <row r="143" spans="1:5" ht="19.5" customHeight="1">
      <c r="A143" s="202">
        <v>8</v>
      </c>
      <c r="B143" s="201" t="s">
        <v>547</v>
      </c>
      <c r="C143" s="204">
        <f>+C46-C147</f>
        <v>116406645</v>
      </c>
      <c r="D143" s="205">
        <f>+D46-D147</f>
        <v>121697507</v>
      </c>
      <c r="E143" s="205">
        <f>+E46-E147</f>
        <v>128406347</v>
      </c>
    </row>
    <row r="144" spans="1:5" ht="19.5" customHeight="1">
      <c r="A144" s="202">
        <v>9</v>
      </c>
      <c r="B144" s="201" t="s">
        <v>548</v>
      </c>
      <c r="C144" s="206">
        <f>+C51</f>
        <v>143459528</v>
      </c>
      <c r="D144" s="205">
        <f>+D51</f>
        <v>153532569</v>
      </c>
      <c r="E144" s="205">
        <f>+E51</f>
        <v>159891566</v>
      </c>
    </row>
    <row r="145" spans="1:5" ht="19.5" customHeight="1">
      <c r="A145" s="202">
        <v>10</v>
      </c>
      <c r="B145" s="201" t="s">
        <v>549</v>
      </c>
      <c r="C145" s="206">
        <f>+C55</f>
        <v>27508246</v>
      </c>
      <c r="D145" s="205">
        <f>+D55</f>
        <v>34817979</v>
      </c>
      <c r="E145" s="205">
        <f>+E55</f>
        <v>37405540</v>
      </c>
    </row>
    <row r="146" spans="1:5" ht="19.5" customHeight="1">
      <c r="A146" s="202">
        <v>11</v>
      </c>
      <c r="B146" s="201" t="s">
        <v>550</v>
      </c>
      <c r="C146" s="204">
        <v>7780651</v>
      </c>
      <c r="D146" s="205">
        <v>7222761</v>
      </c>
      <c r="E146" s="205">
        <v>10391208</v>
      </c>
    </row>
    <row r="147" spans="1:5" ht="19.5" customHeight="1">
      <c r="A147" s="202">
        <v>12</v>
      </c>
      <c r="B147" s="201" t="s">
        <v>551</v>
      </c>
      <c r="C147" s="206">
        <f>+C47</f>
        <v>9326794</v>
      </c>
      <c r="D147" s="205">
        <f>+D47</f>
        <v>10846155</v>
      </c>
      <c r="E147" s="205">
        <f>+E47</f>
        <v>10985431</v>
      </c>
    </row>
    <row r="148" spans="1:5" ht="19.5" customHeight="1">
      <c r="A148" s="202">
        <v>13</v>
      </c>
      <c r="B148" s="201" t="s">
        <v>552</v>
      </c>
      <c r="C148" s="206">
        <v>385254</v>
      </c>
      <c r="D148" s="205">
        <v>335970</v>
      </c>
      <c r="E148" s="205">
        <v>546959</v>
      </c>
    </row>
    <row r="149" spans="1:5" ht="19.5" customHeight="1">
      <c r="A149" s="202">
        <v>14</v>
      </c>
      <c r="B149" s="201" t="s">
        <v>553</v>
      </c>
      <c r="C149" s="204">
        <f>SUM(C143:C148)</f>
        <v>304867118</v>
      </c>
      <c r="D149" s="205">
        <f>SUM(D143:D148)</f>
        <v>328452941</v>
      </c>
      <c r="E149" s="205">
        <f>SUM(E143:E148)</f>
        <v>347627051</v>
      </c>
    </row>
    <row r="150" spans="1:5" ht="19.5" customHeight="1">
      <c r="A150" s="55"/>
      <c r="B150" s="55"/>
      <c r="C150" s="201"/>
      <c r="D150" s="201"/>
      <c r="E150" s="201"/>
    </row>
    <row r="151" spans="1:5" ht="19.5" customHeight="1">
      <c r="A151" s="200" t="s">
        <v>554</v>
      </c>
      <c r="B151" s="30" t="s">
        <v>555</v>
      </c>
      <c r="C151" s="201"/>
      <c r="D151" s="201"/>
      <c r="E151" s="201"/>
    </row>
    <row r="152" spans="1:5" ht="19.5" customHeight="1">
      <c r="A152" s="202">
        <v>1</v>
      </c>
      <c r="B152" s="195" t="s">
        <v>556</v>
      </c>
      <c r="C152" s="203">
        <f>IF(C166=0,0,C160/C166)</f>
        <v>0.5485557809807091</v>
      </c>
      <c r="D152" s="203">
        <f>IF(D166=0,0,D160/D166)</f>
        <v>0.5229024686363322</v>
      </c>
      <c r="E152" s="203">
        <f>IF(E166=0,0,E160/E166)</f>
        <v>0.5275161361150976</v>
      </c>
    </row>
    <row r="153" spans="1:5" ht="19.5" customHeight="1">
      <c r="A153" s="202">
        <v>2</v>
      </c>
      <c r="B153" s="195" t="s">
        <v>557</v>
      </c>
      <c r="C153" s="203">
        <f>IF(C166=0,0,C161/C166)</f>
        <v>0.3857456317197735</v>
      </c>
      <c r="D153" s="203">
        <f>IF(D166=0,0,D161/D166)</f>
        <v>0.389270070639682</v>
      </c>
      <c r="E153" s="203">
        <f>IF(E166=0,0,E161/E166)</f>
        <v>0.376270781838689</v>
      </c>
    </row>
    <row r="154" spans="1:5" ht="19.5" customHeight="1">
      <c r="A154" s="202">
        <v>3</v>
      </c>
      <c r="B154" s="195" t="s">
        <v>558</v>
      </c>
      <c r="C154" s="203">
        <f>IF(C166=0,0,C162/C166)</f>
        <v>0.05114549985717224</v>
      </c>
      <c r="D154" s="203">
        <f>IF(D166=0,0,D162/D166)</f>
        <v>0.07500472323832313</v>
      </c>
      <c r="E154" s="203">
        <f>IF(E166=0,0,E162/E166)</f>
        <v>0.08263341263307787</v>
      </c>
    </row>
    <row r="155" spans="1:7" ht="19.5" customHeight="1">
      <c r="A155" s="202">
        <v>4</v>
      </c>
      <c r="B155" s="195" t="s">
        <v>559</v>
      </c>
      <c r="C155" s="203">
        <f>IF(C166=0,0,C163/C166)</f>
        <v>0.010038099780986243</v>
      </c>
      <c r="D155" s="203">
        <f>IF(D166=0,0,D163/D166)</f>
        <v>0.008828794154038746</v>
      </c>
      <c r="E155" s="203">
        <f>IF(E166=0,0,E163/E166)</f>
        <v>0.009530454840271272</v>
      </c>
      <c r="G155" s="6"/>
    </row>
    <row r="156" spans="1:5" ht="19.5" customHeight="1">
      <c r="A156" s="202">
        <v>5</v>
      </c>
      <c r="B156" s="195" t="s">
        <v>560</v>
      </c>
      <c r="C156" s="203">
        <f>IF(C166=0,0,C164/C166)</f>
        <v>0.003103833676514137</v>
      </c>
      <c r="D156" s="203">
        <f>IF(D166=0,0,D164/D166)</f>
        <v>0.003002080547637629</v>
      </c>
      <c r="E156" s="203">
        <f>IF(E166=0,0,E164/E166)</f>
        <v>0.0029871720686940302</v>
      </c>
    </row>
    <row r="157" spans="1:5" ht="19.5" customHeight="1">
      <c r="A157" s="202">
        <v>6</v>
      </c>
      <c r="B157" s="195" t="s">
        <v>561</v>
      </c>
      <c r="C157" s="203">
        <f>IF(C166=0,0,C165/C166)</f>
        <v>0.0014111539848448193</v>
      </c>
      <c r="D157" s="203">
        <f>IF(D166=0,0,D165/D166)</f>
        <v>0.0009918627839863717</v>
      </c>
      <c r="E157" s="203">
        <f>IF(E166=0,0,E165/E166)</f>
        <v>0.0010620425041701733</v>
      </c>
    </row>
    <row r="158" spans="1:5" ht="19.5" customHeight="1">
      <c r="A158" s="202">
        <v>7</v>
      </c>
      <c r="B158" s="195" t="s">
        <v>562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5" ht="19.5" customHeight="1">
      <c r="A159" s="56"/>
      <c r="B159" s="55"/>
      <c r="C159" s="55"/>
      <c r="D159" s="56"/>
      <c r="E159" s="56"/>
    </row>
    <row r="160" spans="1:5" ht="19.5" customHeight="1">
      <c r="A160" s="202">
        <v>8</v>
      </c>
      <c r="B160" s="201" t="s">
        <v>563</v>
      </c>
      <c r="C160" s="207">
        <f>+C44-C164</f>
        <v>81689352</v>
      </c>
      <c r="D160" s="208">
        <f>+D44-D164</f>
        <v>83294282</v>
      </c>
      <c r="E160" s="208">
        <f>+E44-E164</f>
        <v>87473278</v>
      </c>
    </row>
    <row r="161" spans="1:5" ht="19.5" customHeight="1">
      <c r="A161" s="202">
        <v>9</v>
      </c>
      <c r="B161" s="201" t="s">
        <v>564</v>
      </c>
      <c r="C161" s="209">
        <f>+C50</f>
        <v>57444132</v>
      </c>
      <c r="D161" s="208">
        <f>+D50</f>
        <v>62007684</v>
      </c>
      <c r="E161" s="208">
        <f>+E50</f>
        <v>62393615</v>
      </c>
    </row>
    <row r="162" spans="1:5" ht="19.5" customHeight="1">
      <c r="A162" s="202">
        <v>10</v>
      </c>
      <c r="B162" s="201" t="s">
        <v>565</v>
      </c>
      <c r="C162" s="209">
        <f>+C54</f>
        <v>7616441</v>
      </c>
      <c r="D162" s="208">
        <f>+D54</f>
        <v>11947667</v>
      </c>
      <c r="E162" s="208">
        <f>+E54</f>
        <v>13702359</v>
      </c>
    </row>
    <row r="163" spans="1:5" ht="19.5" customHeight="1">
      <c r="A163" s="202">
        <v>11</v>
      </c>
      <c r="B163" s="201" t="s">
        <v>566</v>
      </c>
      <c r="C163" s="207">
        <v>1494845</v>
      </c>
      <c r="D163" s="208">
        <v>1406358</v>
      </c>
      <c r="E163" s="208">
        <v>1580350</v>
      </c>
    </row>
    <row r="164" spans="1:5" ht="19.5" customHeight="1">
      <c r="A164" s="202">
        <v>12</v>
      </c>
      <c r="B164" s="201" t="s">
        <v>567</v>
      </c>
      <c r="C164" s="209">
        <f>+C45</f>
        <v>462214</v>
      </c>
      <c r="D164" s="208">
        <f>+D45</f>
        <v>478208</v>
      </c>
      <c r="E164" s="208">
        <f>+E45</f>
        <v>495336</v>
      </c>
    </row>
    <row r="165" spans="1:5" ht="19.5" customHeight="1">
      <c r="A165" s="202">
        <v>13</v>
      </c>
      <c r="B165" s="201" t="s">
        <v>568</v>
      </c>
      <c r="C165" s="209">
        <v>210145</v>
      </c>
      <c r="D165" s="208">
        <v>157996</v>
      </c>
      <c r="E165" s="208">
        <v>176109</v>
      </c>
    </row>
    <row r="166" spans="1:5" ht="19.5" customHeight="1">
      <c r="A166" s="202">
        <v>14</v>
      </c>
      <c r="B166" s="201" t="s">
        <v>569</v>
      </c>
      <c r="C166" s="207">
        <f>SUM(C160:C165)</f>
        <v>148917129</v>
      </c>
      <c r="D166" s="208">
        <f>SUM(D160:D165)</f>
        <v>159292195</v>
      </c>
      <c r="E166" s="208">
        <f>SUM(E160:E165)</f>
        <v>165821047</v>
      </c>
    </row>
    <row r="167" spans="1:6" ht="19.5" customHeight="1">
      <c r="A167" s="56"/>
      <c r="B167" s="55"/>
      <c r="C167" s="55"/>
      <c r="D167" s="55"/>
      <c r="E167" s="55"/>
      <c r="F167" s="56"/>
    </row>
    <row r="168" spans="1:5" ht="19.5" customHeight="1">
      <c r="A168" s="200" t="s">
        <v>570</v>
      </c>
      <c r="B168" s="30" t="s">
        <v>531</v>
      </c>
      <c r="C168" s="201"/>
      <c r="D168" s="201"/>
      <c r="E168" s="201"/>
    </row>
    <row r="169" spans="1:5" ht="19.5" customHeight="1">
      <c r="A169" s="202">
        <v>1</v>
      </c>
      <c r="B169" s="201" t="s">
        <v>571</v>
      </c>
      <c r="C169" s="198">
        <v>3450</v>
      </c>
      <c r="D169" s="198">
        <v>3369</v>
      </c>
      <c r="E169" s="198">
        <v>3390</v>
      </c>
    </row>
    <row r="170" spans="1:5" ht="19.5" customHeight="1">
      <c r="A170" s="202">
        <v>2</v>
      </c>
      <c r="B170" s="201" t="s">
        <v>572</v>
      </c>
      <c r="C170" s="198">
        <v>4671</v>
      </c>
      <c r="D170" s="198">
        <v>4630</v>
      </c>
      <c r="E170" s="198">
        <v>4708</v>
      </c>
    </row>
    <row r="171" spans="1:5" ht="19.5" customHeight="1">
      <c r="A171" s="202">
        <v>3</v>
      </c>
      <c r="B171" s="201" t="s">
        <v>573</v>
      </c>
      <c r="C171" s="198">
        <v>1531</v>
      </c>
      <c r="D171" s="198">
        <v>1718</v>
      </c>
      <c r="E171" s="198">
        <v>1847</v>
      </c>
    </row>
    <row r="172" spans="1:5" ht="19.5" customHeight="1">
      <c r="A172" s="202">
        <v>4</v>
      </c>
      <c r="B172" s="201" t="s">
        <v>574</v>
      </c>
      <c r="C172" s="198">
        <v>1308</v>
      </c>
      <c r="D172" s="198">
        <v>1516</v>
      </c>
      <c r="E172" s="198">
        <v>1542</v>
      </c>
    </row>
    <row r="173" spans="1:5" ht="19.5" customHeight="1">
      <c r="A173" s="202">
        <v>5</v>
      </c>
      <c r="B173" s="201" t="s">
        <v>575</v>
      </c>
      <c r="C173" s="198">
        <v>223</v>
      </c>
      <c r="D173" s="198">
        <v>202</v>
      </c>
      <c r="E173" s="198">
        <v>305</v>
      </c>
    </row>
    <row r="174" spans="1:5" ht="19.5" customHeight="1">
      <c r="A174" s="202">
        <v>6</v>
      </c>
      <c r="B174" s="201" t="s">
        <v>576</v>
      </c>
      <c r="C174" s="198">
        <v>12</v>
      </c>
      <c r="D174" s="198">
        <v>5</v>
      </c>
      <c r="E174" s="198">
        <v>10</v>
      </c>
    </row>
    <row r="175" spans="1:5" ht="19.5" customHeight="1">
      <c r="A175" s="202">
        <v>7</v>
      </c>
      <c r="B175" s="201" t="s">
        <v>577</v>
      </c>
      <c r="C175" s="198">
        <v>284</v>
      </c>
      <c r="D175" s="198">
        <v>297</v>
      </c>
      <c r="E175" s="198">
        <v>302</v>
      </c>
    </row>
    <row r="176" spans="1:5" ht="19.5" customHeight="1">
      <c r="A176" s="202">
        <v>8</v>
      </c>
      <c r="B176" s="201" t="s">
        <v>578</v>
      </c>
      <c r="C176" s="198">
        <f>+C169+C170+C171+C174</f>
        <v>9664</v>
      </c>
      <c r="D176" s="198">
        <f>+D169+D170+D171+D174</f>
        <v>9722</v>
      </c>
      <c r="E176" s="198">
        <f>+E169+E170+E171+E174</f>
        <v>9955</v>
      </c>
    </row>
    <row r="177" spans="1:6" ht="19.5" customHeight="1">
      <c r="A177" s="56"/>
      <c r="B177" s="55"/>
      <c r="C177" s="55"/>
      <c r="D177" s="55"/>
      <c r="E177" s="55"/>
      <c r="F177" s="56"/>
    </row>
    <row r="178" spans="1:5" ht="19.5" customHeight="1">
      <c r="A178" s="200" t="s">
        <v>579</v>
      </c>
      <c r="B178" s="30" t="s">
        <v>580</v>
      </c>
      <c r="C178" s="201"/>
      <c r="D178" s="201"/>
      <c r="E178" s="201"/>
    </row>
    <row r="179" spans="1:5" ht="19.5" customHeight="1">
      <c r="A179" s="202">
        <v>1</v>
      </c>
      <c r="B179" s="201" t="s">
        <v>571</v>
      </c>
      <c r="C179" s="210">
        <v>0.93431</v>
      </c>
      <c r="D179" s="210">
        <v>0.97765</v>
      </c>
      <c r="E179" s="210">
        <v>1.00835</v>
      </c>
    </row>
    <row r="180" spans="1:5" ht="19.5" customHeight="1">
      <c r="A180" s="202">
        <v>2</v>
      </c>
      <c r="B180" s="201" t="s">
        <v>572</v>
      </c>
      <c r="C180" s="210">
        <v>1.35367</v>
      </c>
      <c r="D180" s="210">
        <v>1.43384</v>
      </c>
      <c r="E180" s="210">
        <v>1.44517</v>
      </c>
    </row>
    <row r="181" spans="1:5" ht="19.5" customHeight="1">
      <c r="A181" s="202">
        <v>3</v>
      </c>
      <c r="B181" s="201" t="s">
        <v>573</v>
      </c>
      <c r="C181" s="210">
        <v>0.800027</v>
      </c>
      <c r="D181" s="210">
        <v>0.814383</v>
      </c>
      <c r="E181" s="210">
        <v>0.805267</v>
      </c>
    </row>
    <row r="182" spans="1:5" ht="19.5" customHeight="1">
      <c r="A182" s="202">
        <v>4</v>
      </c>
      <c r="B182" s="201" t="s">
        <v>574</v>
      </c>
      <c r="C182" s="210">
        <v>0.74049</v>
      </c>
      <c r="D182" s="210">
        <v>0.77447</v>
      </c>
      <c r="E182" s="210">
        <v>0.75642</v>
      </c>
    </row>
    <row r="183" spans="1:5" ht="19.5" customHeight="1">
      <c r="A183" s="202">
        <v>5</v>
      </c>
      <c r="B183" s="201" t="s">
        <v>575</v>
      </c>
      <c r="C183" s="210">
        <v>1.14924</v>
      </c>
      <c r="D183" s="210">
        <v>1.11393</v>
      </c>
      <c r="E183" s="210">
        <v>1.05223</v>
      </c>
    </row>
    <row r="184" spans="1:5" ht="19.5" customHeight="1">
      <c r="A184" s="202">
        <v>6</v>
      </c>
      <c r="B184" s="201" t="s">
        <v>576</v>
      </c>
      <c r="C184" s="210">
        <v>0.86698</v>
      </c>
      <c r="D184" s="210">
        <v>1.06252</v>
      </c>
      <c r="E184" s="210">
        <v>1.91412</v>
      </c>
    </row>
    <row r="185" spans="1:5" ht="19.5" customHeight="1">
      <c r="A185" s="202">
        <v>7</v>
      </c>
      <c r="B185" s="201" t="s">
        <v>577</v>
      </c>
      <c r="C185" s="210">
        <v>0.86904</v>
      </c>
      <c r="D185" s="210">
        <v>0.86082</v>
      </c>
      <c r="E185" s="210">
        <v>0.88553</v>
      </c>
    </row>
    <row r="186" spans="1:5" ht="19.5" customHeight="1">
      <c r="A186" s="202">
        <v>8</v>
      </c>
      <c r="B186" s="201" t="s">
        <v>581</v>
      </c>
      <c r="C186" s="210">
        <v>1.115646</v>
      </c>
      <c r="D186" s="210">
        <v>1.166098</v>
      </c>
      <c r="E186" s="210">
        <v>1.178165</v>
      </c>
    </row>
    <row r="187" spans="1:6" ht="19.5" customHeight="1">
      <c r="A187" s="56"/>
      <c r="B187" s="55"/>
      <c r="C187" s="55"/>
      <c r="D187" s="55"/>
      <c r="E187" s="55"/>
      <c r="F187" s="56"/>
    </row>
    <row r="188" spans="1:5" ht="19.5" customHeight="1">
      <c r="A188" s="200" t="s">
        <v>582</v>
      </c>
      <c r="B188" s="30" t="s">
        <v>583</v>
      </c>
      <c r="C188" s="201"/>
      <c r="D188" s="201"/>
      <c r="E188" s="201"/>
    </row>
    <row r="189" spans="1:5" ht="19.5" customHeight="1">
      <c r="A189" s="202">
        <v>1</v>
      </c>
      <c r="B189" s="201" t="s">
        <v>584</v>
      </c>
      <c r="C189" s="198">
        <v>6022</v>
      </c>
      <c r="D189" s="198">
        <v>6098</v>
      </c>
      <c r="E189" s="198">
        <v>6415</v>
      </c>
    </row>
    <row r="190" spans="1:5" ht="19.5" customHeight="1">
      <c r="A190" s="202">
        <v>2</v>
      </c>
      <c r="B190" s="201" t="s">
        <v>585</v>
      </c>
      <c r="C190" s="198">
        <v>63826</v>
      </c>
      <c r="D190" s="198">
        <v>61902</v>
      </c>
      <c r="E190" s="198">
        <v>60480</v>
      </c>
    </row>
    <row r="191" spans="1:5" ht="19.5" customHeight="1">
      <c r="A191" s="202">
        <v>3</v>
      </c>
      <c r="B191" s="201" t="s">
        <v>586</v>
      </c>
      <c r="C191" s="198">
        <f>+C190+C189</f>
        <v>69848</v>
      </c>
      <c r="D191" s="198">
        <f>+D190+D189</f>
        <v>68000</v>
      </c>
      <c r="E191" s="198">
        <f>+E190+E189</f>
        <v>66895</v>
      </c>
    </row>
    <row r="192" spans="1:6" ht="19.5" customHeight="1">
      <c r="A192" s="56"/>
      <c r="B192" s="55"/>
      <c r="C192" s="55"/>
      <c r="D192" s="55"/>
      <c r="E192" s="55"/>
      <c r="F192" s="56"/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FILING&amp;RMIDSTATE MEDICAL CENTER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8"/>
  <sheetViews>
    <sheetView zoomScale="75" zoomScaleNormal="75" zoomScalePageLayoutView="0" workbookViewId="0" topLeftCell="A1">
      <selection activeCell="A6" sqref="A6"/>
    </sheetView>
  </sheetViews>
  <sheetFormatPr defaultColWidth="9.140625" defaultRowHeight="20.25" customHeight="1"/>
  <cols>
    <col min="1" max="1" width="7.8515625" style="211" customWidth="1"/>
    <col min="2" max="2" width="72.57421875" style="211" customWidth="1"/>
    <col min="3" max="3" width="21.00390625" style="212" customWidth="1"/>
    <col min="4" max="4" width="21.140625" style="211" customWidth="1"/>
    <col min="5" max="5" width="23.00390625" style="211" customWidth="1"/>
    <col min="6" max="6" width="22.28125" style="211" bestFit="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60" t="s">
        <v>158</v>
      </c>
      <c r="B2" s="660"/>
      <c r="C2" s="660"/>
      <c r="D2" s="660"/>
      <c r="E2" s="660"/>
      <c r="F2" s="660"/>
    </row>
    <row r="3" spans="1:6" ht="20.25" customHeight="1">
      <c r="A3" s="660" t="s">
        <v>159</v>
      </c>
      <c r="B3" s="660"/>
      <c r="C3" s="660"/>
      <c r="D3" s="660"/>
      <c r="E3" s="660"/>
      <c r="F3" s="660"/>
    </row>
    <row r="4" spans="1:6" ht="20.25" customHeight="1">
      <c r="A4" s="660" t="s">
        <v>160</v>
      </c>
      <c r="B4" s="660"/>
      <c r="C4" s="660"/>
      <c r="D4" s="660"/>
      <c r="E4" s="660"/>
      <c r="F4" s="660"/>
    </row>
    <row r="5" spans="1:6" ht="20.25" customHeight="1">
      <c r="A5" s="660" t="s">
        <v>587</v>
      </c>
      <c r="B5" s="660"/>
      <c r="C5" s="660"/>
      <c r="D5" s="660"/>
      <c r="E5" s="660"/>
      <c r="F5" s="660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20" t="s">
        <v>312</v>
      </c>
      <c r="B8" s="221" t="s">
        <v>167</v>
      </c>
      <c r="C8" s="222" t="s">
        <v>588</v>
      </c>
      <c r="D8" s="223" t="s">
        <v>589</v>
      </c>
      <c r="E8" s="223" t="s">
        <v>590</v>
      </c>
      <c r="F8" s="224" t="s">
        <v>266</v>
      </c>
      <c r="G8" s="212"/>
    </row>
    <row r="9" spans="1:7" ht="20.25" customHeight="1">
      <c r="A9" s="225"/>
      <c r="B9" s="226"/>
      <c r="C9" s="661"/>
      <c r="D9" s="687"/>
      <c r="E9" s="687"/>
      <c r="F9" s="688"/>
      <c r="G9" s="212"/>
    </row>
    <row r="10" spans="1:6" ht="20.25" customHeight="1">
      <c r="A10" s="689" t="s">
        <v>170</v>
      </c>
      <c r="B10" s="690" t="s">
        <v>271</v>
      </c>
      <c r="C10" s="692"/>
      <c r="D10" s="693"/>
      <c r="E10" s="693"/>
      <c r="F10" s="694"/>
    </row>
    <row r="11" spans="1:6" ht="20.25" customHeight="1">
      <c r="A11" s="677"/>
      <c r="B11" s="691"/>
      <c r="C11" s="683"/>
      <c r="D11" s="684"/>
      <c r="E11" s="684"/>
      <c r="F11" s="685"/>
    </row>
    <row r="12" spans="1:6" ht="20.25" customHeight="1">
      <c r="A12" s="228"/>
      <c r="B12" s="229"/>
      <c r="C12" s="230"/>
      <c r="D12" s="230"/>
      <c r="E12" s="230"/>
      <c r="F12" s="230"/>
    </row>
    <row r="13" spans="1:6" ht="18.75" customHeight="1">
      <c r="A13" s="227" t="s">
        <v>268</v>
      </c>
      <c r="B13" s="231" t="s">
        <v>591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592</v>
      </c>
      <c r="C14" s="237">
        <v>1410716</v>
      </c>
      <c r="D14" s="237">
        <v>1551614</v>
      </c>
      <c r="E14" s="237">
        <f aca="true" t="shared" si="0" ref="E14:E24">D14-C14</f>
        <v>140898</v>
      </c>
      <c r="F14" s="238">
        <f aca="true" t="shared" si="1" ref="F14:F24">IF(C14=0,0,E14/C14)</f>
        <v>0.09987694192169083</v>
      </c>
    </row>
    <row r="15" spans="1:6" ht="20.25" customHeight="1">
      <c r="A15" s="235">
        <v>2</v>
      </c>
      <c r="B15" s="236" t="s">
        <v>593</v>
      </c>
      <c r="C15" s="237">
        <v>711590</v>
      </c>
      <c r="D15" s="237">
        <v>762705</v>
      </c>
      <c r="E15" s="237">
        <f t="shared" si="0"/>
        <v>51115</v>
      </c>
      <c r="F15" s="238">
        <f t="shared" si="1"/>
        <v>0.07183209432397869</v>
      </c>
    </row>
    <row r="16" spans="1:6" ht="20.25" customHeight="1">
      <c r="A16" s="235">
        <v>3</v>
      </c>
      <c r="B16" s="236" t="s">
        <v>594</v>
      </c>
      <c r="C16" s="237">
        <v>873155</v>
      </c>
      <c r="D16" s="237">
        <v>918928</v>
      </c>
      <c r="E16" s="237">
        <f t="shared" si="0"/>
        <v>45773</v>
      </c>
      <c r="F16" s="238">
        <f t="shared" si="1"/>
        <v>0.05242253666302089</v>
      </c>
    </row>
    <row r="17" spans="1:6" ht="20.25" customHeight="1">
      <c r="A17" s="235">
        <v>4</v>
      </c>
      <c r="B17" s="236" t="s">
        <v>595</v>
      </c>
      <c r="C17" s="237">
        <v>297309</v>
      </c>
      <c r="D17" s="237">
        <v>306377</v>
      </c>
      <c r="E17" s="237">
        <f t="shared" si="0"/>
        <v>9068</v>
      </c>
      <c r="F17" s="238">
        <f t="shared" si="1"/>
        <v>0.030500253944549274</v>
      </c>
    </row>
    <row r="18" spans="1:6" ht="20.25" customHeight="1">
      <c r="A18" s="235">
        <v>5</v>
      </c>
      <c r="B18" s="236" t="s">
        <v>531</v>
      </c>
      <c r="C18" s="239">
        <v>76</v>
      </c>
      <c r="D18" s="239">
        <v>86</v>
      </c>
      <c r="E18" s="239">
        <f t="shared" si="0"/>
        <v>10</v>
      </c>
      <c r="F18" s="238">
        <f t="shared" si="1"/>
        <v>0.13157894736842105</v>
      </c>
    </row>
    <row r="19" spans="1:6" ht="20.25" customHeight="1">
      <c r="A19" s="235">
        <v>6</v>
      </c>
      <c r="B19" s="236" t="s">
        <v>530</v>
      </c>
      <c r="C19" s="239">
        <v>380</v>
      </c>
      <c r="D19" s="239">
        <v>350</v>
      </c>
      <c r="E19" s="239">
        <f t="shared" si="0"/>
        <v>-30</v>
      </c>
      <c r="F19" s="238">
        <f t="shared" si="1"/>
        <v>-0.07894736842105263</v>
      </c>
    </row>
    <row r="20" spans="1:6" ht="20.25" customHeight="1">
      <c r="A20" s="235">
        <v>7</v>
      </c>
      <c r="B20" s="236" t="s">
        <v>596</v>
      </c>
      <c r="C20" s="239">
        <v>321</v>
      </c>
      <c r="D20" s="239">
        <v>465</v>
      </c>
      <c r="E20" s="239">
        <f t="shared" si="0"/>
        <v>144</v>
      </c>
      <c r="F20" s="238">
        <f t="shared" si="1"/>
        <v>0.4485981308411215</v>
      </c>
    </row>
    <row r="21" spans="1:6" ht="20.25" customHeight="1">
      <c r="A21" s="235">
        <v>8</v>
      </c>
      <c r="B21" s="236" t="s">
        <v>597</v>
      </c>
      <c r="C21" s="239">
        <v>72</v>
      </c>
      <c r="D21" s="239">
        <v>123</v>
      </c>
      <c r="E21" s="239">
        <f t="shared" si="0"/>
        <v>51</v>
      </c>
      <c r="F21" s="238">
        <f t="shared" si="1"/>
        <v>0.7083333333333334</v>
      </c>
    </row>
    <row r="22" spans="1:6" ht="20.25" customHeight="1">
      <c r="A22" s="235">
        <v>9</v>
      </c>
      <c r="B22" s="236" t="s">
        <v>598</v>
      </c>
      <c r="C22" s="239">
        <v>68</v>
      </c>
      <c r="D22" s="239">
        <v>67</v>
      </c>
      <c r="E22" s="239">
        <f t="shared" si="0"/>
        <v>-1</v>
      </c>
      <c r="F22" s="238">
        <f t="shared" si="1"/>
        <v>-0.014705882352941176</v>
      </c>
    </row>
    <row r="23" spans="1:6" s="240" customFormat="1" ht="20.25" customHeight="1">
      <c r="A23" s="241"/>
      <c r="B23" s="242" t="s">
        <v>599</v>
      </c>
      <c r="C23" s="243">
        <f>+C14+C16</f>
        <v>2283871</v>
      </c>
      <c r="D23" s="243">
        <f>+D14+D16</f>
        <v>2470542</v>
      </c>
      <c r="E23" s="243">
        <f t="shared" si="0"/>
        <v>186671</v>
      </c>
      <c r="F23" s="244">
        <f t="shared" si="1"/>
        <v>0.08173447624668818</v>
      </c>
    </row>
    <row r="24" spans="1:6" s="240" customFormat="1" ht="20.25" customHeight="1">
      <c r="A24" s="241"/>
      <c r="B24" s="242" t="s">
        <v>600</v>
      </c>
      <c r="C24" s="243">
        <f>+C15+C17</f>
        <v>1008899</v>
      </c>
      <c r="D24" s="243">
        <f>+D15+D17</f>
        <v>1069082</v>
      </c>
      <c r="E24" s="243">
        <f t="shared" si="0"/>
        <v>60183</v>
      </c>
      <c r="F24" s="244">
        <f t="shared" si="1"/>
        <v>0.05965215546848594</v>
      </c>
    </row>
    <row r="25" spans="1:6" s="240" customFormat="1" ht="20.25" customHeight="1">
      <c r="A25" s="245"/>
      <c r="B25" s="242"/>
      <c r="C25" s="243"/>
      <c r="D25" s="243"/>
      <c r="E25" s="243"/>
      <c r="F25" s="244"/>
    </row>
    <row r="26" spans="1:6" ht="18.75" customHeight="1">
      <c r="A26" s="227" t="s">
        <v>282</v>
      </c>
      <c r="B26" s="231" t="s">
        <v>601</v>
      </c>
      <c r="C26" s="232"/>
      <c r="D26" s="233"/>
      <c r="E26" s="227"/>
      <c r="F26" s="234"/>
    </row>
    <row r="27" spans="1:6" ht="20.25" customHeight="1">
      <c r="A27" s="235">
        <v>1</v>
      </c>
      <c r="B27" s="236" t="s">
        <v>592</v>
      </c>
      <c r="C27" s="237">
        <v>0</v>
      </c>
      <c r="D27" s="237">
        <v>0</v>
      </c>
      <c r="E27" s="237">
        <f aca="true" t="shared" si="2" ref="E27:E37">D27-C27</f>
        <v>0</v>
      </c>
      <c r="F27" s="238">
        <f aca="true" t="shared" si="3" ref="F27:F37">IF(C27=0,0,E27/C27)</f>
        <v>0</v>
      </c>
    </row>
    <row r="28" spans="1:6" ht="20.25" customHeight="1">
      <c r="A28" s="235">
        <v>2</v>
      </c>
      <c r="B28" s="236" t="s">
        <v>593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>
      <c r="A29" s="235">
        <v>3</v>
      </c>
      <c r="B29" s="236" t="s">
        <v>594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>
      <c r="A30" s="235">
        <v>4</v>
      </c>
      <c r="B30" s="236" t="s">
        <v>595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>
      <c r="A31" s="235">
        <v>5</v>
      </c>
      <c r="B31" s="236" t="s">
        <v>531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>
      <c r="A32" s="235">
        <v>6</v>
      </c>
      <c r="B32" s="236" t="s">
        <v>530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>
      <c r="A33" s="235">
        <v>7</v>
      </c>
      <c r="B33" s="236" t="s">
        <v>596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>
      <c r="A34" s="235">
        <v>8</v>
      </c>
      <c r="B34" s="236" t="s">
        <v>597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>
      <c r="A35" s="235">
        <v>9</v>
      </c>
      <c r="B35" s="236" t="s">
        <v>598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>
      <c r="A36" s="241"/>
      <c r="B36" s="242" t="s">
        <v>599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>
      <c r="A37" s="241"/>
      <c r="B37" s="242" t="s">
        <v>600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>
      <c r="A38" s="245"/>
      <c r="B38" s="242"/>
      <c r="C38" s="243"/>
      <c r="D38" s="243"/>
      <c r="E38" s="243"/>
      <c r="F38" s="244"/>
    </row>
    <row r="39" spans="1:6" ht="18.75" customHeight="1">
      <c r="A39" s="227" t="s">
        <v>299</v>
      </c>
      <c r="B39" s="231" t="s">
        <v>602</v>
      </c>
      <c r="C39" s="232"/>
      <c r="D39" s="233"/>
      <c r="E39" s="227"/>
      <c r="F39" s="234"/>
    </row>
    <row r="40" spans="1:6" ht="20.25" customHeight="1">
      <c r="A40" s="235">
        <v>1</v>
      </c>
      <c r="B40" s="236" t="s">
        <v>592</v>
      </c>
      <c r="C40" s="237">
        <v>0</v>
      </c>
      <c r="D40" s="237">
        <v>1592740</v>
      </c>
      <c r="E40" s="237">
        <f aca="true" t="shared" si="4" ref="E40:E50">D40-C40</f>
        <v>1592740</v>
      </c>
      <c r="F40" s="238">
        <f aca="true" t="shared" si="5" ref="F40:F50">IF(C40=0,0,E40/C40)</f>
        <v>0</v>
      </c>
    </row>
    <row r="41" spans="1:6" ht="20.25" customHeight="1">
      <c r="A41" s="235">
        <v>2</v>
      </c>
      <c r="B41" s="236" t="s">
        <v>593</v>
      </c>
      <c r="C41" s="237">
        <v>0</v>
      </c>
      <c r="D41" s="237">
        <v>792459</v>
      </c>
      <c r="E41" s="237">
        <f t="shared" si="4"/>
        <v>792459</v>
      </c>
      <c r="F41" s="238">
        <f t="shared" si="5"/>
        <v>0</v>
      </c>
    </row>
    <row r="42" spans="1:6" ht="20.25" customHeight="1">
      <c r="A42" s="235">
        <v>3</v>
      </c>
      <c r="B42" s="236" t="s">
        <v>594</v>
      </c>
      <c r="C42" s="237">
        <v>0</v>
      </c>
      <c r="D42" s="237">
        <v>1646291</v>
      </c>
      <c r="E42" s="237">
        <f t="shared" si="4"/>
        <v>1646291</v>
      </c>
      <c r="F42" s="238">
        <f t="shared" si="5"/>
        <v>0</v>
      </c>
    </row>
    <row r="43" spans="1:6" ht="20.25" customHeight="1">
      <c r="A43" s="235">
        <v>4</v>
      </c>
      <c r="B43" s="236" t="s">
        <v>595</v>
      </c>
      <c r="C43" s="237">
        <v>0</v>
      </c>
      <c r="D43" s="237">
        <v>518582</v>
      </c>
      <c r="E43" s="237">
        <f t="shared" si="4"/>
        <v>518582</v>
      </c>
      <c r="F43" s="238">
        <f t="shared" si="5"/>
        <v>0</v>
      </c>
    </row>
    <row r="44" spans="1:6" ht="20.25" customHeight="1">
      <c r="A44" s="235">
        <v>5</v>
      </c>
      <c r="B44" s="236" t="s">
        <v>531</v>
      </c>
      <c r="C44" s="239">
        <v>0</v>
      </c>
      <c r="D44" s="239">
        <v>87</v>
      </c>
      <c r="E44" s="239">
        <f t="shared" si="4"/>
        <v>87</v>
      </c>
      <c r="F44" s="238">
        <f t="shared" si="5"/>
        <v>0</v>
      </c>
    </row>
    <row r="45" spans="1:6" ht="20.25" customHeight="1">
      <c r="A45" s="235">
        <v>6</v>
      </c>
      <c r="B45" s="236" t="s">
        <v>530</v>
      </c>
      <c r="C45" s="239">
        <v>0</v>
      </c>
      <c r="D45" s="239">
        <v>357</v>
      </c>
      <c r="E45" s="239">
        <f t="shared" si="4"/>
        <v>357</v>
      </c>
      <c r="F45" s="238">
        <f t="shared" si="5"/>
        <v>0</v>
      </c>
    </row>
    <row r="46" spans="1:6" ht="20.25" customHeight="1">
      <c r="A46" s="235">
        <v>7</v>
      </c>
      <c r="B46" s="236" t="s">
        <v>596</v>
      </c>
      <c r="C46" s="239">
        <v>0</v>
      </c>
      <c r="D46" s="239">
        <v>838</v>
      </c>
      <c r="E46" s="239">
        <f t="shared" si="4"/>
        <v>838</v>
      </c>
      <c r="F46" s="238">
        <f t="shared" si="5"/>
        <v>0</v>
      </c>
    </row>
    <row r="47" spans="1:6" ht="20.25" customHeight="1">
      <c r="A47" s="235">
        <v>8</v>
      </c>
      <c r="B47" s="236" t="s">
        <v>597</v>
      </c>
      <c r="C47" s="239">
        <v>0</v>
      </c>
      <c r="D47" s="239">
        <v>177</v>
      </c>
      <c r="E47" s="239">
        <f t="shared" si="4"/>
        <v>177</v>
      </c>
      <c r="F47" s="238">
        <f t="shared" si="5"/>
        <v>0</v>
      </c>
    </row>
    <row r="48" spans="1:6" ht="20.25" customHeight="1">
      <c r="A48" s="235">
        <v>9</v>
      </c>
      <c r="B48" s="236" t="s">
        <v>598</v>
      </c>
      <c r="C48" s="239">
        <v>0</v>
      </c>
      <c r="D48" s="239">
        <v>69</v>
      </c>
      <c r="E48" s="239">
        <f t="shared" si="4"/>
        <v>69</v>
      </c>
      <c r="F48" s="238">
        <f t="shared" si="5"/>
        <v>0</v>
      </c>
    </row>
    <row r="49" spans="1:6" s="240" customFormat="1" ht="20.25" customHeight="1">
      <c r="A49" s="241"/>
      <c r="B49" s="242" t="s">
        <v>599</v>
      </c>
      <c r="C49" s="243">
        <f>+C40+C42</f>
        <v>0</v>
      </c>
      <c r="D49" s="243">
        <f>+D40+D42</f>
        <v>3239031</v>
      </c>
      <c r="E49" s="243">
        <f t="shared" si="4"/>
        <v>3239031</v>
      </c>
      <c r="F49" s="244">
        <f t="shared" si="5"/>
        <v>0</v>
      </c>
    </row>
    <row r="50" spans="1:6" s="240" customFormat="1" ht="20.25" customHeight="1">
      <c r="A50" s="241"/>
      <c r="B50" s="242" t="s">
        <v>600</v>
      </c>
      <c r="C50" s="243">
        <f>+C41+C43</f>
        <v>0</v>
      </c>
      <c r="D50" s="243">
        <f>+D41+D43</f>
        <v>1311041</v>
      </c>
      <c r="E50" s="243">
        <f t="shared" si="4"/>
        <v>1311041</v>
      </c>
      <c r="F50" s="244">
        <f t="shared" si="5"/>
        <v>0</v>
      </c>
    </row>
    <row r="51" spans="1:6" s="240" customFormat="1" ht="20.25" customHeight="1">
      <c r="A51" s="245"/>
      <c r="B51" s="242"/>
      <c r="C51" s="243"/>
      <c r="D51" s="243"/>
      <c r="E51" s="243"/>
      <c r="F51" s="244"/>
    </row>
    <row r="52" spans="1:6" ht="18.75" customHeight="1">
      <c r="A52" s="227" t="s">
        <v>329</v>
      </c>
      <c r="B52" s="231" t="s">
        <v>603</v>
      </c>
      <c r="C52" s="232"/>
      <c r="D52" s="233"/>
      <c r="E52" s="227"/>
      <c r="F52" s="234"/>
    </row>
    <row r="53" spans="1:6" ht="20.25" customHeight="1">
      <c r="A53" s="235">
        <v>1</v>
      </c>
      <c r="B53" s="236" t="s">
        <v>592</v>
      </c>
      <c r="C53" s="237">
        <v>9539547</v>
      </c>
      <c r="D53" s="237">
        <v>9421629</v>
      </c>
      <c r="E53" s="237">
        <f aca="true" t="shared" si="6" ref="E53:E63">D53-C53</f>
        <v>-117918</v>
      </c>
      <c r="F53" s="238">
        <f aca="true" t="shared" si="7" ref="F53:F63">IF(C53=0,0,E53/C53)</f>
        <v>-0.012360964309940504</v>
      </c>
    </row>
    <row r="54" spans="1:6" ht="20.25" customHeight="1">
      <c r="A54" s="235">
        <v>2</v>
      </c>
      <c r="B54" s="236" t="s">
        <v>593</v>
      </c>
      <c r="C54" s="237">
        <v>4118718</v>
      </c>
      <c r="D54" s="237">
        <v>4202644</v>
      </c>
      <c r="E54" s="237">
        <f t="shared" si="6"/>
        <v>83926</v>
      </c>
      <c r="F54" s="238">
        <f t="shared" si="7"/>
        <v>0.02037672887534422</v>
      </c>
    </row>
    <row r="55" spans="1:6" ht="20.25" customHeight="1">
      <c r="A55" s="235">
        <v>3</v>
      </c>
      <c r="B55" s="236" t="s">
        <v>594</v>
      </c>
      <c r="C55" s="237">
        <v>6360193</v>
      </c>
      <c r="D55" s="237">
        <v>6330429</v>
      </c>
      <c r="E55" s="237">
        <f t="shared" si="6"/>
        <v>-29764</v>
      </c>
      <c r="F55" s="238">
        <f t="shared" si="7"/>
        <v>-0.004679732203095094</v>
      </c>
    </row>
    <row r="56" spans="1:6" ht="20.25" customHeight="1">
      <c r="A56" s="235">
        <v>4</v>
      </c>
      <c r="B56" s="236" t="s">
        <v>595</v>
      </c>
      <c r="C56" s="237">
        <v>2159922</v>
      </c>
      <c r="D56" s="237">
        <v>2006746</v>
      </c>
      <c r="E56" s="237">
        <f t="shared" si="6"/>
        <v>-153176</v>
      </c>
      <c r="F56" s="238">
        <f t="shared" si="7"/>
        <v>-0.07091737572004915</v>
      </c>
    </row>
    <row r="57" spans="1:6" ht="20.25" customHeight="1">
      <c r="A57" s="235">
        <v>5</v>
      </c>
      <c r="B57" s="236" t="s">
        <v>531</v>
      </c>
      <c r="C57" s="239">
        <v>435</v>
      </c>
      <c r="D57" s="239">
        <v>430</v>
      </c>
      <c r="E57" s="239">
        <f t="shared" si="6"/>
        <v>-5</v>
      </c>
      <c r="F57" s="238">
        <f t="shared" si="7"/>
        <v>-0.011494252873563218</v>
      </c>
    </row>
    <row r="58" spans="1:6" ht="20.25" customHeight="1">
      <c r="A58" s="235">
        <v>6</v>
      </c>
      <c r="B58" s="236" t="s">
        <v>530</v>
      </c>
      <c r="C58" s="239">
        <v>2364</v>
      </c>
      <c r="D58" s="239">
        <v>2149</v>
      </c>
      <c r="E58" s="239">
        <f t="shared" si="6"/>
        <v>-215</v>
      </c>
      <c r="F58" s="238">
        <f t="shared" si="7"/>
        <v>-0.09094754653130288</v>
      </c>
    </row>
    <row r="59" spans="1:6" ht="20.25" customHeight="1">
      <c r="A59" s="235">
        <v>7</v>
      </c>
      <c r="B59" s="236" t="s">
        <v>596</v>
      </c>
      <c r="C59" s="239">
        <v>3234</v>
      </c>
      <c r="D59" s="239">
        <v>3374</v>
      </c>
      <c r="E59" s="239">
        <f t="shared" si="6"/>
        <v>140</v>
      </c>
      <c r="F59" s="238">
        <f t="shared" si="7"/>
        <v>0.04329004329004329</v>
      </c>
    </row>
    <row r="60" spans="1:6" ht="20.25" customHeight="1">
      <c r="A60" s="235">
        <v>8</v>
      </c>
      <c r="B60" s="236" t="s">
        <v>597</v>
      </c>
      <c r="C60" s="239">
        <v>655</v>
      </c>
      <c r="D60" s="239">
        <v>698</v>
      </c>
      <c r="E60" s="239">
        <f t="shared" si="6"/>
        <v>43</v>
      </c>
      <c r="F60" s="238">
        <f t="shared" si="7"/>
        <v>0.06564885496183206</v>
      </c>
    </row>
    <row r="61" spans="1:6" ht="20.25" customHeight="1">
      <c r="A61" s="235">
        <v>9</v>
      </c>
      <c r="B61" s="236" t="s">
        <v>598</v>
      </c>
      <c r="C61" s="239">
        <v>345</v>
      </c>
      <c r="D61" s="239">
        <v>358</v>
      </c>
      <c r="E61" s="239">
        <f t="shared" si="6"/>
        <v>13</v>
      </c>
      <c r="F61" s="238">
        <f t="shared" si="7"/>
        <v>0.03768115942028986</v>
      </c>
    </row>
    <row r="62" spans="1:6" s="240" customFormat="1" ht="20.25" customHeight="1">
      <c r="A62" s="241"/>
      <c r="B62" s="242" t="s">
        <v>599</v>
      </c>
      <c r="C62" s="243">
        <f>+C53+C55</f>
        <v>15899740</v>
      </c>
      <c r="D62" s="243">
        <f>+D53+D55</f>
        <v>15752058</v>
      </c>
      <c r="E62" s="243">
        <f t="shared" si="6"/>
        <v>-147682</v>
      </c>
      <c r="F62" s="244">
        <f t="shared" si="7"/>
        <v>-0.009288327985237495</v>
      </c>
    </row>
    <row r="63" spans="1:6" s="240" customFormat="1" ht="20.25" customHeight="1">
      <c r="A63" s="241"/>
      <c r="B63" s="242" t="s">
        <v>600</v>
      </c>
      <c r="C63" s="243">
        <f>+C54+C56</f>
        <v>6278640</v>
      </c>
      <c r="D63" s="243">
        <f>+D54+D56</f>
        <v>6209390</v>
      </c>
      <c r="E63" s="243">
        <f t="shared" si="6"/>
        <v>-69250</v>
      </c>
      <c r="F63" s="244">
        <f t="shared" si="7"/>
        <v>-0.011029458608870711</v>
      </c>
    </row>
    <row r="64" spans="1:6" s="240" customFormat="1" ht="20.25" customHeight="1">
      <c r="A64" s="245"/>
      <c r="B64" s="242"/>
      <c r="C64" s="243"/>
      <c r="D64" s="243"/>
      <c r="E64" s="243"/>
      <c r="F64" s="244"/>
    </row>
    <row r="65" spans="1:6" ht="18.75" customHeight="1">
      <c r="A65" s="227" t="s">
        <v>334</v>
      </c>
      <c r="B65" s="231" t="s">
        <v>604</v>
      </c>
      <c r="C65" s="232"/>
      <c r="D65" s="233"/>
      <c r="E65" s="227"/>
      <c r="F65" s="234"/>
    </row>
    <row r="66" spans="1:6" ht="20.25" customHeight="1">
      <c r="A66" s="235">
        <v>1</v>
      </c>
      <c r="B66" s="236" t="s">
        <v>592</v>
      </c>
      <c r="C66" s="237">
        <v>0</v>
      </c>
      <c r="D66" s="237">
        <v>0</v>
      </c>
      <c r="E66" s="237">
        <f aca="true" t="shared" si="8" ref="E66:E76">D66-C66</f>
        <v>0</v>
      </c>
      <c r="F66" s="238">
        <f aca="true" t="shared" si="9" ref="F66:F76">IF(C66=0,0,E66/C66)</f>
        <v>0</v>
      </c>
    </row>
    <row r="67" spans="1:6" ht="20.25" customHeight="1">
      <c r="A67" s="235">
        <v>2</v>
      </c>
      <c r="B67" s="236" t="s">
        <v>593</v>
      </c>
      <c r="C67" s="237">
        <v>0</v>
      </c>
      <c r="D67" s="237">
        <v>0</v>
      </c>
      <c r="E67" s="237">
        <f t="shared" si="8"/>
        <v>0</v>
      </c>
      <c r="F67" s="238">
        <f t="shared" si="9"/>
        <v>0</v>
      </c>
    </row>
    <row r="68" spans="1:6" ht="20.25" customHeight="1">
      <c r="A68" s="235">
        <v>3</v>
      </c>
      <c r="B68" s="236" t="s">
        <v>594</v>
      </c>
      <c r="C68" s="237">
        <v>0</v>
      </c>
      <c r="D68" s="237">
        <v>0</v>
      </c>
      <c r="E68" s="237">
        <f t="shared" si="8"/>
        <v>0</v>
      </c>
      <c r="F68" s="238">
        <f t="shared" si="9"/>
        <v>0</v>
      </c>
    </row>
    <row r="69" spans="1:6" ht="20.25" customHeight="1">
      <c r="A69" s="235">
        <v>4</v>
      </c>
      <c r="B69" s="236" t="s">
        <v>595</v>
      </c>
      <c r="C69" s="237">
        <v>0</v>
      </c>
      <c r="D69" s="237">
        <v>0</v>
      </c>
      <c r="E69" s="237">
        <f t="shared" si="8"/>
        <v>0</v>
      </c>
      <c r="F69" s="238">
        <f t="shared" si="9"/>
        <v>0</v>
      </c>
    </row>
    <row r="70" spans="1:6" ht="20.25" customHeight="1">
      <c r="A70" s="235">
        <v>5</v>
      </c>
      <c r="B70" s="236" t="s">
        <v>531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ht="20.25" customHeight="1">
      <c r="A71" s="235">
        <v>6</v>
      </c>
      <c r="B71" s="236" t="s">
        <v>530</v>
      </c>
      <c r="C71" s="239">
        <v>0</v>
      </c>
      <c r="D71" s="239">
        <v>0</v>
      </c>
      <c r="E71" s="239">
        <f t="shared" si="8"/>
        <v>0</v>
      </c>
      <c r="F71" s="238">
        <f t="shared" si="9"/>
        <v>0</v>
      </c>
    </row>
    <row r="72" spans="1:6" ht="20.25" customHeight="1">
      <c r="A72" s="235">
        <v>7</v>
      </c>
      <c r="B72" s="236" t="s">
        <v>596</v>
      </c>
      <c r="C72" s="239">
        <v>0</v>
      </c>
      <c r="D72" s="239">
        <v>0</v>
      </c>
      <c r="E72" s="239">
        <f t="shared" si="8"/>
        <v>0</v>
      </c>
      <c r="F72" s="238">
        <f t="shared" si="9"/>
        <v>0</v>
      </c>
    </row>
    <row r="73" spans="1:6" ht="20.25" customHeight="1">
      <c r="A73" s="235">
        <v>8</v>
      </c>
      <c r="B73" s="236" t="s">
        <v>597</v>
      </c>
      <c r="C73" s="239">
        <v>0</v>
      </c>
      <c r="D73" s="239">
        <v>0</v>
      </c>
      <c r="E73" s="239">
        <f t="shared" si="8"/>
        <v>0</v>
      </c>
      <c r="F73" s="238">
        <f t="shared" si="9"/>
        <v>0</v>
      </c>
    </row>
    <row r="74" spans="1:6" ht="20.25" customHeight="1">
      <c r="A74" s="235">
        <v>9</v>
      </c>
      <c r="B74" s="236" t="s">
        <v>598</v>
      </c>
      <c r="C74" s="239">
        <v>0</v>
      </c>
      <c r="D74" s="239">
        <v>0</v>
      </c>
      <c r="E74" s="239">
        <f t="shared" si="8"/>
        <v>0</v>
      </c>
      <c r="F74" s="238">
        <f t="shared" si="9"/>
        <v>0</v>
      </c>
    </row>
    <row r="75" spans="1:6" s="240" customFormat="1" ht="20.25" customHeight="1">
      <c r="A75" s="241"/>
      <c r="B75" s="242" t="s">
        <v>599</v>
      </c>
      <c r="C75" s="243">
        <f>+C66+C68</f>
        <v>0</v>
      </c>
      <c r="D75" s="243">
        <f>+D66+D68</f>
        <v>0</v>
      </c>
      <c r="E75" s="243">
        <f t="shared" si="8"/>
        <v>0</v>
      </c>
      <c r="F75" s="244">
        <f t="shared" si="9"/>
        <v>0</v>
      </c>
    </row>
    <row r="76" spans="1:6" s="240" customFormat="1" ht="20.25" customHeight="1">
      <c r="A76" s="241"/>
      <c r="B76" s="242" t="s">
        <v>600</v>
      </c>
      <c r="C76" s="243">
        <f>+C67+C69</f>
        <v>0</v>
      </c>
      <c r="D76" s="243">
        <f>+D67+D69</f>
        <v>0</v>
      </c>
      <c r="E76" s="243">
        <f t="shared" si="8"/>
        <v>0</v>
      </c>
      <c r="F76" s="244">
        <f t="shared" si="9"/>
        <v>0</v>
      </c>
    </row>
    <row r="77" spans="1:6" s="240" customFormat="1" ht="20.25" customHeight="1">
      <c r="A77" s="245"/>
      <c r="B77" s="242"/>
      <c r="C77" s="243"/>
      <c r="D77" s="243"/>
      <c r="E77" s="243"/>
      <c r="F77" s="244"/>
    </row>
    <row r="78" spans="1:6" ht="18.75" customHeight="1">
      <c r="A78" s="227" t="s">
        <v>340</v>
      </c>
      <c r="B78" s="231" t="s">
        <v>605</v>
      </c>
      <c r="C78" s="232"/>
      <c r="D78" s="233"/>
      <c r="E78" s="227"/>
      <c r="F78" s="234"/>
    </row>
    <row r="79" spans="1:6" ht="20.25" customHeight="1">
      <c r="A79" s="235">
        <v>1</v>
      </c>
      <c r="B79" s="236" t="s">
        <v>592</v>
      </c>
      <c r="C79" s="237">
        <v>0</v>
      </c>
      <c r="D79" s="237">
        <v>0</v>
      </c>
      <c r="E79" s="237">
        <f aca="true" t="shared" si="10" ref="E79:E89">D79-C79</f>
        <v>0</v>
      </c>
      <c r="F79" s="238">
        <f aca="true" t="shared" si="11" ref="F79:F89">IF(C79=0,0,E79/C79)</f>
        <v>0</v>
      </c>
    </row>
    <row r="80" spans="1:6" ht="20.25" customHeight="1">
      <c r="A80" s="235">
        <v>2</v>
      </c>
      <c r="B80" s="236" t="s">
        <v>593</v>
      </c>
      <c r="C80" s="237">
        <v>0</v>
      </c>
      <c r="D80" s="237">
        <v>0</v>
      </c>
      <c r="E80" s="237">
        <f t="shared" si="10"/>
        <v>0</v>
      </c>
      <c r="F80" s="238">
        <f t="shared" si="11"/>
        <v>0</v>
      </c>
    </row>
    <row r="81" spans="1:6" ht="20.25" customHeight="1">
      <c r="A81" s="235">
        <v>3</v>
      </c>
      <c r="B81" s="236" t="s">
        <v>594</v>
      </c>
      <c r="C81" s="237">
        <v>0</v>
      </c>
      <c r="D81" s="237">
        <v>0</v>
      </c>
      <c r="E81" s="237">
        <f t="shared" si="10"/>
        <v>0</v>
      </c>
      <c r="F81" s="238">
        <f t="shared" si="11"/>
        <v>0</v>
      </c>
    </row>
    <row r="82" spans="1:6" ht="20.25" customHeight="1">
      <c r="A82" s="235">
        <v>4</v>
      </c>
      <c r="B82" s="236" t="s">
        <v>595</v>
      </c>
      <c r="C82" s="237">
        <v>0</v>
      </c>
      <c r="D82" s="237">
        <v>0</v>
      </c>
      <c r="E82" s="237">
        <f t="shared" si="10"/>
        <v>0</v>
      </c>
      <c r="F82" s="238">
        <f t="shared" si="11"/>
        <v>0</v>
      </c>
    </row>
    <row r="83" spans="1:6" ht="20.25" customHeight="1">
      <c r="A83" s="235">
        <v>5</v>
      </c>
      <c r="B83" s="236" t="s">
        <v>531</v>
      </c>
      <c r="C83" s="239">
        <v>0</v>
      </c>
      <c r="D83" s="239">
        <v>0</v>
      </c>
      <c r="E83" s="239">
        <f t="shared" si="10"/>
        <v>0</v>
      </c>
      <c r="F83" s="238">
        <f t="shared" si="11"/>
        <v>0</v>
      </c>
    </row>
    <row r="84" spans="1:6" ht="20.25" customHeight="1">
      <c r="A84" s="235">
        <v>6</v>
      </c>
      <c r="B84" s="236" t="s">
        <v>530</v>
      </c>
      <c r="C84" s="239">
        <v>0</v>
      </c>
      <c r="D84" s="239">
        <v>0</v>
      </c>
      <c r="E84" s="239">
        <f t="shared" si="10"/>
        <v>0</v>
      </c>
      <c r="F84" s="238">
        <f t="shared" si="11"/>
        <v>0</v>
      </c>
    </row>
    <row r="85" spans="1:6" ht="20.25" customHeight="1">
      <c r="A85" s="235">
        <v>7</v>
      </c>
      <c r="B85" s="236" t="s">
        <v>596</v>
      </c>
      <c r="C85" s="239">
        <v>0</v>
      </c>
      <c r="D85" s="239">
        <v>0</v>
      </c>
      <c r="E85" s="239">
        <f t="shared" si="10"/>
        <v>0</v>
      </c>
      <c r="F85" s="238">
        <f t="shared" si="11"/>
        <v>0</v>
      </c>
    </row>
    <row r="86" spans="1:6" ht="20.25" customHeight="1">
      <c r="A86" s="235">
        <v>8</v>
      </c>
      <c r="B86" s="236" t="s">
        <v>597</v>
      </c>
      <c r="C86" s="239">
        <v>0</v>
      </c>
      <c r="D86" s="239">
        <v>0</v>
      </c>
      <c r="E86" s="239">
        <f t="shared" si="10"/>
        <v>0</v>
      </c>
      <c r="F86" s="238">
        <f t="shared" si="11"/>
        <v>0</v>
      </c>
    </row>
    <row r="87" spans="1:6" ht="20.25" customHeight="1">
      <c r="A87" s="235">
        <v>9</v>
      </c>
      <c r="B87" s="236" t="s">
        <v>598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>
      <c r="A88" s="241"/>
      <c r="B88" s="242" t="s">
        <v>599</v>
      </c>
      <c r="C88" s="243">
        <f>+C79+C81</f>
        <v>0</v>
      </c>
      <c r="D88" s="243">
        <f>+D79+D81</f>
        <v>0</v>
      </c>
      <c r="E88" s="243">
        <f t="shared" si="10"/>
        <v>0</v>
      </c>
      <c r="F88" s="244">
        <f t="shared" si="11"/>
        <v>0</v>
      </c>
    </row>
    <row r="89" spans="1:6" s="240" customFormat="1" ht="20.25" customHeight="1">
      <c r="A89" s="241"/>
      <c r="B89" s="242" t="s">
        <v>600</v>
      </c>
      <c r="C89" s="243">
        <f>+C80+C82</f>
        <v>0</v>
      </c>
      <c r="D89" s="243">
        <f>+D80+D82</f>
        <v>0</v>
      </c>
      <c r="E89" s="243">
        <f t="shared" si="10"/>
        <v>0</v>
      </c>
      <c r="F89" s="244">
        <f t="shared" si="11"/>
        <v>0</v>
      </c>
    </row>
    <row r="90" spans="1:6" s="240" customFormat="1" ht="20.25" customHeight="1">
      <c r="A90" s="245"/>
      <c r="B90" s="242"/>
      <c r="C90" s="243"/>
      <c r="D90" s="243"/>
      <c r="E90" s="243"/>
      <c r="F90" s="244"/>
    </row>
    <row r="91" spans="1:6" ht="18.75" customHeight="1">
      <c r="A91" s="227" t="s">
        <v>342</v>
      </c>
      <c r="B91" s="231" t="s">
        <v>606</v>
      </c>
      <c r="C91" s="232"/>
      <c r="D91" s="233"/>
      <c r="E91" s="227"/>
      <c r="F91" s="234"/>
    </row>
    <row r="92" spans="1:6" ht="20.25" customHeight="1">
      <c r="A92" s="235">
        <v>1</v>
      </c>
      <c r="B92" s="236" t="s">
        <v>592</v>
      </c>
      <c r="C92" s="237">
        <v>0</v>
      </c>
      <c r="D92" s="237">
        <v>0</v>
      </c>
      <c r="E92" s="237">
        <f aca="true" t="shared" si="12" ref="E92:E102">D92-C92</f>
        <v>0</v>
      </c>
      <c r="F92" s="238">
        <f aca="true" t="shared" si="13" ref="F92:F102">IF(C92=0,0,E92/C92)</f>
        <v>0</v>
      </c>
    </row>
    <row r="93" spans="1:6" ht="20.25" customHeight="1">
      <c r="A93" s="235">
        <v>2</v>
      </c>
      <c r="B93" s="236" t="s">
        <v>593</v>
      </c>
      <c r="C93" s="237">
        <v>0</v>
      </c>
      <c r="D93" s="237">
        <v>0</v>
      </c>
      <c r="E93" s="237">
        <f t="shared" si="12"/>
        <v>0</v>
      </c>
      <c r="F93" s="238">
        <f t="shared" si="13"/>
        <v>0</v>
      </c>
    </row>
    <row r="94" spans="1:6" ht="20.25" customHeight="1">
      <c r="A94" s="235">
        <v>3</v>
      </c>
      <c r="B94" s="236" t="s">
        <v>594</v>
      </c>
      <c r="C94" s="237">
        <v>0</v>
      </c>
      <c r="D94" s="237">
        <v>0</v>
      </c>
      <c r="E94" s="237">
        <f t="shared" si="12"/>
        <v>0</v>
      </c>
      <c r="F94" s="238">
        <f t="shared" si="13"/>
        <v>0</v>
      </c>
    </row>
    <row r="95" spans="1:6" ht="20.25" customHeight="1">
      <c r="A95" s="235">
        <v>4</v>
      </c>
      <c r="B95" s="236" t="s">
        <v>595</v>
      </c>
      <c r="C95" s="237">
        <v>0</v>
      </c>
      <c r="D95" s="237">
        <v>0</v>
      </c>
      <c r="E95" s="237">
        <f t="shared" si="12"/>
        <v>0</v>
      </c>
      <c r="F95" s="238">
        <f t="shared" si="13"/>
        <v>0</v>
      </c>
    </row>
    <row r="96" spans="1:6" ht="20.25" customHeight="1">
      <c r="A96" s="235">
        <v>5</v>
      </c>
      <c r="B96" s="236" t="s">
        <v>531</v>
      </c>
      <c r="C96" s="239">
        <v>0</v>
      </c>
      <c r="D96" s="239">
        <v>0</v>
      </c>
      <c r="E96" s="239">
        <f t="shared" si="12"/>
        <v>0</v>
      </c>
      <c r="F96" s="238">
        <f t="shared" si="13"/>
        <v>0</v>
      </c>
    </row>
    <row r="97" spans="1:6" ht="20.25" customHeight="1">
      <c r="A97" s="235">
        <v>6</v>
      </c>
      <c r="B97" s="236" t="s">
        <v>530</v>
      </c>
      <c r="C97" s="239">
        <v>0</v>
      </c>
      <c r="D97" s="239">
        <v>0</v>
      </c>
      <c r="E97" s="239">
        <f t="shared" si="12"/>
        <v>0</v>
      </c>
      <c r="F97" s="238">
        <f t="shared" si="13"/>
        <v>0</v>
      </c>
    </row>
    <row r="98" spans="1:6" ht="20.25" customHeight="1">
      <c r="A98" s="235">
        <v>7</v>
      </c>
      <c r="B98" s="236" t="s">
        <v>596</v>
      </c>
      <c r="C98" s="239">
        <v>0</v>
      </c>
      <c r="D98" s="239">
        <v>0</v>
      </c>
      <c r="E98" s="239">
        <f t="shared" si="12"/>
        <v>0</v>
      </c>
      <c r="F98" s="238">
        <f t="shared" si="13"/>
        <v>0</v>
      </c>
    </row>
    <row r="99" spans="1:6" ht="20.25" customHeight="1">
      <c r="A99" s="235">
        <v>8</v>
      </c>
      <c r="B99" s="236" t="s">
        <v>597</v>
      </c>
      <c r="C99" s="239">
        <v>0</v>
      </c>
      <c r="D99" s="239">
        <v>0</v>
      </c>
      <c r="E99" s="239">
        <f t="shared" si="12"/>
        <v>0</v>
      </c>
      <c r="F99" s="238">
        <f t="shared" si="13"/>
        <v>0</v>
      </c>
    </row>
    <row r="100" spans="1:6" ht="20.25" customHeight="1">
      <c r="A100" s="235">
        <v>9</v>
      </c>
      <c r="B100" s="236" t="s">
        <v>598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>
      <c r="A101" s="241"/>
      <c r="B101" s="242" t="s">
        <v>599</v>
      </c>
      <c r="C101" s="243">
        <f>+C92+C94</f>
        <v>0</v>
      </c>
      <c r="D101" s="243">
        <f>+D92+D94</f>
        <v>0</v>
      </c>
      <c r="E101" s="243">
        <f t="shared" si="12"/>
        <v>0</v>
      </c>
      <c r="F101" s="244">
        <f t="shared" si="13"/>
        <v>0</v>
      </c>
    </row>
    <row r="102" spans="1:6" s="240" customFormat="1" ht="20.25" customHeight="1">
      <c r="A102" s="241"/>
      <c r="B102" s="242" t="s">
        <v>600</v>
      </c>
      <c r="C102" s="243">
        <f>+C93+C95</f>
        <v>0</v>
      </c>
      <c r="D102" s="243">
        <f>+D93+D95</f>
        <v>0</v>
      </c>
      <c r="E102" s="243">
        <f t="shared" si="12"/>
        <v>0</v>
      </c>
      <c r="F102" s="244">
        <f t="shared" si="13"/>
        <v>0</v>
      </c>
    </row>
    <row r="103" spans="1:6" s="240" customFormat="1" ht="20.25" customHeight="1">
      <c r="A103" s="245"/>
      <c r="B103" s="242"/>
      <c r="C103" s="243"/>
      <c r="D103" s="243"/>
      <c r="E103" s="243"/>
      <c r="F103" s="244"/>
    </row>
    <row r="104" spans="1:6" ht="18.75" customHeight="1">
      <c r="A104" s="227" t="s">
        <v>345</v>
      </c>
      <c r="B104" s="231" t="s">
        <v>607</v>
      </c>
      <c r="C104" s="232"/>
      <c r="D104" s="233"/>
      <c r="E104" s="227"/>
      <c r="F104" s="234"/>
    </row>
    <row r="105" spans="1:6" ht="20.25" customHeight="1">
      <c r="A105" s="235">
        <v>1</v>
      </c>
      <c r="B105" s="236" t="s">
        <v>592</v>
      </c>
      <c r="C105" s="237">
        <v>0</v>
      </c>
      <c r="D105" s="237">
        <v>0</v>
      </c>
      <c r="E105" s="237">
        <f aca="true" t="shared" si="14" ref="E105:E115">D105-C105</f>
        <v>0</v>
      </c>
      <c r="F105" s="238">
        <f aca="true" t="shared" si="15" ref="F105:F115">IF(C105=0,0,E105/C105)</f>
        <v>0</v>
      </c>
    </row>
    <row r="106" spans="1:6" ht="20.25" customHeight="1">
      <c r="A106" s="235">
        <v>2</v>
      </c>
      <c r="B106" s="236" t="s">
        <v>593</v>
      </c>
      <c r="C106" s="237">
        <v>0</v>
      </c>
      <c r="D106" s="237">
        <v>0</v>
      </c>
      <c r="E106" s="237">
        <f t="shared" si="14"/>
        <v>0</v>
      </c>
      <c r="F106" s="238">
        <f t="shared" si="15"/>
        <v>0</v>
      </c>
    </row>
    <row r="107" spans="1:6" ht="20.25" customHeight="1">
      <c r="A107" s="235">
        <v>3</v>
      </c>
      <c r="B107" s="236" t="s">
        <v>594</v>
      </c>
      <c r="C107" s="237">
        <v>0</v>
      </c>
      <c r="D107" s="237">
        <v>0</v>
      </c>
      <c r="E107" s="237">
        <f t="shared" si="14"/>
        <v>0</v>
      </c>
      <c r="F107" s="238">
        <f t="shared" si="15"/>
        <v>0</v>
      </c>
    </row>
    <row r="108" spans="1:6" ht="20.25" customHeight="1">
      <c r="A108" s="235">
        <v>4</v>
      </c>
      <c r="B108" s="236" t="s">
        <v>595</v>
      </c>
      <c r="C108" s="237">
        <v>0</v>
      </c>
      <c r="D108" s="237">
        <v>0</v>
      </c>
      <c r="E108" s="237">
        <f t="shared" si="14"/>
        <v>0</v>
      </c>
      <c r="F108" s="238">
        <f t="shared" si="15"/>
        <v>0</v>
      </c>
    </row>
    <row r="109" spans="1:6" ht="20.25" customHeight="1">
      <c r="A109" s="235">
        <v>5</v>
      </c>
      <c r="B109" s="236" t="s">
        <v>531</v>
      </c>
      <c r="C109" s="239">
        <v>0</v>
      </c>
      <c r="D109" s="239">
        <v>0</v>
      </c>
      <c r="E109" s="239">
        <f t="shared" si="14"/>
        <v>0</v>
      </c>
      <c r="F109" s="238">
        <f t="shared" si="15"/>
        <v>0</v>
      </c>
    </row>
    <row r="110" spans="1:6" ht="20.25" customHeight="1">
      <c r="A110" s="235">
        <v>6</v>
      </c>
      <c r="B110" s="236" t="s">
        <v>530</v>
      </c>
      <c r="C110" s="239">
        <v>0</v>
      </c>
      <c r="D110" s="239">
        <v>0</v>
      </c>
      <c r="E110" s="239">
        <f t="shared" si="14"/>
        <v>0</v>
      </c>
      <c r="F110" s="238">
        <f t="shared" si="15"/>
        <v>0</v>
      </c>
    </row>
    <row r="111" spans="1:6" ht="20.25" customHeight="1">
      <c r="A111" s="235">
        <v>7</v>
      </c>
      <c r="B111" s="236" t="s">
        <v>596</v>
      </c>
      <c r="C111" s="239">
        <v>0</v>
      </c>
      <c r="D111" s="239">
        <v>0</v>
      </c>
      <c r="E111" s="239">
        <f t="shared" si="14"/>
        <v>0</v>
      </c>
      <c r="F111" s="238">
        <f t="shared" si="15"/>
        <v>0</v>
      </c>
    </row>
    <row r="112" spans="1:6" ht="20.25" customHeight="1">
      <c r="A112" s="235">
        <v>8</v>
      </c>
      <c r="B112" s="236" t="s">
        <v>597</v>
      </c>
      <c r="C112" s="239">
        <v>0</v>
      </c>
      <c r="D112" s="239">
        <v>0</v>
      </c>
      <c r="E112" s="239">
        <f t="shared" si="14"/>
        <v>0</v>
      </c>
      <c r="F112" s="238">
        <f t="shared" si="15"/>
        <v>0</v>
      </c>
    </row>
    <row r="113" spans="1:6" ht="20.25" customHeight="1">
      <c r="A113" s="235">
        <v>9</v>
      </c>
      <c r="B113" s="236" t="s">
        <v>598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>
      <c r="A114" s="241"/>
      <c r="B114" s="242" t="s">
        <v>599</v>
      </c>
      <c r="C114" s="243">
        <f>+C105+C107</f>
        <v>0</v>
      </c>
      <c r="D114" s="243">
        <f>+D105+D107</f>
        <v>0</v>
      </c>
      <c r="E114" s="243">
        <f t="shared" si="14"/>
        <v>0</v>
      </c>
      <c r="F114" s="244">
        <f t="shared" si="15"/>
        <v>0</v>
      </c>
    </row>
    <row r="115" spans="1:6" s="240" customFormat="1" ht="20.25" customHeight="1">
      <c r="A115" s="241"/>
      <c r="B115" s="242" t="s">
        <v>600</v>
      </c>
      <c r="C115" s="243">
        <f>+C106+C108</f>
        <v>0</v>
      </c>
      <c r="D115" s="243">
        <f>+D106+D108</f>
        <v>0</v>
      </c>
      <c r="E115" s="243">
        <f t="shared" si="14"/>
        <v>0</v>
      </c>
      <c r="F115" s="244">
        <f t="shared" si="15"/>
        <v>0</v>
      </c>
    </row>
    <row r="116" spans="1:6" s="240" customFormat="1" ht="20.25" customHeight="1">
      <c r="A116" s="245"/>
      <c r="B116" s="242"/>
      <c r="C116" s="243"/>
      <c r="D116" s="243"/>
      <c r="E116" s="243"/>
      <c r="F116" s="244"/>
    </row>
    <row r="117" spans="1:6" ht="18.75" customHeight="1">
      <c r="A117" s="227" t="s">
        <v>348</v>
      </c>
      <c r="B117" s="231" t="s">
        <v>608</v>
      </c>
      <c r="C117" s="232"/>
      <c r="D117" s="233"/>
      <c r="E117" s="227"/>
      <c r="F117" s="234"/>
    </row>
    <row r="118" spans="1:6" ht="20.25" customHeight="1">
      <c r="A118" s="235">
        <v>1</v>
      </c>
      <c r="B118" s="236" t="s">
        <v>592</v>
      </c>
      <c r="C118" s="237">
        <v>0</v>
      </c>
      <c r="D118" s="237">
        <v>0</v>
      </c>
      <c r="E118" s="237">
        <f aca="true" t="shared" si="16" ref="E118:E128">D118-C118</f>
        <v>0</v>
      </c>
      <c r="F118" s="238">
        <f aca="true" t="shared" si="17" ref="F118:F128">IF(C118=0,0,E118/C118)</f>
        <v>0</v>
      </c>
    </row>
    <row r="119" spans="1:6" ht="20.25" customHeight="1">
      <c r="A119" s="235">
        <v>2</v>
      </c>
      <c r="B119" s="236" t="s">
        <v>593</v>
      </c>
      <c r="C119" s="237">
        <v>0</v>
      </c>
      <c r="D119" s="237">
        <v>0</v>
      </c>
      <c r="E119" s="237">
        <f t="shared" si="16"/>
        <v>0</v>
      </c>
      <c r="F119" s="238">
        <f t="shared" si="17"/>
        <v>0</v>
      </c>
    </row>
    <row r="120" spans="1:6" ht="20.25" customHeight="1">
      <c r="A120" s="235">
        <v>3</v>
      </c>
      <c r="B120" s="236" t="s">
        <v>594</v>
      </c>
      <c r="C120" s="237">
        <v>0</v>
      </c>
      <c r="D120" s="237">
        <v>0</v>
      </c>
      <c r="E120" s="237">
        <f t="shared" si="16"/>
        <v>0</v>
      </c>
      <c r="F120" s="238">
        <f t="shared" si="17"/>
        <v>0</v>
      </c>
    </row>
    <row r="121" spans="1:6" ht="20.25" customHeight="1">
      <c r="A121" s="235">
        <v>4</v>
      </c>
      <c r="B121" s="236" t="s">
        <v>595</v>
      </c>
      <c r="C121" s="237">
        <v>0</v>
      </c>
      <c r="D121" s="237">
        <v>0</v>
      </c>
      <c r="E121" s="237">
        <f t="shared" si="16"/>
        <v>0</v>
      </c>
      <c r="F121" s="238">
        <f t="shared" si="17"/>
        <v>0</v>
      </c>
    </row>
    <row r="122" spans="1:6" ht="20.25" customHeight="1">
      <c r="A122" s="235">
        <v>5</v>
      </c>
      <c r="B122" s="236" t="s">
        <v>531</v>
      </c>
      <c r="C122" s="239">
        <v>0</v>
      </c>
      <c r="D122" s="239">
        <v>0</v>
      </c>
      <c r="E122" s="239">
        <f t="shared" si="16"/>
        <v>0</v>
      </c>
      <c r="F122" s="238">
        <f t="shared" si="17"/>
        <v>0</v>
      </c>
    </row>
    <row r="123" spans="1:6" ht="20.25" customHeight="1">
      <c r="A123" s="235">
        <v>6</v>
      </c>
      <c r="B123" s="236" t="s">
        <v>530</v>
      </c>
      <c r="C123" s="239">
        <v>0</v>
      </c>
      <c r="D123" s="239">
        <v>0</v>
      </c>
      <c r="E123" s="239">
        <f t="shared" si="16"/>
        <v>0</v>
      </c>
      <c r="F123" s="238">
        <f t="shared" si="17"/>
        <v>0</v>
      </c>
    </row>
    <row r="124" spans="1:6" ht="20.25" customHeight="1">
      <c r="A124" s="235">
        <v>7</v>
      </c>
      <c r="B124" s="236" t="s">
        <v>596</v>
      </c>
      <c r="C124" s="239">
        <v>0</v>
      </c>
      <c r="D124" s="239">
        <v>0</v>
      </c>
      <c r="E124" s="239">
        <f t="shared" si="16"/>
        <v>0</v>
      </c>
      <c r="F124" s="238">
        <f t="shared" si="17"/>
        <v>0</v>
      </c>
    </row>
    <row r="125" spans="1:6" ht="20.25" customHeight="1">
      <c r="A125" s="235">
        <v>8</v>
      </c>
      <c r="B125" s="236" t="s">
        <v>597</v>
      </c>
      <c r="C125" s="239">
        <v>0</v>
      </c>
      <c r="D125" s="239">
        <v>0</v>
      </c>
      <c r="E125" s="239">
        <f t="shared" si="16"/>
        <v>0</v>
      </c>
      <c r="F125" s="238">
        <f t="shared" si="17"/>
        <v>0</v>
      </c>
    </row>
    <row r="126" spans="1:6" ht="20.25" customHeight="1">
      <c r="A126" s="235">
        <v>9</v>
      </c>
      <c r="B126" s="236" t="s">
        <v>598</v>
      </c>
      <c r="C126" s="239">
        <v>0</v>
      </c>
      <c r="D126" s="239">
        <v>0</v>
      </c>
      <c r="E126" s="239">
        <f t="shared" si="16"/>
        <v>0</v>
      </c>
      <c r="F126" s="238">
        <f t="shared" si="17"/>
        <v>0</v>
      </c>
    </row>
    <row r="127" spans="1:6" s="240" customFormat="1" ht="20.25" customHeight="1">
      <c r="A127" s="241"/>
      <c r="B127" s="242" t="s">
        <v>599</v>
      </c>
      <c r="C127" s="243">
        <f>+C118+C120</f>
        <v>0</v>
      </c>
      <c r="D127" s="243">
        <f>+D118+D120</f>
        <v>0</v>
      </c>
      <c r="E127" s="243">
        <f t="shared" si="16"/>
        <v>0</v>
      </c>
      <c r="F127" s="244">
        <f t="shared" si="17"/>
        <v>0</v>
      </c>
    </row>
    <row r="128" spans="1:6" s="240" customFormat="1" ht="20.25" customHeight="1">
      <c r="A128" s="241"/>
      <c r="B128" s="242" t="s">
        <v>600</v>
      </c>
      <c r="C128" s="243">
        <f>+C119+C121</f>
        <v>0</v>
      </c>
      <c r="D128" s="243">
        <f>+D119+D121</f>
        <v>0</v>
      </c>
      <c r="E128" s="243">
        <f t="shared" si="16"/>
        <v>0</v>
      </c>
      <c r="F128" s="244">
        <f t="shared" si="17"/>
        <v>0</v>
      </c>
    </row>
    <row r="129" spans="1:6" s="240" customFormat="1" ht="20.25" customHeight="1">
      <c r="A129" s="245"/>
      <c r="B129" s="242"/>
      <c r="C129" s="243"/>
      <c r="D129" s="243"/>
      <c r="E129" s="243"/>
      <c r="F129" s="244"/>
    </row>
    <row r="130" spans="1:6" ht="18.75" customHeight="1">
      <c r="A130" s="227" t="s">
        <v>357</v>
      </c>
      <c r="B130" s="231" t="s">
        <v>609</v>
      </c>
      <c r="C130" s="232"/>
      <c r="D130" s="233"/>
      <c r="E130" s="227"/>
      <c r="F130" s="234"/>
    </row>
    <row r="131" spans="1:6" ht="20.25" customHeight="1">
      <c r="A131" s="235">
        <v>1</v>
      </c>
      <c r="B131" s="236" t="s">
        <v>592</v>
      </c>
      <c r="C131" s="237">
        <v>0</v>
      </c>
      <c r="D131" s="237">
        <v>0</v>
      </c>
      <c r="E131" s="237">
        <f aca="true" t="shared" si="18" ref="E131:E141">D131-C131</f>
        <v>0</v>
      </c>
      <c r="F131" s="238">
        <f aca="true" t="shared" si="19" ref="F131:F141">IF(C131=0,0,E131/C131)</f>
        <v>0</v>
      </c>
    </row>
    <row r="132" spans="1:6" ht="20.25" customHeight="1">
      <c r="A132" s="235">
        <v>2</v>
      </c>
      <c r="B132" s="236" t="s">
        <v>593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>
      <c r="A133" s="235">
        <v>3</v>
      </c>
      <c r="B133" s="236" t="s">
        <v>594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>
      <c r="A134" s="235">
        <v>4</v>
      </c>
      <c r="B134" s="236" t="s">
        <v>595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>
      <c r="A135" s="235">
        <v>5</v>
      </c>
      <c r="B135" s="236" t="s">
        <v>531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>
      <c r="A136" s="235">
        <v>6</v>
      </c>
      <c r="B136" s="236" t="s">
        <v>530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>
      <c r="A137" s="235">
        <v>7</v>
      </c>
      <c r="B137" s="236" t="s">
        <v>596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>
      <c r="A138" s="235">
        <v>8</v>
      </c>
      <c r="B138" s="236" t="s">
        <v>597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>
      <c r="A139" s="235">
        <v>9</v>
      </c>
      <c r="B139" s="236" t="s">
        <v>598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>
      <c r="A140" s="241"/>
      <c r="B140" s="242" t="s">
        <v>599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>
      <c r="A141" s="241"/>
      <c r="B141" s="242" t="s">
        <v>600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>
      <c r="A142" s="245"/>
      <c r="B142" s="242"/>
      <c r="C142" s="243"/>
      <c r="D142" s="243"/>
      <c r="E142" s="243"/>
      <c r="F142" s="244"/>
    </row>
    <row r="143" spans="1:6" ht="18.75" customHeight="1">
      <c r="A143" s="227" t="s">
        <v>376</v>
      </c>
      <c r="B143" s="231" t="s">
        <v>610</v>
      </c>
      <c r="C143" s="232"/>
      <c r="D143" s="233"/>
      <c r="E143" s="227"/>
      <c r="F143" s="234"/>
    </row>
    <row r="144" spans="1:6" ht="20.25" customHeight="1">
      <c r="A144" s="235">
        <v>1</v>
      </c>
      <c r="B144" s="236" t="s">
        <v>592</v>
      </c>
      <c r="C144" s="237">
        <v>0</v>
      </c>
      <c r="D144" s="237">
        <v>0</v>
      </c>
      <c r="E144" s="237">
        <f aca="true" t="shared" si="20" ref="E144:E154">D144-C144</f>
        <v>0</v>
      </c>
      <c r="F144" s="238">
        <f aca="true" t="shared" si="21" ref="F144:F154">IF(C144=0,0,E144/C144)</f>
        <v>0</v>
      </c>
    </row>
    <row r="145" spans="1:6" ht="20.25" customHeight="1">
      <c r="A145" s="235">
        <v>2</v>
      </c>
      <c r="B145" s="236" t="s">
        <v>593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>
      <c r="A146" s="235">
        <v>3</v>
      </c>
      <c r="B146" s="236" t="s">
        <v>594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>
      <c r="A147" s="235">
        <v>4</v>
      </c>
      <c r="B147" s="236" t="s">
        <v>595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>
      <c r="A148" s="235">
        <v>5</v>
      </c>
      <c r="B148" s="236" t="s">
        <v>531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>
      <c r="A149" s="235">
        <v>6</v>
      </c>
      <c r="B149" s="236" t="s">
        <v>530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>
      <c r="A150" s="235">
        <v>7</v>
      </c>
      <c r="B150" s="236" t="s">
        <v>596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>
      <c r="A151" s="235">
        <v>8</v>
      </c>
      <c r="B151" s="236" t="s">
        <v>597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>
      <c r="A152" s="235">
        <v>9</v>
      </c>
      <c r="B152" s="236" t="s">
        <v>598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>
      <c r="A153" s="241"/>
      <c r="B153" s="242" t="s">
        <v>599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>
      <c r="A154" s="241"/>
      <c r="B154" s="242" t="s">
        <v>600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>
      <c r="A155" s="245"/>
      <c r="B155" s="242"/>
      <c r="C155" s="243"/>
      <c r="D155" s="243"/>
      <c r="E155" s="243"/>
      <c r="F155" s="244"/>
    </row>
    <row r="156" spans="1:6" ht="18.75" customHeight="1">
      <c r="A156" s="227" t="s">
        <v>611</v>
      </c>
      <c r="B156" s="231" t="s">
        <v>612</v>
      </c>
      <c r="C156" s="232"/>
      <c r="D156" s="233"/>
      <c r="E156" s="227"/>
      <c r="F156" s="234"/>
    </row>
    <row r="157" spans="1:6" ht="20.25" customHeight="1">
      <c r="A157" s="235">
        <v>1</v>
      </c>
      <c r="B157" s="236" t="s">
        <v>592</v>
      </c>
      <c r="C157" s="237">
        <v>0</v>
      </c>
      <c r="D157" s="237">
        <v>0</v>
      </c>
      <c r="E157" s="237">
        <f aca="true" t="shared" si="22" ref="E157:E167">D157-C157</f>
        <v>0</v>
      </c>
      <c r="F157" s="238">
        <f aca="true" t="shared" si="23" ref="F157:F167">IF(C157=0,0,E157/C157)</f>
        <v>0</v>
      </c>
    </row>
    <row r="158" spans="1:6" ht="20.25" customHeight="1">
      <c r="A158" s="235">
        <v>2</v>
      </c>
      <c r="B158" s="236" t="s">
        <v>593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>
      <c r="A159" s="235">
        <v>3</v>
      </c>
      <c r="B159" s="236" t="s">
        <v>594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>
      <c r="A160" s="235">
        <v>4</v>
      </c>
      <c r="B160" s="236" t="s">
        <v>595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>
      <c r="A161" s="235">
        <v>5</v>
      </c>
      <c r="B161" s="236" t="s">
        <v>531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>
      <c r="A162" s="235">
        <v>6</v>
      </c>
      <c r="B162" s="236" t="s">
        <v>530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>
      <c r="A163" s="235">
        <v>7</v>
      </c>
      <c r="B163" s="236" t="s">
        <v>596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>
      <c r="A164" s="235">
        <v>8</v>
      </c>
      <c r="B164" s="236" t="s">
        <v>597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>
      <c r="A165" s="235">
        <v>9</v>
      </c>
      <c r="B165" s="236" t="s">
        <v>598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>
      <c r="A166" s="241"/>
      <c r="B166" s="242" t="s">
        <v>599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>
      <c r="A167" s="241"/>
      <c r="B167" s="242" t="s">
        <v>600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>
      <c r="A168" s="245"/>
      <c r="B168" s="242"/>
      <c r="C168" s="243"/>
      <c r="D168" s="243"/>
      <c r="E168" s="243"/>
      <c r="F168" s="244"/>
    </row>
    <row r="169" spans="1:6" ht="18.75" customHeight="1">
      <c r="A169" s="227" t="s">
        <v>613</v>
      </c>
      <c r="B169" s="231" t="s">
        <v>614</v>
      </c>
      <c r="C169" s="232"/>
      <c r="D169" s="233"/>
      <c r="E169" s="227"/>
      <c r="F169" s="234"/>
    </row>
    <row r="170" spans="1:6" ht="20.25" customHeight="1">
      <c r="A170" s="235">
        <v>1</v>
      </c>
      <c r="B170" s="236" t="s">
        <v>592</v>
      </c>
      <c r="C170" s="237">
        <v>0</v>
      </c>
      <c r="D170" s="237">
        <v>0</v>
      </c>
      <c r="E170" s="237">
        <f aca="true" t="shared" si="24" ref="E170:E180">D170-C170</f>
        <v>0</v>
      </c>
      <c r="F170" s="238">
        <f aca="true" t="shared" si="25" ref="F170:F180">IF(C170=0,0,E170/C170)</f>
        <v>0</v>
      </c>
    </row>
    <row r="171" spans="1:6" ht="20.25" customHeight="1">
      <c r="A171" s="235">
        <v>2</v>
      </c>
      <c r="B171" s="236" t="s">
        <v>593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>
      <c r="A172" s="235">
        <v>3</v>
      </c>
      <c r="B172" s="236" t="s">
        <v>594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>
      <c r="A173" s="235">
        <v>4</v>
      </c>
      <c r="B173" s="236" t="s">
        <v>595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>
      <c r="A174" s="235">
        <v>5</v>
      </c>
      <c r="B174" s="236" t="s">
        <v>531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>
      <c r="A175" s="235">
        <v>6</v>
      </c>
      <c r="B175" s="236" t="s">
        <v>530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>
      <c r="A176" s="235">
        <v>7</v>
      </c>
      <c r="B176" s="236" t="s">
        <v>596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>
      <c r="A177" s="235">
        <v>8</v>
      </c>
      <c r="B177" s="236" t="s">
        <v>597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>
      <c r="A178" s="235">
        <v>9</v>
      </c>
      <c r="B178" s="236" t="s">
        <v>598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>
      <c r="A179" s="241"/>
      <c r="B179" s="242" t="s">
        <v>599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>
      <c r="A180" s="241"/>
      <c r="B180" s="242" t="s">
        <v>600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>
      <c r="A181" s="245"/>
      <c r="B181" s="242"/>
      <c r="C181" s="243"/>
      <c r="D181" s="243"/>
      <c r="E181" s="243"/>
      <c r="F181" s="244"/>
    </row>
    <row r="182" spans="1:6" ht="18.75" customHeight="1">
      <c r="A182" s="227" t="s">
        <v>615</v>
      </c>
      <c r="B182" s="231" t="s">
        <v>616</v>
      </c>
      <c r="C182" s="232"/>
      <c r="D182" s="233"/>
      <c r="E182" s="227"/>
      <c r="F182" s="234"/>
    </row>
    <row r="183" spans="1:6" ht="20.25" customHeight="1">
      <c r="A183" s="235">
        <v>1</v>
      </c>
      <c r="B183" s="236" t="s">
        <v>592</v>
      </c>
      <c r="C183" s="237">
        <v>0</v>
      </c>
      <c r="D183" s="237">
        <v>0</v>
      </c>
      <c r="E183" s="237">
        <f aca="true" t="shared" si="26" ref="E183:E193">D183-C183</f>
        <v>0</v>
      </c>
      <c r="F183" s="238">
        <f aca="true" t="shared" si="27" ref="F183:F193">IF(C183=0,0,E183/C183)</f>
        <v>0</v>
      </c>
    </row>
    <row r="184" spans="1:6" ht="20.25" customHeight="1">
      <c r="A184" s="235">
        <v>2</v>
      </c>
      <c r="B184" s="236" t="s">
        <v>593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>
      <c r="A185" s="235">
        <v>3</v>
      </c>
      <c r="B185" s="236" t="s">
        <v>594</v>
      </c>
      <c r="C185" s="237">
        <v>0</v>
      </c>
      <c r="D185" s="237">
        <v>0</v>
      </c>
      <c r="E185" s="237">
        <f t="shared" si="26"/>
        <v>0</v>
      </c>
      <c r="F185" s="238">
        <f t="shared" si="27"/>
        <v>0</v>
      </c>
    </row>
    <row r="186" spans="1:6" ht="20.25" customHeight="1">
      <c r="A186" s="235">
        <v>4</v>
      </c>
      <c r="B186" s="236" t="s">
        <v>595</v>
      </c>
      <c r="C186" s="237">
        <v>0</v>
      </c>
      <c r="D186" s="237">
        <v>0</v>
      </c>
      <c r="E186" s="237">
        <f t="shared" si="26"/>
        <v>0</v>
      </c>
      <c r="F186" s="238">
        <f t="shared" si="27"/>
        <v>0</v>
      </c>
    </row>
    <row r="187" spans="1:6" ht="20.25" customHeight="1">
      <c r="A187" s="235">
        <v>5</v>
      </c>
      <c r="B187" s="236" t="s">
        <v>531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>
      <c r="A188" s="235">
        <v>6</v>
      </c>
      <c r="B188" s="236" t="s">
        <v>530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>
      <c r="A189" s="235">
        <v>7</v>
      </c>
      <c r="B189" s="236" t="s">
        <v>596</v>
      </c>
      <c r="C189" s="239">
        <v>0</v>
      </c>
      <c r="D189" s="239">
        <v>0</v>
      </c>
      <c r="E189" s="239">
        <f t="shared" si="26"/>
        <v>0</v>
      </c>
      <c r="F189" s="238">
        <f t="shared" si="27"/>
        <v>0</v>
      </c>
    </row>
    <row r="190" spans="1:6" ht="20.25" customHeight="1">
      <c r="A190" s="235">
        <v>8</v>
      </c>
      <c r="B190" s="236" t="s">
        <v>597</v>
      </c>
      <c r="C190" s="239">
        <v>0</v>
      </c>
      <c r="D190" s="239">
        <v>0</v>
      </c>
      <c r="E190" s="239">
        <f t="shared" si="26"/>
        <v>0</v>
      </c>
      <c r="F190" s="238">
        <f t="shared" si="27"/>
        <v>0</v>
      </c>
    </row>
    <row r="191" spans="1:6" ht="20.25" customHeight="1">
      <c r="A191" s="235">
        <v>9</v>
      </c>
      <c r="B191" s="236" t="s">
        <v>598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>
      <c r="A192" s="241"/>
      <c r="B192" s="242" t="s">
        <v>599</v>
      </c>
      <c r="C192" s="243">
        <f>+C183+C185</f>
        <v>0</v>
      </c>
      <c r="D192" s="243">
        <f>+D183+D185</f>
        <v>0</v>
      </c>
      <c r="E192" s="243">
        <f t="shared" si="26"/>
        <v>0</v>
      </c>
      <c r="F192" s="244">
        <f t="shared" si="27"/>
        <v>0</v>
      </c>
    </row>
    <row r="193" spans="1:6" s="240" customFormat="1" ht="20.25" customHeight="1">
      <c r="A193" s="241"/>
      <c r="B193" s="242" t="s">
        <v>600</v>
      </c>
      <c r="C193" s="243">
        <f>+C184+C186</f>
        <v>0</v>
      </c>
      <c r="D193" s="243">
        <f>+D184+D186</f>
        <v>0</v>
      </c>
      <c r="E193" s="243">
        <f t="shared" si="26"/>
        <v>0</v>
      </c>
      <c r="F193" s="244">
        <f t="shared" si="27"/>
        <v>0</v>
      </c>
    </row>
    <row r="194" spans="1:6" s="240" customFormat="1" ht="20.25" customHeight="1">
      <c r="A194" s="245"/>
      <c r="B194" s="242"/>
      <c r="C194" s="243"/>
      <c r="D194" s="243"/>
      <c r="E194" s="243"/>
      <c r="F194" s="244"/>
    </row>
    <row r="195" spans="1:9" ht="20.25" customHeight="1">
      <c r="A195" s="676" t="s">
        <v>202</v>
      </c>
      <c r="B195" s="678" t="s">
        <v>617</v>
      </c>
      <c r="C195" s="680"/>
      <c r="D195" s="681"/>
      <c r="E195" s="681"/>
      <c r="F195" s="682"/>
      <c r="G195" s="686"/>
      <c r="H195" s="686"/>
      <c r="I195" s="686"/>
    </row>
    <row r="196" spans="1:9" ht="20.25" customHeight="1">
      <c r="A196" s="677"/>
      <c r="B196" s="679"/>
      <c r="C196" s="683"/>
      <c r="D196" s="684"/>
      <c r="E196" s="684"/>
      <c r="F196" s="685"/>
      <c r="G196" s="686"/>
      <c r="H196" s="686"/>
      <c r="I196" s="686"/>
    </row>
    <row r="197" spans="1:9" ht="20.25" customHeight="1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6" ht="20.25" customHeight="1">
      <c r="A198" s="249"/>
      <c r="B198" s="250" t="s">
        <v>618</v>
      </c>
      <c r="C198" s="243">
        <f aca="true" t="shared" si="28" ref="C198:D206">+C183+C170+C157+C144+C131+C118+C105+C92+C79+C66+C53+C40+C27+C14</f>
        <v>10950263</v>
      </c>
      <c r="D198" s="243">
        <f t="shared" si="28"/>
        <v>12565983</v>
      </c>
      <c r="E198" s="243">
        <f aca="true" t="shared" si="29" ref="E198:E208">D198-C198</f>
        <v>1615720</v>
      </c>
      <c r="F198" s="251">
        <f aca="true" t="shared" si="30" ref="F198:F208">IF(C198=0,0,E198/C198)</f>
        <v>0.14755079398549606</v>
      </c>
    </row>
    <row r="199" spans="1:6" ht="20.25" customHeight="1">
      <c r="A199" s="249"/>
      <c r="B199" s="250" t="s">
        <v>619</v>
      </c>
      <c r="C199" s="243">
        <f t="shared" si="28"/>
        <v>4830308</v>
      </c>
      <c r="D199" s="243">
        <f t="shared" si="28"/>
        <v>5757808</v>
      </c>
      <c r="E199" s="243">
        <f t="shared" si="29"/>
        <v>927500</v>
      </c>
      <c r="F199" s="251">
        <f t="shared" si="30"/>
        <v>0.19201674096144594</v>
      </c>
    </row>
    <row r="200" spans="1:6" ht="20.25" customHeight="1">
      <c r="A200" s="249"/>
      <c r="B200" s="250" t="s">
        <v>620</v>
      </c>
      <c r="C200" s="243">
        <f t="shared" si="28"/>
        <v>7233348</v>
      </c>
      <c r="D200" s="243">
        <f t="shared" si="28"/>
        <v>8895648</v>
      </c>
      <c r="E200" s="243">
        <f t="shared" si="29"/>
        <v>1662300</v>
      </c>
      <c r="F200" s="251">
        <f t="shared" si="30"/>
        <v>0.22981059393243627</v>
      </c>
    </row>
    <row r="201" spans="1:6" ht="20.25" customHeight="1">
      <c r="A201" s="249"/>
      <c r="B201" s="250" t="s">
        <v>621</v>
      </c>
      <c r="C201" s="243">
        <f t="shared" si="28"/>
        <v>2457231</v>
      </c>
      <c r="D201" s="243">
        <f t="shared" si="28"/>
        <v>2831705</v>
      </c>
      <c r="E201" s="243">
        <f t="shared" si="29"/>
        <v>374474</v>
      </c>
      <c r="F201" s="251">
        <f t="shared" si="30"/>
        <v>0.15239674251220175</v>
      </c>
    </row>
    <row r="202" spans="1:6" ht="20.25" customHeight="1">
      <c r="A202" s="249"/>
      <c r="B202" s="250" t="s">
        <v>622</v>
      </c>
      <c r="C202" s="252">
        <f t="shared" si="28"/>
        <v>511</v>
      </c>
      <c r="D202" s="252">
        <f t="shared" si="28"/>
        <v>603</v>
      </c>
      <c r="E202" s="252">
        <f t="shared" si="29"/>
        <v>92</v>
      </c>
      <c r="F202" s="251">
        <f t="shared" si="30"/>
        <v>0.18003913894324852</v>
      </c>
    </row>
    <row r="203" spans="1:6" ht="20.25" customHeight="1">
      <c r="A203" s="249"/>
      <c r="B203" s="250" t="s">
        <v>623</v>
      </c>
      <c r="C203" s="252">
        <f t="shared" si="28"/>
        <v>2744</v>
      </c>
      <c r="D203" s="252">
        <f t="shared" si="28"/>
        <v>2856</v>
      </c>
      <c r="E203" s="252">
        <f t="shared" si="29"/>
        <v>112</v>
      </c>
      <c r="F203" s="251">
        <f t="shared" si="30"/>
        <v>0.04081632653061224</v>
      </c>
    </row>
    <row r="204" spans="1:6" ht="39.75" customHeight="1">
      <c r="A204" s="249"/>
      <c r="B204" s="250" t="s">
        <v>624</v>
      </c>
      <c r="C204" s="252">
        <f t="shared" si="28"/>
        <v>3555</v>
      </c>
      <c r="D204" s="252">
        <f t="shared" si="28"/>
        <v>4677</v>
      </c>
      <c r="E204" s="252">
        <f t="shared" si="29"/>
        <v>1122</v>
      </c>
      <c r="F204" s="251">
        <f t="shared" si="30"/>
        <v>0.31561181434599156</v>
      </c>
    </row>
    <row r="205" spans="1:6" ht="39.75" customHeight="1">
      <c r="A205" s="249"/>
      <c r="B205" s="250" t="s">
        <v>625</v>
      </c>
      <c r="C205" s="252">
        <f t="shared" si="28"/>
        <v>727</v>
      </c>
      <c r="D205" s="252">
        <f t="shared" si="28"/>
        <v>998</v>
      </c>
      <c r="E205" s="252">
        <f t="shared" si="29"/>
        <v>271</v>
      </c>
      <c r="F205" s="251">
        <f t="shared" si="30"/>
        <v>0.37276478679504815</v>
      </c>
    </row>
    <row r="206" spans="1:6" ht="39.75" customHeight="1">
      <c r="A206" s="249"/>
      <c r="B206" s="250" t="s">
        <v>626</v>
      </c>
      <c r="C206" s="252">
        <f t="shared" si="28"/>
        <v>413</v>
      </c>
      <c r="D206" s="252">
        <f t="shared" si="28"/>
        <v>494</v>
      </c>
      <c r="E206" s="252">
        <f t="shared" si="29"/>
        <v>81</v>
      </c>
      <c r="F206" s="251">
        <f t="shared" si="30"/>
        <v>0.19612590799031476</v>
      </c>
    </row>
    <row r="207" spans="1:6" ht="20.25" customHeight="1">
      <c r="A207" s="249"/>
      <c r="B207" s="242" t="s">
        <v>627</v>
      </c>
      <c r="C207" s="243">
        <f>+C198+C200</f>
        <v>18183611</v>
      </c>
      <c r="D207" s="243">
        <f>+D198+D200</f>
        <v>21461631</v>
      </c>
      <c r="E207" s="243">
        <f t="shared" si="29"/>
        <v>3278020</v>
      </c>
      <c r="F207" s="251">
        <f t="shared" si="30"/>
        <v>0.1802733241488723</v>
      </c>
    </row>
    <row r="208" spans="1:6" ht="20.25" customHeight="1">
      <c r="A208" s="249"/>
      <c r="B208" s="242" t="s">
        <v>628</v>
      </c>
      <c r="C208" s="243">
        <f>+C199+C201</f>
        <v>7287539</v>
      </c>
      <c r="D208" s="243">
        <f>+D199+D201</f>
        <v>8589513</v>
      </c>
      <c r="E208" s="243">
        <f t="shared" si="29"/>
        <v>1301974</v>
      </c>
      <c r="F208" s="251">
        <f t="shared" si="30"/>
        <v>0.1786575687622392</v>
      </c>
    </row>
  </sheetData>
  <sheetProtection/>
  <mergeCells count="12">
    <mergeCell ref="C9:F9"/>
    <mergeCell ref="A10:A11"/>
    <mergeCell ref="B10:B11"/>
    <mergeCell ref="C10:F11"/>
    <mergeCell ref="A2:F2"/>
    <mergeCell ref="A3:F3"/>
    <mergeCell ref="A4:F4"/>
    <mergeCell ref="A5:F5"/>
    <mergeCell ref="A195:A196"/>
    <mergeCell ref="B195:B196"/>
    <mergeCell ref="C195:F196"/>
    <mergeCell ref="G195:I196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FILING&amp;RMIDSTATE MEDICAL CENTER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22"/>
  <sheetViews>
    <sheetView zoomScale="70" zoomScaleNormal="70" zoomScalePageLayoutView="0" workbookViewId="0" topLeftCell="A1">
      <selection activeCell="B15" sqref="B15"/>
    </sheetView>
  </sheetViews>
  <sheetFormatPr defaultColWidth="9.140625" defaultRowHeight="20.25" customHeight="1"/>
  <cols>
    <col min="1" max="1" width="7.28125" style="211" customWidth="1"/>
    <col min="2" max="2" width="62.421875" style="211" customWidth="1"/>
    <col min="3" max="3" width="22.8515625" style="212" customWidth="1"/>
    <col min="4" max="6" width="22.8515625" style="21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60" t="s">
        <v>158</v>
      </c>
      <c r="B2" s="660"/>
      <c r="C2" s="660"/>
      <c r="D2" s="660"/>
      <c r="E2" s="660"/>
      <c r="F2" s="660"/>
    </row>
    <row r="3" spans="1:6" ht="20.25" customHeight="1">
      <c r="A3" s="660" t="s">
        <v>159</v>
      </c>
      <c r="B3" s="660"/>
      <c r="C3" s="660"/>
      <c r="D3" s="660"/>
      <c r="E3" s="660"/>
      <c r="F3" s="660"/>
    </row>
    <row r="4" spans="1:6" ht="20.25" customHeight="1">
      <c r="A4" s="660" t="s">
        <v>160</v>
      </c>
      <c r="B4" s="660"/>
      <c r="C4" s="660"/>
      <c r="D4" s="660"/>
      <c r="E4" s="660"/>
      <c r="F4" s="660"/>
    </row>
    <row r="5" spans="1:6" ht="20.25" customHeight="1">
      <c r="A5" s="660" t="s">
        <v>629</v>
      </c>
      <c r="B5" s="660"/>
      <c r="C5" s="660"/>
      <c r="D5" s="660"/>
      <c r="E5" s="660"/>
      <c r="F5" s="660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53"/>
      <c r="B8" s="254"/>
      <c r="C8" s="223" t="s">
        <v>588</v>
      </c>
      <c r="D8" s="223" t="s">
        <v>589</v>
      </c>
      <c r="E8" s="223" t="s">
        <v>590</v>
      </c>
      <c r="F8" s="224" t="s">
        <v>266</v>
      </c>
      <c r="G8" s="212"/>
    </row>
    <row r="9" spans="1:7" ht="20.25" customHeight="1">
      <c r="A9" s="255"/>
      <c r="B9" s="256"/>
      <c r="C9" s="257"/>
      <c r="D9" s="258"/>
      <c r="E9" s="258"/>
      <c r="F9" s="259"/>
      <c r="G9" s="212"/>
    </row>
    <row r="10" spans="1:6" ht="20.25" customHeight="1">
      <c r="A10" s="676" t="s">
        <v>170</v>
      </c>
      <c r="B10" s="678" t="s">
        <v>273</v>
      </c>
      <c r="C10" s="680"/>
      <c r="D10" s="681"/>
      <c r="E10" s="681"/>
      <c r="F10" s="682"/>
    </row>
    <row r="11" spans="1:6" ht="20.25" customHeight="1">
      <c r="A11" s="677"/>
      <c r="B11" s="679"/>
      <c r="C11" s="683"/>
      <c r="D11" s="684"/>
      <c r="E11" s="684"/>
      <c r="F11" s="685"/>
    </row>
    <row r="12" spans="1:6" ht="20.25" customHeight="1">
      <c r="A12" s="236"/>
      <c r="B12" s="260"/>
      <c r="C12" s="230"/>
      <c r="D12" s="230"/>
      <c r="E12" s="230"/>
      <c r="F12" s="230"/>
    </row>
    <row r="13" spans="1:6" ht="42" customHeight="1">
      <c r="A13" s="227" t="s">
        <v>268</v>
      </c>
      <c r="B13" s="261" t="s">
        <v>630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592</v>
      </c>
      <c r="C14" s="237">
        <v>553810</v>
      </c>
      <c r="D14" s="237">
        <v>0</v>
      </c>
      <c r="E14" s="237">
        <f aca="true" t="shared" si="0" ref="E14:E24">D14-C14</f>
        <v>-553810</v>
      </c>
      <c r="F14" s="238">
        <f aca="true" t="shared" si="1" ref="F14:F24">IF(C14=0,0,E14/C14)</f>
        <v>-1</v>
      </c>
    </row>
    <row r="15" spans="1:6" ht="20.25" customHeight="1">
      <c r="A15" s="235">
        <v>2</v>
      </c>
      <c r="B15" s="236" t="s">
        <v>593</v>
      </c>
      <c r="C15" s="237">
        <v>195183</v>
      </c>
      <c r="D15" s="237">
        <v>0</v>
      </c>
      <c r="E15" s="237">
        <f t="shared" si="0"/>
        <v>-195183</v>
      </c>
      <c r="F15" s="238">
        <f t="shared" si="1"/>
        <v>-1</v>
      </c>
    </row>
    <row r="16" spans="1:6" ht="20.25" customHeight="1">
      <c r="A16" s="235">
        <v>3</v>
      </c>
      <c r="B16" s="236" t="s">
        <v>594</v>
      </c>
      <c r="C16" s="237">
        <v>1763814</v>
      </c>
      <c r="D16" s="237">
        <v>0</v>
      </c>
      <c r="E16" s="237">
        <f t="shared" si="0"/>
        <v>-1763814</v>
      </c>
      <c r="F16" s="238">
        <f t="shared" si="1"/>
        <v>-1</v>
      </c>
    </row>
    <row r="17" spans="1:6" ht="20.25" customHeight="1">
      <c r="A17" s="235">
        <v>4</v>
      </c>
      <c r="B17" s="236" t="s">
        <v>595</v>
      </c>
      <c r="C17" s="237">
        <v>546782</v>
      </c>
      <c r="D17" s="237">
        <v>0</v>
      </c>
      <c r="E17" s="237">
        <f t="shared" si="0"/>
        <v>-546782</v>
      </c>
      <c r="F17" s="238">
        <f t="shared" si="1"/>
        <v>-1</v>
      </c>
    </row>
    <row r="18" spans="1:6" ht="20.25" customHeight="1">
      <c r="A18" s="235">
        <v>5</v>
      </c>
      <c r="B18" s="236" t="s">
        <v>531</v>
      </c>
      <c r="C18" s="239">
        <v>64</v>
      </c>
      <c r="D18" s="239">
        <v>0</v>
      </c>
      <c r="E18" s="239">
        <f t="shared" si="0"/>
        <v>-64</v>
      </c>
      <c r="F18" s="238">
        <f t="shared" si="1"/>
        <v>-1</v>
      </c>
    </row>
    <row r="19" spans="1:6" ht="20.25" customHeight="1">
      <c r="A19" s="235">
        <v>6</v>
      </c>
      <c r="B19" s="236" t="s">
        <v>530</v>
      </c>
      <c r="C19" s="239">
        <v>180</v>
      </c>
      <c r="D19" s="239">
        <v>0</v>
      </c>
      <c r="E19" s="239">
        <f t="shared" si="0"/>
        <v>-180</v>
      </c>
      <c r="F19" s="238">
        <f t="shared" si="1"/>
        <v>-1</v>
      </c>
    </row>
    <row r="20" spans="1:6" ht="20.25" customHeight="1">
      <c r="A20" s="235">
        <v>7</v>
      </c>
      <c r="B20" s="236" t="s">
        <v>596</v>
      </c>
      <c r="C20" s="239">
        <v>552</v>
      </c>
      <c r="D20" s="239">
        <v>0</v>
      </c>
      <c r="E20" s="239">
        <f t="shared" si="0"/>
        <v>-552</v>
      </c>
      <c r="F20" s="238">
        <f t="shared" si="1"/>
        <v>-1</v>
      </c>
    </row>
    <row r="21" spans="1:6" ht="20.25" customHeight="1">
      <c r="A21" s="235">
        <v>8</v>
      </c>
      <c r="B21" s="236" t="s">
        <v>597</v>
      </c>
      <c r="C21" s="239">
        <v>2356</v>
      </c>
      <c r="D21" s="239">
        <v>0</v>
      </c>
      <c r="E21" s="239">
        <f t="shared" si="0"/>
        <v>-2356</v>
      </c>
      <c r="F21" s="238">
        <f t="shared" si="1"/>
        <v>-1</v>
      </c>
    </row>
    <row r="22" spans="1:6" ht="20.25" customHeight="1">
      <c r="A22" s="235">
        <v>9</v>
      </c>
      <c r="B22" s="236" t="s">
        <v>598</v>
      </c>
      <c r="C22" s="239">
        <v>25</v>
      </c>
      <c r="D22" s="239">
        <v>0</v>
      </c>
      <c r="E22" s="239">
        <f t="shared" si="0"/>
        <v>-25</v>
      </c>
      <c r="F22" s="238">
        <f t="shared" si="1"/>
        <v>-1</v>
      </c>
    </row>
    <row r="23" spans="1:6" s="240" customFormat="1" ht="39.75" customHeight="1">
      <c r="A23" s="245"/>
      <c r="B23" s="242" t="s">
        <v>599</v>
      </c>
      <c r="C23" s="243">
        <f>+C14+C16</f>
        <v>2317624</v>
      </c>
      <c r="D23" s="243">
        <f>+D14+D16</f>
        <v>0</v>
      </c>
      <c r="E23" s="243">
        <f t="shared" si="0"/>
        <v>-2317624</v>
      </c>
      <c r="F23" s="244">
        <f t="shared" si="1"/>
        <v>-1</v>
      </c>
    </row>
    <row r="24" spans="1:6" s="240" customFormat="1" ht="39.75" customHeight="1">
      <c r="A24" s="245"/>
      <c r="B24" s="242" t="s">
        <v>628</v>
      </c>
      <c r="C24" s="243">
        <f>+C15+C17</f>
        <v>741965</v>
      </c>
      <c r="D24" s="243">
        <f>+D15+D17</f>
        <v>0</v>
      </c>
      <c r="E24" s="243">
        <f t="shared" si="0"/>
        <v>-741965</v>
      </c>
      <c r="F24" s="244">
        <f t="shared" si="1"/>
        <v>-1</v>
      </c>
    </row>
    <row r="25" spans="1:6" ht="42" customHeight="1">
      <c r="A25" s="227" t="s">
        <v>282</v>
      </c>
      <c r="B25" s="261" t="s">
        <v>631</v>
      </c>
      <c r="C25" s="232"/>
      <c r="D25" s="233"/>
      <c r="E25" s="227"/>
      <c r="F25" s="234"/>
    </row>
    <row r="26" spans="1:6" ht="20.25" customHeight="1">
      <c r="A26" s="235">
        <v>1</v>
      </c>
      <c r="B26" s="236" t="s">
        <v>592</v>
      </c>
      <c r="C26" s="237">
        <v>4876848</v>
      </c>
      <c r="D26" s="237">
        <v>5745567</v>
      </c>
      <c r="E26" s="237">
        <f aca="true" t="shared" si="2" ref="E26:E36">D26-C26</f>
        <v>868719</v>
      </c>
      <c r="F26" s="238">
        <f aca="true" t="shared" si="3" ref="F26:F36">IF(C26=0,0,E26/C26)</f>
        <v>0.1781312437869706</v>
      </c>
    </row>
    <row r="27" spans="1:6" ht="20.25" customHeight="1">
      <c r="A27" s="235">
        <v>2</v>
      </c>
      <c r="B27" s="236" t="s">
        <v>593</v>
      </c>
      <c r="C27" s="237">
        <v>1990943</v>
      </c>
      <c r="D27" s="237">
        <v>2498395</v>
      </c>
      <c r="E27" s="237">
        <f t="shared" si="2"/>
        <v>507452</v>
      </c>
      <c r="F27" s="238">
        <f t="shared" si="3"/>
        <v>0.2548802250993625</v>
      </c>
    </row>
    <row r="28" spans="1:6" ht="20.25" customHeight="1">
      <c r="A28" s="235">
        <v>3</v>
      </c>
      <c r="B28" s="236" t="s">
        <v>594</v>
      </c>
      <c r="C28" s="237">
        <v>8267594</v>
      </c>
      <c r="D28" s="237">
        <v>11679656</v>
      </c>
      <c r="E28" s="237">
        <f t="shared" si="2"/>
        <v>3412062</v>
      </c>
      <c r="F28" s="238">
        <f t="shared" si="3"/>
        <v>0.412703139510721</v>
      </c>
    </row>
    <row r="29" spans="1:6" ht="20.25" customHeight="1">
      <c r="A29" s="235">
        <v>4</v>
      </c>
      <c r="B29" s="236" t="s">
        <v>595</v>
      </c>
      <c r="C29" s="237">
        <v>2397602</v>
      </c>
      <c r="D29" s="237">
        <v>3971083</v>
      </c>
      <c r="E29" s="237">
        <f t="shared" si="2"/>
        <v>1573481</v>
      </c>
      <c r="F29" s="238">
        <f t="shared" si="3"/>
        <v>0.6562728092485742</v>
      </c>
    </row>
    <row r="30" spans="1:6" ht="20.25" customHeight="1">
      <c r="A30" s="235">
        <v>5</v>
      </c>
      <c r="B30" s="236" t="s">
        <v>531</v>
      </c>
      <c r="C30" s="239">
        <v>697</v>
      </c>
      <c r="D30" s="239">
        <v>781</v>
      </c>
      <c r="E30" s="239">
        <f t="shared" si="2"/>
        <v>84</v>
      </c>
      <c r="F30" s="238">
        <f t="shared" si="3"/>
        <v>0.12051649928263988</v>
      </c>
    </row>
    <row r="31" spans="1:6" ht="20.25" customHeight="1">
      <c r="A31" s="235">
        <v>6</v>
      </c>
      <c r="B31" s="236" t="s">
        <v>530</v>
      </c>
      <c r="C31" s="239">
        <v>1902</v>
      </c>
      <c r="D31" s="239">
        <v>2077</v>
      </c>
      <c r="E31" s="239">
        <f t="shared" si="2"/>
        <v>175</v>
      </c>
      <c r="F31" s="238">
        <f t="shared" si="3"/>
        <v>0.09200841219768664</v>
      </c>
    </row>
    <row r="32" spans="1:6" ht="20.25" customHeight="1">
      <c r="A32" s="235">
        <v>7</v>
      </c>
      <c r="B32" s="236" t="s">
        <v>596</v>
      </c>
      <c r="C32" s="239">
        <v>4087</v>
      </c>
      <c r="D32" s="239">
        <v>6567</v>
      </c>
      <c r="E32" s="239">
        <f t="shared" si="2"/>
        <v>2480</v>
      </c>
      <c r="F32" s="238">
        <f t="shared" si="3"/>
        <v>0.606802055297284</v>
      </c>
    </row>
    <row r="33" spans="1:6" ht="20.25" customHeight="1">
      <c r="A33" s="235">
        <v>8</v>
      </c>
      <c r="B33" s="236" t="s">
        <v>597</v>
      </c>
      <c r="C33" s="239">
        <v>8965</v>
      </c>
      <c r="D33" s="239">
        <v>11540</v>
      </c>
      <c r="E33" s="239">
        <f t="shared" si="2"/>
        <v>2575</v>
      </c>
      <c r="F33" s="238">
        <f t="shared" si="3"/>
        <v>0.2872281093139989</v>
      </c>
    </row>
    <row r="34" spans="1:6" ht="20.25" customHeight="1">
      <c r="A34" s="235">
        <v>9</v>
      </c>
      <c r="B34" s="236" t="s">
        <v>598</v>
      </c>
      <c r="C34" s="239">
        <v>88</v>
      </c>
      <c r="D34" s="239">
        <v>118</v>
      </c>
      <c r="E34" s="239">
        <f t="shared" si="2"/>
        <v>30</v>
      </c>
      <c r="F34" s="238">
        <f t="shared" si="3"/>
        <v>0.3409090909090909</v>
      </c>
    </row>
    <row r="35" spans="1:6" s="240" customFormat="1" ht="39.75" customHeight="1">
      <c r="A35" s="245"/>
      <c r="B35" s="242" t="s">
        <v>599</v>
      </c>
      <c r="C35" s="243">
        <f>+C26+C28</f>
        <v>13144442</v>
      </c>
      <c r="D35" s="243">
        <f>+D26+D28</f>
        <v>17425223</v>
      </c>
      <c r="E35" s="243">
        <f t="shared" si="2"/>
        <v>4280781</v>
      </c>
      <c r="F35" s="244">
        <f t="shared" si="3"/>
        <v>0.3256723259914723</v>
      </c>
    </row>
    <row r="36" spans="1:6" s="240" customFormat="1" ht="39.75" customHeight="1">
      <c r="A36" s="245"/>
      <c r="B36" s="242" t="s">
        <v>628</v>
      </c>
      <c r="C36" s="243">
        <f>+C27+C29</f>
        <v>4388545</v>
      </c>
      <c r="D36" s="243">
        <f>+D27+D29</f>
        <v>6469478</v>
      </c>
      <c r="E36" s="243">
        <f t="shared" si="2"/>
        <v>2080933</v>
      </c>
      <c r="F36" s="244">
        <f t="shared" si="3"/>
        <v>0.47417378652833686</v>
      </c>
    </row>
    <row r="37" spans="1:6" ht="42" customHeight="1">
      <c r="A37" s="227" t="s">
        <v>299</v>
      </c>
      <c r="B37" s="261" t="s">
        <v>632</v>
      </c>
      <c r="C37" s="232"/>
      <c r="D37" s="233"/>
      <c r="E37" s="227"/>
      <c r="F37" s="234"/>
    </row>
    <row r="38" spans="1:6" ht="20.25" customHeight="1">
      <c r="A38" s="235">
        <v>1</v>
      </c>
      <c r="B38" s="236" t="s">
        <v>592</v>
      </c>
      <c r="C38" s="237">
        <v>642601</v>
      </c>
      <c r="D38" s="237">
        <v>0</v>
      </c>
      <c r="E38" s="237">
        <f aca="true" t="shared" si="4" ref="E38:E48">D38-C38</f>
        <v>-642601</v>
      </c>
      <c r="F38" s="238">
        <f aca="true" t="shared" si="5" ref="F38:F48">IF(C38=0,0,E38/C38)</f>
        <v>-1</v>
      </c>
    </row>
    <row r="39" spans="1:6" ht="20.25" customHeight="1">
      <c r="A39" s="235">
        <v>2</v>
      </c>
      <c r="B39" s="236" t="s">
        <v>593</v>
      </c>
      <c r="C39" s="237">
        <v>263024</v>
      </c>
      <c r="D39" s="237">
        <v>0</v>
      </c>
      <c r="E39" s="237">
        <f t="shared" si="4"/>
        <v>-263024</v>
      </c>
      <c r="F39" s="238">
        <f t="shared" si="5"/>
        <v>-1</v>
      </c>
    </row>
    <row r="40" spans="1:6" ht="20.25" customHeight="1">
      <c r="A40" s="235">
        <v>3</v>
      </c>
      <c r="B40" s="236" t="s">
        <v>594</v>
      </c>
      <c r="C40" s="237">
        <v>821043</v>
      </c>
      <c r="D40" s="237">
        <v>0</v>
      </c>
      <c r="E40" s="237">
        <f t="shared" si="4"/>
        <v>-821043</v>
      </c>
      <c r="F40" s="238">
        <f t="shared" si="5"/>
        <v>-1</v>
      </c>
    </row>
    <row r="41" spans="1:6" ht="20.25" customHeight="1">
      <c r="A41" s="235">
        <v>4</v>
      </c>
      <c r="B41" s="236" t="s">
        <v>595</v>
      </c>
      <c r="C41" s="237">
        <v>270944</v>
      </c>
      <c r="D41" s="237">
        <v>0</v>
      </c>
      <c r="E41" s="237">
        <f t="shared" si="4"/>
        <v>-270944</v>
      </c>
      <c r="F41" s="238">
        <f t="shared" si="5"/>
        <v>-1</v>
      </c>
    </row>
    <row r="42" spans="1:6" ht="20.25" customHeight="1">
      <c r="A42" s="235">
        <v>5</v>
      </c>
      <c r="B42" s="236" t="s">
        <v>531</v>
      </c>
      <c r="C42" s="239">
        <v>110</v>
      </c>
      <c r="D42" s="239">
        <v>0</v>
      </c>
      <c r="E42" s="239">
        <f t="shared" si="4"/>
        <v>-110</v>
      </c>
      <c r="F42" s="238">
        <f t="shared" si="5"/>
        <v>-1</v>
      </c>
    </row>
    <row r="43" spans="1:6" ht="20.25" customHeight="1">
      <c r="A43" s="235">
        <v>6</v>
      </c>
      <c r="B43" s="236" t="s">
        <v>530</v>
      </c>
      <c r="C43" s="239">
        <v>281</v>
      </c>
      <c r="D43" s="239">
        <v>0</v>
      </c>
      <c r="E43" s="239">
        <f t="shared" si="4"/>
        <v>-281</v>
      </c>
      <c r="F43" s="238">
        <f t="shared" si="5"/>
        <v>-1</v>
      </c>
    </row>
    <row r="44" spans="1:6" ht="20.25" customHeight="1">
      <c r="A44" s="235">
        <v>7</v>
      </c>
      <c r="B44" s="236" t="s">
        <v>596</v>
      </c>
      <c r="C44" s="239">
        <v>423</v>
      </c>
      <c r="D44" s="239">
        <v>0</v>
      </c>
      <c r="E44" s="239">
        <f t="shared" si="4"/>
        <v>-423</v>
      </c>
      <c r="F44" s="238">
        <f t="shared" si="5"/>
        <v>-1</v>
      </c>
    </row>
    <row r="45" spans="1:6" ht="20.25" customHeight="1">
      <c r="A45" s="235">
        <v>8</v>
      </c>
      <c r="B45" s="236" t="s">
        <v>597</v>
      </c>
      <c r="C45" s="239">
        <v>921</v>
      </c>
      <c r="D45" s="239">
        <v>0</v>
      </c>
      <c r="E45" s="239">
        <f t="shared" si="4"/>
        <v>-921</v>
      </c>
      <c r="F45" s="238">
        <f t="shared" si="5"/>
        <v>-1</v>
      </c>
    </row>
    <row r="46" spans="1:6" ht="20.25" customHeight="1">
      <c r="A46" s="235">
        <v>9</v>
      </c>
      <c r="B46" s="236" t="s">
        <v>598</v>
      </c>
      <c r="C46" s="239">
        <v>9</v>
      </c>
      <c r="D46" s="239">
        <v>0</v>
      </c>
      <c r="E46" s="239">
        <f t="shared" si="4"/>
        <v>-9</v>
      </c>
      <c r="F46" s="238">
        <f t="shared" si="5"/>
        <v>-1</v>
      </c>
    </row>
    <row r="47" spans="1:6" s="240" customFormat="1" ht="39.75" customHeight="1">
      <c r="A47" s="245"/>
      <c r="B47" s="242" t="s">
        <v>599</v>
      </c>
      <c r="C47" s="243">
        <f>+C38+C40</f>
        <v>1463644</v>
      </c>
      <c r="D47" s="243">
        <f>+D38+D40</f>
        <v>0</v>
      </c>
      <c r="E47" s="243">
        <f t="shared" si="4"/>
        <v>-1463644</v>
      </c>
      <c r="F47" s="244">
        <f t="shared" si="5"/>
        <v>-1</v>
      </c>
    </row>
    <row r="48" spans="1:6" s="240" customFormat="1" ht="39.75" customHeight="1">
      <c r="A48" s="245"/>
      <c r="B48" s="242" t="s">
        <v>628</v>
      </c>
      <c r="C48" s="243">
        <f>+C39+C41</f>
        <v>533968</v>
      </c>
      <c r="D48" s="243">
        <f>+D39+D41</f>
        <v>0</v>
      </c>
      <c r="E48" s="243">
        <f t="shared" si="4"/>
        <v>-533968</v>
      </c>
      <c r="F48" s="244">
        <f t="shared" si="5"/>
        <v>-1</v>
      </c>
    </row>
    <row r="49" spans="1:6" ht="42" customHeight="1">
      <c r="A49" s="227" t="s">
        <v>329</v>
      </c>
      <c r="B49" s="261" t="s">
        <v>633</v>
      </c>
      <c r="C49" s="232"/>
      <c r="D49" s="233"/>
      <c r="E49" s="227"/>
      <c r="F49" s="234"/>
    </row>
    <row r="50" spans="1:6" ht="20.25" customHeight="1">
      <c r="A50" s="235">
        <v>1</v>
      </c>
      <c r="B50" s="236" t="s">
        <v>592</v>
      </c>
      <c r="C50" s="237">
        <v>0</v>
      </c>
      <c r="D50" s="237">
        <v>703472</v>
      </c>
      <c r="E50" s="237">
        <f aca="true" t="shared" si="6" ref="E50:E60">D50-C50</f>
        <v>703472</v>
      </c>
      <c r="F50" s="238">
        <f aca="true" t="shared" si="7" ref="F50:F60">IF(C50=0,0,E50/C50)</f>
        <v>0</v>
      </c>
    </row>
    <row r="51" spans="1:6" ht="20.25" customHeight="1">
      <c r="A51" s="235">
        <v>2</v>
      </c>
      <c r="B51" s="236" t="s">
        <v>593</v>
      </c>
      <c r="C51" s="237">
        <v>0</v>
      </c>
      <c r="D51" s="237">
        <v>273422</v>
      </c>
      <c r="E51" s="237">
        <f t="shared" si="6"/>
        <v>273422</v>
      </c>
      <c r="F51" s="238">
        <f t="shared" si="7"/>
        <v>0</v>
      </c>
    </row>
    <row r="52" spans="1:6" ht="20.25" customHeight="1">
      <c r="A52" s="235">
        <v>3</v>
      </c>
      <c r="B52" s="236" t="s">
        <v>594</v>
      </c>
      <c r="C52" s="237">
        <v>0</v>
      </c>
      <c r="D52" s="237">
        <v>1045248</v>
      </c>
      <c r="E52" s="237">
        <f t="shared" si="6"/>
        <v>1045248</v>
      </c>
      <c r="F52" s="238">
        <f t="shared" si="7"/>
        <v>0</v>
      </c>
    </row>
    <row r="53" spans="1:6" ht="20.25" customHeight="1">
      <c r="A53" s="235">
        <v>4</v>
      </c>
      <c r="B53" s="236" t="s">
        <v>595</v>
      </c>
      <c r="C53" s="237">
        <v>0</v>
      </c>
      <c r="D53" s="237">
        <v>313736</v>
      </c>
      <c r="E53" s="237">
        <f t="shared" si="6"/>
        <v>313736</v>
      </c>
      <c r="F53" s="238">
        <f t="shared" si="7"/>
        <v>0</v>
      </c>
    </row>
    <row r="54" spans="1:6" ht="20.25" customHeight="1">
      <c r="A54" s="235">
        <v>5</v>
      </c>
      <c r="B54" s="236" t="s">
        <v>531</v>
      </c>
      <c r="C54" s="239">
        <v>0</v>
      </c>
      <c r="D54" s="239">
        <v>88</v>
      </c>
      <c r="E54" s="239">
        <f t="shared" si="6"/>
        <v>88</v>
      </c>
      <c r="F54" s="238">
        <f t="shared" si="7"/>
        <v>0</v>
      </c>
    </row>
    <row r="55" spans="1:6" ht="20.25" customHeight="1">
      <c r="A55" s="235">
        <v>6</v>
      </c>
      <c r="B55" s="236" t="s">
        <v>530</v>
      </c>
      <c r="C55" s="239">
        <v>0</v>
      </c>
      <c r="D55" s="239">
        <v>235</v>
      </c>
      <c r="E55" s="239">
        <f t="shared" si="6"/>
        <v>235</v>
      </c>
      <c r="F55" s="238">
        <f t="shared" si="7"/>
        <v>0</v>
      </c>
    </row>
    <row r="56" spans="1:6" ht="20.25" customHeight="1">
      <c r="A56" s="235">
        <v>7</v>
      </c>
      <c r="B56" s="236" t="s">
        <v>596</v>
      </c>
      <c r="C56" s="239">
        <v>0</v>
      </c>
      <c r="D56" s="239">
        <v>260</v>
      </c>
      <c r="E56" s="239">
        <f t="shared" si="6"/>
        <v>260</v>
      </c>
      <c r="F56" s="238">
        <f t="shared" si="7"/>
        <v>0</v>
      </c>
    </row>
    <row r="57" spans="1:6" ht="20.25" customHeight="1">
      <c r="A57" s="235">
        <v>8</v>
      </c>
      <c r="B57" s="236" t="s">
        <v>597</v>
      </c>
      <c r="C57" s="239">
        <v>0</v>
      </c>
      <c r="D57" s="239">
        <v>1002</v>
      </c>
      <c r="E57" s="239">
        <f t="shared" si="6"/>
        <v>1002</v>
      </c>
      <c r="F57" s="238">
        <f t="shared" si="7"/>
        <v>0</v>
      </c>
    </row>
    <row r="58" spans="1:6" ht="20.25" customHeight="1">
      <c r="A58" s="235">
        <v>9</v>
      </c>
      <c r="B58" s="236" t="s">
        <v>598</v>
      </c>
      <c r="C58" s="239">
        <v>0</v>
      </c>
      <c r="D58" s="239">
        <v>19</v>
      </c>
      <c r="E58" s="239">
        <f t="shared" si="6"/>
        <v>19</v>
      </c>
      <c r="F58" s="238">
        <f t="shared" si="7"/>
        <v>0</v>
      </c>
    </row>
    <row r="59" spans="1:6" s="240" customFormat="1" ht="39.75" customHeight="1">
      <c r="A59" s="245"/>
      <c r="B59" s="242" t="s">
        <v>599</v>
      </c>
      <c r="C59" s="243">
        <f>+C50+C52</f>
        <v>0</v>
      </c>
      <c r="D59" s="243">
        <f>+D50+D52</f>
        <v>1748720</v>
      </c>
      <c r="E59" s="243">
        <f t="shared" si="6"/>
        <v>1748720</v>
      </c>
      <c r="F59" s="244">
        <f t="shared" si="7"/>
        <v>0</v>
      </c>
    </row>
    <row r="60" spans="1:6" s="240" customFormat="1" ht="39.75" customHeight="1">
      <c r="A60" s="245"/>
      <c r="B60" s="242" t="s">
        <v>628</v>
      </c>
      <c r="C60" s="243">
        <f>+C51+C53</f>
        <v>0</v>
      </c>
      <c r="D60" s="243">
        <f>+D51+D53</f>
        <v>587158</v>
      </c>
      <c r="E60" s="243">
        <f t="shared" si="6"/>
        <v>587158</v>
      </c>
      <c r="F60" s="244">
        <f t="shared" si="7"/>
        <v>0</v>
      </c>
    </row>
    <row r="61" spans="1:6" ht="42" customHeight="1">
      <c r="A61" s="227" t="s">
        <v>334</v>
      </c>
      <c r="B61" s="261" t="s">
        <v>607</v>
      </c>
      <c r="C61" s="232"/>
      <c r="D61" s="233"/>
      <c r="E61" s="227"/>
      <c r="F61" s="234"/>
    </row>
    <row r="62" spans="1:6" ht="20.25" customHeight="1">
      <c r="A62" s="235">
        <v>1</v>
      </c>
      <c r="B62" s="236" t="s">
        <v>592</v>
      </c>
      <c r="C62" s="237">
        <v>0</v>
      </c>
      <c r="D62" s="237">
        <v>0</v>
      </c>
      <c r="E62" s="237">
        <f aca="true" t="shared" si="8" ref="E62:E72">D62-C62</f>
        <v>0</v>
      </c>
      <c r="F62" s="238">
        <f aca="true" t="shared" si="9" ref="F62:F72">IF(C62=0,0,E62/C62)</f>
        <v>0</v>
      </c>
    </row>
    <row r="63" spans="1:6" ht="20.25" customHeight="1">
      <c r="A63" s="235">
        <v>2</v>
      </c>
      <c r="B63" s="236" t="s">
        <v>593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>
      <c r="A64" s="235">
        <v>3</v>
      </c>
      <c r="B64" s="236" t="s">
        <v>594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>
      <c r="A65" s="235">
        <v>4</v>
      </c>
      <c r="B65" s="236" t="s">
        <v>595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>
      <c r="A66" s="235">
        <v>5</v>
      </c>
      <c r="B66" s="236" t="s">
        <v>531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>
      <c r="A67" s="235">
        <v>6</v>
      </c>
      <c r="B67" s="236" t="s">
        <v>530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>
      <c r="A68" s="235">
        <v>7</v>
      </c>
      <c r="B68" s="236" t="s">
        <v>596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>
      <c r="A69" s="235">
        <v>8</v>
      </c>
      <c r="B69" s="236" t="s">
        <v>597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>
      <c r="A70" s="235">
        <v>9</v>
      </c>
      <c r="B70" s="236" t="s">
        <v>598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75" customHeight="1">
      <c r="A71" s="245"/>
      <c r="B71" s="242" t="s">
        <v>599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75" customHeight="1">
      <c r="A72" s="245"/>
      <c r="B72" s="242" t="s">
        <v>628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>
      <c r="A73" s="227" t="s">
        <v>340</v>
      </c>
      <c r="B73" s="261" t="s">
        <v>634</v>
      </c>
      <c r="C73" s="232"/>
      <c r="D73" s="233"/>
      <c r="E73" s="227"/>
      <c r="F73" s="234"/>
    </row>
    <row r="74" spans="1:6" ht="20.25" customHeight="1">
      <c r="A74" s="235">
        <v>1</v>
      </c>
      <c r="B74" s="236" t="s">
        <v>592</v>
      </c>
      <c r="C74" s="237">
        <v>332584</v>
      </c>
      <c r="D74" s="237">
        <v>0</v>
      </c>
      <c r="E74" s="237">
        <f aca="true" t="shared" si="10" ref="E74:E84">D74-C74</f>
        <v>-332584</v>
      </c>
      <c r="F74" s="238">
        <f aca="true" t="shared" si="11" ref="F74:F84">IF(C74=0,0,E74/C74)</f>
        <v>-1</v>
      </c>
    </row>
    <row r="75" spans="1:6" ht="20.25" customHeight="1">
      <c r="A75" s="235">
        <v>2</v>
      </c>
      <c r="B75" s="236" t="s">
        <v>593</v>
      </c>
      <c r="C75" s="237">
        <v>111388</v>
      </c>
      <c r="D75" s="237">
        <v>0</v>
      </c>
      <c r="E75" s="237">
        <f t="shared" si="10"/>
        <v>-111388</v>
      </c>
      <c r="F75" s="238">
        <f t="shared" si="11"/>
        <v>-1</v>
      </c>
    </row>
    <row r="76" spans="1:6" ht="20.25" customHeight="1">
      <c r="A76" s="235">
        <v>3</v>
      </c>
      <c r="B76" s="236" t="s">
        <v>594</v>
      </c>
      <c r="C76" s="237">
        <v>523697</v>
      </c>
      <c r="D76" s="237">
        <v>0</v>
      </c>
      <c r="E76" s="237">
        <f t="shared" si="10"/>
        <v>-523697</v>
      </c>
      <c r="F76" s="238">
        <f t="shared" si="11"/>
        <v>-1</v>
      </c>
    </row>
    <row r="77" spans="1:6" ht="20.25" customHeight="1">
      <c r="A77" s="235">
        <v>4</v>
      </c>
      <c r="B77" s="236" t="s">
        <v>595</v>
      </c>
      <c r="C77" s="237">
        <v>162346</v>
      </c>
      <c r="D77" s="237">
        <v>0</v>
      </c>
      <c r="E77" s="237">
        <f t="shared" si="10"/>
        <v>-162346</v>
      </c>
      <c r="F77" s="238">
        <f t="shared" si="11"/>
        <v>-1</v>
      </c>
    </row>
    <row r="78" spans="1:6" ht="20.25" customHeight="1">
      <c r="A78" s="235">
        <v>5</v>
      </c>
      <c r="B78" s="236" t="s">
        <v>531</v>
      </c>
      <c r="C78" s="239">
        <v>53</v>
      </c>
      <c r="D78" s="239">
        <v>0</v>
      </c>
      <c r="E78" s="239">
        <f t="shared" si="10"/>
        <v>-53</v>
      </c>
      <c r="F78" s="238">
        <f t="shared" si="11"/>
        <v>-1</v>
      </c>
    </row>
    <row r="79" spans="1:6" ht="20.25" customHeight="1">
      <c r="A79" s="235">
        <v>6</v>
      </c>
      <c r="B79" s="236" t="s">
        <v>530</v>
      </c>
      <c r="C79" s="239">
        <v>119</v>
      </c>
      <c r="D79" s="239">
        <v>0</v>
      </c>
      <c r="E79" s="239">
        <f t="shared" si="10"/>
        <v>-119</v>
      </c>
      <c r="F79" s="238">
        <f t="shared" si="11"/>
        <v>-1</v>
      </c>
    </row>
    <row r="80" spans="1:6" ht="20.25" customHeight="1">
      <c r="A80" s="235">
        <v>7</v>
      </c>
      <c r="B80" s="236" t="s">
        <v>596</v>
      </c>
      <c r="C80" s="239">
        <v>203</v>
      </c>
      <c r="D80" s="239">
        <v>0</v>
      </c>
      <c r="E80" s="239">
        <f t="shared" si="10"/>
        <v>-203</v>
      </c>
      <c r="F80" s="238">
        <f t="shared" si="11"/>
        <v>-1</v>
      </c>
    </row>
    <row r="81" spans="1:6" ht="20.25" customHeight="1">
      <c r="A81" s="235">
        <v>8</v>
      </c>
      <c r="B81" s="236" t="s">
        <v>597</v>
      </c>
      <c r="C81" s="239">
        <v>746</v>
      </c>
      <c r="D81" s="239">
        <v>0</v>
      </c>
      <c r="E81" s="239">
        <f t="shared" si="10"/>
        <v>-746</v>
      </c>
      <c r="F81" s="238">
        <f t="shared" si="11"/>
        <v>-1</v>
      </c>
    </row>
    <row r="82" spans="1:6" ht="20.25" customHeight="1">
      <c r="A82" s="235">
        <v>9</v>
      </c>
      <c r="B82" s="236" t="s">
        <v>598</v>
      </c>
      <c r="C82" s="239">
        <v>8</v>
      </c>
      <c r="D82" s="239">
        <v>0</v>
      </c>
      <c r="E82" s="239">
        <f t="shared" si="10"/>
        <v>-8</v>
      </c>
      <c r="F82" s="238">
        <f t="shared" si="11"/>
        <v>-1</v>
      </c>
    </row>
    <row r="83" spans="1:6" s="240" customFormat="1" ht="39.75" customHeight="1">
      <c r="A83" s="245"/>
      <c r="B83" s="242" t="s">
        <v>599</v>
      </c>
      <c r="C83" s="243">
        <f>+C74+C76</f>
        <v>856281</v>
      </c>
      <c r="D83" s="243">
        <f>+D74+D76</f>
        <v>0</v>
      </c>
      <c r="E83" s="243">
        <f t="shared" si="10"/>
        <v>-856281</v>
      </c>
      <c r="F83" s="244">
        <f t="shared" si="11"/>
        <v>-1</v>
      </c>
    </row>
    <row r="84" spans="1:6" s="240" customFormat="1" ht="39.75" customHeight="1">
      <c r="A84" s="245"/>
      <c r="B84" s="242" t="s">
        <v>628</v>
      </c>
      <c r="C84" s="243">
        <f>+C75+C77</f>
        <v>273734</v>
      </c>
      <c r="D84" s="243">
        <f>+D75+D77</f>
        <v>0</v>
      </c>
      <c r="E84" s="243">
        <f t="shared" si="10"/>
        <v>-273734</v>
      </c>
      <c r="F84" s="244">
        <f t="shared" si="11"/>
        <v>-1</v>
      </c>
    </row>
    <row r="85" spans="1:6" ht="42" customHeight="1">
      <c r="A85" s="227" t="s">
        <v>342</v>
      </c>
      <c r="B85" s="261" t="s">
        <v>635</v>
      </c>
      <c r="C85" s="232"/>
      <c r="D85" s="233"/>
      <c r="E85" s="227"/>
      <c r="F85" s="234"/>
    </row>
    <row r="86" spans="1:6" ht="20.25" customHeight="1">
      <c r="A86" s="235">
        <v>1</v>
      </c>
      <c r="B86" s="236" t="s">
        <v>592</v>
      </c>
      <c r="C86" s="237">
        <v>0</v>
      </c>
      <c r="D86" s="237">
        <v>286120</v>
      </c>
      <c r="E86" s="237">
        <f aca="true" t="shared" si="12" ref="E86:E96">D86-C86</f>
        <v>286120</v>
      </c>
      <c r="F86" s="238">
        <f aca="true" t="shared" si="13" ref="F86:F96">IF(C86=0,0,E86/C86)</f>
        <v>0</v>
      </c>
    </row>
    <row r="87" spans="1:6" ht="20.25" customHeight="1">
      <c r="A87" s="235">
        <v>2</v>
      </c>
      <c r="B87" s="236" t="s">
        <v>593</v>
      </c>
      <c r="C87" s="237">
        <v>0</v>
      </c>
      <c r="D87" s="237">
        <v>115186</v>
      </c>
      <c r="E87" s="237">
        <f t="shared" si="12"/>
        <v>115186</v>
      </c>
      <c r="F87" s="238">
        <f t="shared" si="13"/>
        <v>0</v>
      </c>
    </row>
    <row r="88" spans="1:6" ht="20.25" customHeight="1">
      <c r="A88" s="235">
        <v>3</v>
      </c>
      <c r="B88" s="236" t="s">
        <v>594</v>
      </c>
      <c r="C88" s="237">
        <v>0</v>
      </c>
      <c r="D88" s="237">
        <v>383821</v>
      </c>
      <c r="E88" s="237">
        <f t="shared" si="12"/>
        <v>383821</v>
      </c>
      <c r="F88" s="238">
        <f t="shared" si="13"/>
        <v>0</v>
      </c>
    </row>
    <row r="89" spans="1:6" ht="20.25" customHeight="1">
      <c r="A89" s="235">
        <v>4</v>
      </c>
      <c r="B89" s="236" t="s">
        <v>595</v>
      </c>
      <c r="C89" s="237">
        <v>0</v>
      </c>
      <c r="D89" s="237">
        <v>114984</v>
      </c>
      <c r="E89" s="237">
        <f t="shared" si="12"/>
        <v>114984</v>
      </c>
      <c r="F89" s="238">
        <f t="shared" si="13"/>
        <v>0</v>
      </c>
    </row>
    <row r="90" spans="1:6" ht="20.25" customHeight="1">
      <c r="A90" s="235">
        <v>5</v>
      </c>
      <c r="B90" s="236" t="s">
        <v>531</v>
      </c>
      <c r="C90" s="239">
        <v>0</v>
      </c>
      <c r="D90" s="239">
        <v>35</v>
      </c>
      <c r="E90" s="239">
        <f t="shared" si="12"/>
        <v>35</v>
      </c>
      <c r="F90" s="238">
        <f t="shared" si="13"/>
        <v>0</v>
      </c>
    </row>
    <row r="91" spans="1:6" ht="20.25" customHeight="1">
      <c r="A91" s="235">
        <v>6</v>
      </c>
      <c r="B91" s="236" t="s">
        <v>530</v>
      </c>
      <c r="C91" s="239">
        <v>0</v>
      </c>
      <c r="D91" s="239">
        <v>99</v>
      </c>
      <c r="E91" s="239">
        <f t="shared" si="12"/>
        <v>99</v>
      </c>
      <c r="F91" s="238">
        <f t="shared" si="13"/>
        <v>0</v>
      </c>
    </row>
    <row r="92" spans="1:6" ht="20.25" customHeight="1">
      <c r="A92" s="235">
        <v>7</v>
      </c>
      <c r="B92" s="236" t="s">
        <v>596</v>
      </c>
      <c r="C92" s="239">
        <v>0</v>
      </c>
      <c r="D92" s="239">
        <v>160</v>
      </c>
      <c r="E92" s="239">
        <f t="shared" si="12"/>
        <v>160</v>
      </c>
      <c r="F92" s="238">
        <f t="shared" si="13"/>
        <v>0</v>
      </c>
    </row>
    <row r="93" spans="1:6" ht="20.25" customHeight="1">
      <c r="A93" s="235">
        <v>8</v>
      </c>
      <c r="B93" s="236" t="s">
        <v>597</v>
      </c>
      <c r="C93" s="239">
        <v>0</v>
      </c>
      <c r="D93" s="239">
        <v>468</v>
      </c>
      <c r="E93" s="239">
        <f t="shared" si="12"/>
        <v>468</v>
      </c>
      <c r="F93" s="238">
        <f t="shared" si="13"/>
        <v>0</v>
      </c>
    </row>
    <row r="94" spans="1:6" ht="20.25" customHeight="1">
      <c r="A94" s="235">
        <v>9</v>
      </c>
      <c r="B94" s="236" t="s">
        <v>598</v>
      </c>
      <c r="C94" s="239">
        <v>0</v>
      </c>
      <c r="D94" s="239">
        <v>8</v>
      </c>
      <c r="E94" s="239">
        <f t="shared" si="12"/>
        <v>8</v>
      </c>
      <c r="F94" s="238">
        <f t="shared" si="13"/>
        <v>0</v>
      </c>
    </row>
    <row r="95" spans="1:6" s="240" customFormat="1" ht="39.75" customHeight="1">
      <c r="A95" s="245"/>
      <c r="B95" s="242" t="s">
        <v>599</v>
      </c>
      <c r="C95" s="243">
        <f>+C86+C88</f>
        <v>0</v>
      </c>
      <c r="D95" s="243">
        <f>+D86+D88</f>
        <v>669941</v>
      </c>
      <c r="E95" s="243">
        <f t="shared" si="12"/>
        <v>669941</v>
      </c>
      <c r="F95" s="244">
        <f t="shared" si="13"/>
        <v>0</v>
      </c>
    </row>
    <row r="96" spans="1:6" s="240" customFormat="1" ht="39.75" customHeight="1">
      <c r="A96" s="245"/>
      <c r="B96" s="242" t="s">
        <v>628</v>
      </c>
      <c r="C96" s="243">
        <f>+C87+C89</f>
        <v>0</v>
      </c>
      <c r="D96" s="243">
        <f>+D87+D89</f>
        <v>230170</v>
      </c>
      <c r="E96" s="243">
        <f t="shared" si="12"/>
        <v>230170</v>
      </c>
      <c r="F96" s="244">
        <f t="shared" si="13"/>
        <v>0</v>
      </c>
    </row>
    <row r="97" spans="1:6" ht="42" customHeight="1">
      <c r="A97" s="227" t="s">
        <v>345</v>
      </c>
      <c r="B97" s="261" t="s">
        <v>608</v>
      </c>
      <c r="C97" s="232"/>
      <c r="D97" s="233"/>
      <c r="E97" s="227"/>
      <c r="F97" s="234"/>
    </row>
    <row r="98" spans="1:6" ht="20.25" customHeight="1">
      <c r="A98" s="235">
        <v>1</v>
      </c>
      <c r="B98" s="236" t="s">
        <v>592</v>
      </c>
      <c r="C98" s="237">
        <v>0</v>
      </c>
      <c r="D98" s="237">
        <v>264172</v>
      </c>
      <c r="E98" s="237">
        <f aca="true" t="shared" si="14" ref="E98:E108">D98-C98</f>
        <v>264172</v>
      </c>
      <c r="F98" s="238">
        <f aca="true" t="shared" si="15" ref="F98:F108">IF(C98=0,0,E98/C98)</f>
        <v>0</v>
      </c>
    </row>
    <row r="99" spans="1:6" ht="20.25" customHeight="1">
      <c r="A99" s="235">
        <v>2</v>
      </c>
      <c r="B99" s="236" t="s">
        <v>593</v>
      </c>
      <c r="C99" s="237">
        <v>0</v>
      </c>
      <c r="D99" s="237">
        <v>102388</v>
      </c>
      <c r="E99" s="237">
        <f t="shared" si="14"/>
        <v>102388</v>
      </c>
      <c r="F99" s="238">
        <f t="shared" si="15"/>
        <v>0</v>
      </c>
    </row>
    <row r="100" spans="1:6" ht="20.25" customHeight="1">
      <c r="A100" s="235">
        <v>3</v>
      </c>
      <c r="B100" s="236" t="s">
        <v>594</v>
      </c>
      <c r="C100" s="237">
        <v>0</v>
      </c>
      <c r="D100" s="237">
        <v>698679</v>
      </c>
      <c r="E100" s="237">
        <f t="shared" si="14"/>
        <v>698679</v>
      </c>
      <c r="F100" s="238">
        <f t="shared" si="15"/>
        <v>0</v>
      </c>
    </row>
    <row r="101" spans="1:6" ht="20.25" customHeight="1">
      <c r="A101" s="235">
        <v>4</v>
      </c>
      <c r="B101" s="236" t="s">
        <v>595</v>
      </c>
      <c r="C101" s="237">
        <v>0</v>
      </c>
      <c r="D101" s="237">
        <v>209604</v>
      </c>
      <c r="E101" s="237">
        <f t="shared" si="14"/>
        <v>209604</v>
      </c>
      <c r="F101" s="238">
        <f t="shared" si="15"/>
        <v>0</v>
      </c>
    </row>
    <row r="102" spans="1:6" ht="20.25" customHeight="1">
      <c r="A102" s="235">
        <v>5</v>
      </c>
      <c r="B102" s="236" t="s">
        <v>531</v>
      </c>
      <c r="C102" s="239">
        <v>0</v>
      </c>
      <c r="D102" s="239">
        <v>33</v>
      </c>
      <c r="E102" s="239">
        <f t="shared" si="14"/>
        <v>33</v>
      </c>
      <c r="F102" s="238">
        <f t="shared" si="15"/>
        <v>0</v>
      </c>
    </row>
    <row r="103" spans="1:6" ht="20.25" customHeight="1">
      <c r="A103" s="235">
        <v>6</v>
      </c>
      <c r="B103" s="236" t="s">
        <v>530</v>
      </c>
      <c r="C103" s="239">
        <v>0</v>
      </c>
      <c r="D103" s="239">
        <v>88</v>
      </c>
      <c r="E103" s="239">
        <f t="shared" si="14"/>
        <v>88</v>
      </c>
      <c r="F103" s="238">
        <f t="shared" si="15"/>
        <v>0</v>
      </c>
    </row>
    <row r="104" spans="1:6" ht="20.25" customHeight="1">
      <c r="A104" s="235">
        <v>7</v>
      </c>
      <c r="B104" s="236" t="s">
        <v>596</v>
      </c>
      <c r="C104" s="239">
        <v>0</v>
      </c>
      <c r="D104" s="239">
        <v>273</v>
      </c>
      <c r="E104" s="239">
        <f t="shared" si="14"/>
        <v>273</v>
      </c>
      <c r="F104" s="238">
        <f t="shared" si="15"/>
        <v>0</v>
      </c>
    </row>
    <row r="105" spans="1:6" ht="20.25" customHeight="1">
      <c r="A105" s="235">
        <v>8</v>
      </c>
      <c r="B105" s="236" t="s">
        <v>597</v>
      </c>
      <c r="C105" s="239">
        <v>0</v>
      </c>
      <c r="D105" s="239">
        <v>969</v>
      </c>
      <c r="E105" s="239">
        <f t="shared" si="14"/>
        <v>969</v>
      </c>
      <c r="F105" s="238">
        <f t="shared" si="15"/>
        <v>0</v>
      </c>
    </row>
    <row r="106" spans="1:6" ht="20.25" customHeight="1">
      <c r="A106" s="235">
        <v>9</v>
      </c>
      <c r="B106" s="236" t="s">
        <v>598</v>
      </c>
      <c r="C106" s="239">
        <v>0</v>
      </c>
      <c r="D106" s="239">
        <v>10</v>
      </c>
      <c r="E106" s="239">
        <f t="shared" si="14"/>
        <v>10</v>
      </c>
      <c r="F106" s="238">
        <f t="shared" si="15"/>
        <v>0</v>
      </c>
    </row>
    <row r="107" spans="1:6" s="240" customFormat="1" ht="39.75" customHeight="1">
      <c r="A107" s="245"/>
      <c r="B107" s="242" t="s">
        <v>599</v>
      </c>
      <c r="C107" s="243">
        <f>+C98+C100</f>
        <v>0</v>
      </c>
      <c r="D107" s="243">
        <f>+D98+D100</f>
        <v>962851</v>
      </c>
      <c r="E107" s="243">
        <f t="shared" si="14"/>
        <v>962851</v>
      </c>
      <c r="F107" s="244">
        <f t="shared" si="15"/>
        <v>0</v>
      </c>
    </row>
    <row r="108" spans="1:6" s="240" customFormat="1" ht="39.75" customHeight="1">
      <c r="A108" s="245"/>
      <c r="B108" s="242" t="s">
        <v>628</v>
      </c>
      <c r="C108" s="243">
        <f>+C99+C101</f>
        <v>0</v>
      </c>
      <c r="D108" s="243">
        <f>+D99+D101</f>
        <v>311992</v>
      </c>
      <c r="E108" s="243">
        <f t="shared" si="14"/>
        <v>311992</v>
      </c>
      <c r="F108" s="244">
        <f t="shared" si="15"/>
        <v>0</v>
      </c>
    </row>
    <row r="109" spans="1:7" s="240" customFormat="1" ht="20.25" customHeight="1">
      <c r="A109" s="676" t="s">
        <v>202</v>
      </c>
      <c r="B109" s="678" t="s">
        <v>636</v>
      </c>
      <c r="C109" s="680"/>
      <c r="D109" s="681"/>
      <c r="E109" s="681"/>
      <c r="F109" s="682"/>
      <c r="G109" s="212"/>
    </row>
    <row r="110" spans="1:6" ht="20.25" customHeight="1">
      <c r="A110" s="677"/>
      <c r="B110" s="679"/>
      <c r="C110" s="683"/>
      <c r="D110" s="684"/>
      <c r="E110" s="684"/>
      <c r="F110" s="685"/>
    </row>
    <row r="111" spans="1:6" ht="20.25" customHeight="1">
      <c r="A111" s="262"/>
      <c r="B111" s="260"/>
      <c r="C111" s="230"/>
      <c r="D111" s="230"/>
      <c r="E111" s="230"/>
      <c r="F111" s="230"/>
    </row>
    <row r="112" spans="1:6" ht="20.25" customHeight="1">
      <c r="A112" s="249"/>
      <c r="B112" s="250" t="s">
        <v>618</v>
      </c>
      <c r="C112" s="243">
        <f aca="true" t="shared" si="16" ref="C112:D120">+C98+C86+C74+C62+C50+C38+C26+C14</f>
        <v>6405843</v>
      </c>
      <c r="D112" s="243">
        <f t="shared" si="16"/>
        <v>6999331</v>
      </c>
      <c r="E112" s="243">
        <f aca="true" t="shared" si="17" ref="E112:E122">D112-C112</f>
        <v>593488</v>
      </c>
      <c r="F112" s="244">
        <f aca="true" t="shared" si="18" ref="F112:F122">IF(C112=0,0,E112/C112)</f>
        <v>0.09264791534853414</v>
      </c>
    </row>
    <row r="113" spans="1:6" ht="20.25" customHeight="1">
      <c r="A113" s="249"/>
      <c r="B113" s="250" t="s">
        <v>619</v>
      </c>
      <c r="C113" s="243">
        <f t="shared" si="16"/>
        <v>2560538</v>
      </c>
      <c r="D113" s="243">
        <f t="shared" si="16"/>
        <v>2989391</v>
      </c>
      <c r="E113" s="243">
        <f t="shared" si="17"/>
        <v>428853</v>
      </c>
      <c r="F113" s="244">
        <f t="shared" si="18"/>
        <v>0.16748550499933998</v>
      </c>
    </row>
    <row r="114" spans="1:6" ht="20.25" customHeight="1">
      <c r="A114" s="249"/>
      <c r="B114" s="250" t="s">
        <v>620</v>
      </c>
      <c r="C114" s="243">
        <f t="shared" si="16"/>
        <v>11376148</v>
      </c>
      <c r="D114" s="243">
        <f t="shared" si="16"/>
        <v>13807404</v>
      </c>
      <c r="E114" s="243">
        <f t="shared" si="17"/>
        <v>2431256</v>
      </c>
      <c r="F114" s="244">
        <f t="shared" si="18"/>
        <v>0.2137152224109602</v>
      </c>
    </row>
    <row r="115" spans="1:6" ht="20.25" customHeight="1">
      <c r="A115" s="249"/>
      <c r="B115" s="250" t="s">
        <v>621</v>
      </c>
      <c r="C115" s="243">
        <f t="shared" si="16"/>
        <v>3377674</v>
      </c>
      <c r="D115" s="243">
        <f t="shared" si="16"/>
        <v>4609407</v>
      </c>
      <c r="E115" s="243">
        <f t="shared" si="17"/>
        <v>1231733</v>
      </c>
      <c r="F115" s="244">
        <f t="shared" si="18"/>
        <v>0.3646690000278298</v>
      </c>
    </row>
    <row r="116" spans="1:6" ht="20.25" customHeight="1">
      <c r="A116" s="249"/>
      <c r="B116" s="250" t="s">
        <v>622</v>
      </c>
      <c r="C116" s="252">
        <f t="shared" si="16"/>
        <v>924</v>
      </c>
      <c r="D116" s="252">
        <f t="shared" si="16"/>
        <v>937</v>
      </c>
      <c r="E116" s="252">
        <f t="shared" si="17"/>
        <v>13</v>
      </c>
      <c r="F116" s="244">
        <f t="shared" si="18"/>
        <v>0.01406926406926407</v>
      </c>
    </row>
    <row r="117" spans="1:6" ht="20.25" customHeight="1">
      <c r="A117" s="249"/>
      <c r="B117" s="250" t="s">
        <v>623</v>
      </c>
      <c r="C117" s="252">
        <f t="shared" si="16"/>
        <v>2482</v>
      </c>
      <c r="D117" s="252">
        <f t="shared" si="16"/>
        <v>2499</v>
      </c>
      <c r="E117" s="252">
        <f t="shared" si="17"/>
        <v>17</v>
      </c>
      <c r="F117" s="244">
        <f t="shared" si="18"/>
        <v>0.00684931506849315</v>
      </c>
    </row>
    <row r="118" spans="1:6" ht="39.75" customHeight="1">
      <c r="A118" s="249"/>
      <c r="B118" s="250" t="s">
        <v>624</v>
      </c>
      <c r="C118" s="252">
        <f t="shared" si="16"/>
        <v>5265</v>
      </c>
      <c r="D118" s="252">
        <f t="shared" si="16"/>
        <v>7260</v>
      </c>
      <c r="E118" s="252">
        <f t="shared" si="17"/>
        <v>1995</v>
      </c>
      <c r="F118" s="244">
        <f t="shared" si="18"/>
        <v>0.3789173789173789</v>
      </c>
    </row>
    <row r="119" spans="1:6" ht="39.75" customHeight="1">
      <c r="A119" s="249"/>
      <c r="B119" s="250" t="s">
        <v>625</v>
      </c>
      <c r="C119" s="252">
        <f t="shared" si="16"/>
        <v>12988</v>
      </c>
      <c r="D119" s="252">
        <f t="shared" si="16"/>
        <v>13979</v>
      </c>
      <c r="E119" s="252">
        <f t="shared" si="17"/>
        <v>991</v>
      </c>
      <c r="F119" s="244">
        <f t="shared" si="18"/>
        <v>0.07630120110871574</v>
      </c>
    </row>
    <row r="120" spans="1:6" ht="39.75" customHeight="1">
      <c r="A120" s="249"/>
      <c r="B120" s="250" t="s">
        <v>626</v>
      </c>
      <c r="C120" s="252">
        <f t="shared" si="16"/>
        <v>130</v>
      </c>
      <c r="D120" s="252">
        <f t="shared" si="16"/>
        <v>155</v>
      </c>
      <c r="E120" s="252">
        <f t="shared" si="17"/>
        <v>25</v>
      </c>
      <c r="F120" s="244">
        <f t="shared" si="18"/>
        <v>0.19230769230769232</v>
      </c>
    </row>
    <row r="121" spans="1:6" ht="39.75" customHeight="1">
      <c r="A121" s="249"/>
      <c r="B121" s="242" t="s">
        <v>599</v>
      </c>
      <c r="C121" s="243">
        <f>+C112+C114</f>
        <v>17781991</v>
      </c>
      <c r="D121" s="243">
        <f>+D112+D114</f>
        <v>20806735</v>
      </c>
      <c r="E121" s="243">
        <f t="shared" si="17"/>
        <v>3024744</v>
      </c>
      <c r="F121" s="244">
        <f t="shared" si="18"/>
        <v>0.17010153699886588</v>
      </c>
    </row>
    <row r="122" spans="1:6" ht="39.75" customHeight="1">
      <c r="A122" s="249"/>
      <c r="B122" s="242" t="s">
        <v>628</v>
      </c>
      <c r="C122" s="243">
        <f>+C113+C115</f>
        <v>5938212</v>
      </c>
      <c r="D122" s="243">
        <f>+D113+D115</f>
        <v>7598798</v>
      </c>
      <c r="E122" s="243">
        <f t="shared" si="17"/>
        <v>1660586</v>
      </c>
      <c r="F122" s="244">
        <f t="shared" si="18"/>
        <v>0.2796441083612374</v>
      </c>
    </row>
  </sheetData>
  <sheetProtection/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FILING&amp;RMIDSTATE MEDICAL CENTER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28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6.7109375" style="1" customWidth="1"/>
    <col min="2" max="2" width="45.7109375" style="1" customWidth="1"/>
    <col min="3" max="4" width="22.140625" style="1" bestFit="1" customWidth="1"/>
    <col min="5" max="5" width="19.00390625" style="2" customWidth="1"/>
    <col min="6" max="6" width="19.140625" style="2" customWidth="1"/>
    <col min="7" max="7" width="19.140625" style="1" customWidth="1"/>
    <col min="8" max="16384" width="9.140625" style="1" customWidth="1"/>
  </cols>
  <sheetData>
    <row r="1" spans="1:6" ht="24" customHeight="1">
      <c r="A1" s="3"/>
      <c r="B1" s="3" t="s">
        <v>637</v>
      </c>
      <c r="C1" s="3"/>
      <c r="D1" s="3"/>
      <c r="E1" s="4"/>
      <c r="F1" s="5"/>
    </row>
    <row r="2" spans="1:6" ht="24" customHeight="1">
      <c r="A2" s="3"/>
      <c r="B2" s="3" t="s">
        <v>159</v>
      </c>
      <c r="C2" s="3"/>
      <c r="D2" s="3"/>
      <c r="E2" s="4"/>
      <c r="F2" s="5"/>
    </row>
    <row r="3" spans="1:6" ht="24" customHeight="1">
      <c r="A3" s="3"/>
      <c r="B3" s="3" t="s">
        <v>160</v>
      </c>
      <c r="C3" s="3"/>
      <c r="D3" s="3"/>
      <c r="E3" s="4"/>
      <c r="F3" s="5"/>
    </row>
    <row r="4" spans="1:6" ht="24" customHeight="1">
      <c r="A4" s="3"/>
      <c r="B4" s="3" t="s">
        <v>638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162</v>
      </c>
      <c r="D7" s="10" t="s">
        <v>163</v>
      </c>
      <c r="E7" s="11" t="s">
        <v>164</v>
      </c>
      <c r="F7" s="11" t="s">
        <v>165</v>
      </c>
      <c r="H7" s="12"/>
    </row>
    <row r="8" spans="1:6" s="6" customFormat="1" ht="15.75" customHeight="1">
      <c r="A8" s="13" t="s">
        <v>166</v>
      </c>
      <c r="B8" s="13" t="s">
        <v>167</v>
      </c>
      <c r="C8" s="14" t="s">
        <v>168</v>
      </c>
      <c r="D8" s="14" t="s">
        <v>168</v>
      </c>
      <c r="E8" s="15" t="s">
        <v>169</v>
      </c>
      <c r="F8" s="15" t="s">
        <v>169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170</v>
      </c>
      <c r="B10" s="16" t="s">
        <v>171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172</v>
      </c>
      <c r="B12" s="16" t="s">
        <v>173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174</v>
      </c>
      <c r="C13" s="23">
        <v>45476555</v>
      </c>
      <c r="D13" s="23">
        <v>42246786</v>
      </c>
      <c r="E13" s="23">
        <f aca="true" t="shared" si="0" ref="E13:E22">D13-C13</f>
        <v>-3229769</v>
      </c>
      <c r="F13" s="24">
        <f aca="true" t="shared" si="1" ref="F13:F22">IF(C13=0,0,E13/C13)</f>
        <v>-0.07102052914958049</v>
      </c>
    </row>
    <row r="14" spans="1:6" ht="24" customHeight="1">
      <c r="A14" s="21">
        <v>2</v>
      </c>
      <c r="B14" s="22" t="s">
        <v>175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6" ht="34.5" customHeight="1">
      <c r="A15" s="21">
        <v>3</v>
      </c>
      <c r="B15" s="22" t="s">
        <v>176</v>
      </c>
      <c r="C15" s="23">
        <v>21803628</v>
      </c>
      <c r="D15" s="23">
        <v>22801140</v>
      </c>
      <c r="E15" s="23">
        <f t="shared" si="0"/>
        <v>997512</v>
      </c>
      <c r="F15" s="24">
        <f t="shared" si="1"/>
        <v>0.04574981741570715</v>
      </c>
    </row>
    <row r="16" spans="1:6" ht="34.5" customHeight="1">
      <c r="A16" s="21">
        <v>4</v>
      </c>
      <c r="B16" s="22" t="s">
        <v>177</v>
      </c>
      <c r="C16" s="23">
        <v>1168505</v>
      </c>
      <c r="D16" s="23">
        <v>1168505</v>
      </c>
      <c r="E16" s="23">
        <f t="shared" si="0"/>
        <v>0</v>
      </c>
      <c r="F16" s="24">
        <f t="shared" si="1"/>
        <v>0</v>
      </c>
    </row>
    <row r="17" spans="1:6" ht="24" customHeight="1">
      <c r="A17" s="21">
        <v>5</v>
      </c>
      <c r="B17" s="22" t="s">
        <v>178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6" ht="24" customHeight="1">
      <c r="A18" s="21">
        <v>6</v>
      </c>
      <c r="B18" s="22" t="s">
        <v>179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6" ht="24" customHeight="1">
      <c r="A19" s="21">
        <v>7</v>
      </c>
      <c r="B19" s="22" t="s">
        <v>180</v>
      </c>
      <c r="C19" s="23">
        <v>1334511</v>
      </c>
      <c r="D19" s="23">
        <v>1420160</v>
      </c>
      <c r="E19" s="23">
        <f t="shared" si="0"/>
        <v>85649</v>
      </c>
      <c r="F19" s="24">
        <f t="shared" si="1"/>
        <v>0.06418006295939112</v>
      </c>
    </row>
    <row r="20" spans="1:6" ht="24" customHeight="1">
      <c r="A20" s="21">
        <v>8</v>
      </c>
      <c r="B20" s="22" t="s">
        <v>181</v>
      </c>
      <c r="C20" s="23">
        <v>889429</v>
      </c>
      <c r="D20" s="23">
        <v>1094329</v>
      </c>
      <c r="E20" s="23">
        <f t="shared" si="0"/>
        <v>204900</v>
      </c>
      <c r="F20" s="24">
        <f t="shared" si="1"/>
        <v>0.23037251989759722</v>
      </c>
    </row>
    <row r="21" spans="1:6" ht="24" customHeight="1">
      <c r="A21" s="21">
        <v>9</v>
      </c>
      <c r="B21" s="22" t="s">
        <v>182</v>
      </c>
      <c r="C21" s="23">
        <v>722514</v>
      </c>
      <c r="D21" s="23">
        <v>1198551</v>
      </c>
      <c r="E21" s="23">
        <f t="shared" si="0"/>
        <v>476037</v>
      </c>
      <c r="F21" s="24">
        <f t="shared" si="1"/>
        <v>0.6588619736088159</v>
      </c>
    </row>
    <row r="22" spans="1:6" ht="24" customHeight="1">
      <c r="A22" s="25"/>
      <c r="B22" s="26" t="s">
        <v>183</v>
      </c>
      <c r="C22" s="27">
        <f>SUM(C13:C21)</f>
        <v>71395142</v>
      </c>
      <c r="D22" s="27">
        <f>SUM(D13:D21)</f>
        <v>69929471</v>
      </c>
      <c r="E22" s="27">
        <f t="shared" si="0"/>
        <v>-1465671</v>
      </c>
      <c r="F22" s="28">
        <f t="shared" si="1"/>
        <v>-0.020529001819199408</v>
      </c>
    </row>
    <row r="23" spans="1:6" ht="15" customHeight="1">
      <c r="A23" s="21"/>
      <c r="B23" s="5"/>
      <c r="C23" s="263"/>
      <c r="D23" s="263"/>
      <c r="E23" s="263"/>
      <c r="F23" s="24"/>
    </row>
    <row r="24" spans="1:6" ht="24" customHeight="1">
      <c r="A24" s="29" t="s">
        <v>184</v>
      </c>
      <c r="B24" s="30" t="s">
        <v>185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186</v>
      </c>
      <c r="C25" s="23">
        <v>4823527</v>
      </c>
      <c r="D25" s="23">
        <v>4011143</v>
      </c>
      <c r="E25" s="23">
        <f>D25-C25</f>
        <v>-812384</v>
      </c>
      <c r="F25" s="24">
        <f>IF(C25=0,0,E25/C25)</f>
        <v>-0.1684211573813104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187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188</v>
      </c>
      <c r="C27" s="23">
        <v>29467813</v>
      </c>
      <c r="D27" s="23">
        <v>10167560</v>
      </c>
      <c r="E27" s="23">
        <f>D27-C27</f>
        <v>-19300253</v>
      </c>
      <c r="F27" s="24">
        <f>IF(C27=0,0,E27/C27)</f>
        <v>-0.6549604817975464</v>
      </c>
    </row>
    <row r="28" spans="1:6" ht="34.5" customHeight="1">
      <c r="A28" s="21">
        <v>4</v>
      </c>
      <c r="B28" s="22" t="s">
        <v>189</v>
      </c>
      <c r="C28" s="23">
        <v>345625</v>
      </c>
      <c r="D28" s="23">
        <v>165433</v>
      </c>
      <c r="E28" s="23">
        <f>D28-C28</f>
        <v>-180192</v>
      </c>
      <c r="F28" s="24">
        <f>IF(C28=0,0,E28/C28)</f>
        <v>-0.5213511754068716</v>
      </c>
    </row>
    <row r="29" spans="1:6" ht="34.5" customHeight="1">
      <c r="A29" s="25"/>
      <c r="B29" s="26" t="s">
        <v>190</v>
      </c>
      <c r="C29" s="27">
        <f>SUM(C25:C28)</f>
        <v>34636965</v>
      </c>
      <c r="D29" s="27">
        <f>SUM(D25:D28)</f>
        <v>14344136</v>
      </c>
      <c r="E29" s="27">
        <f>D29-C29</f>
        <v>-20292829</v>
      </c>
      <c r="F29" s="28">
        <f>IF(C29=0,0,E29/C29)</f>
        <v>-0.5858720300696092</v>
      </c>
    </row>
    <row r="30" spans="1:6" ht="15" customHeight="1">
      <c r="A30" s="21"/>
      <c r="B30" s="5"/>
      <c r="C30" s="263"/>
      <c r="D30" s="263"/>
      <c r="E30" s="263"/>
      <c r="F30" s="24"/>
    </row>
    <row r="31" spans="1:6" ht="15" customHeight="1">
      <c r="A31" s="21">
        <v>5</v>
      </c>
      <c r="B31" s="22" t="s">
        <v>191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192</v>
      </c>
      <c r="C32" s="23">
        <v>11791694</v>
      </c>
      <c r="D32" s="23">
        <v>11876168</v>
      </c>
      <c r="E32" s="23">
        <f>D32-C32</f>
        <v>84474</v>
      </c>
      <c r="F32" s="24">
        <f>IF(C32=0,0,E32/C32)</f>
        <v>0.007163856185548913</v>
      </c>
    </row>
    <row r="33" spans="1:6" ht="24" customHeight="1">
      <c r="A33" s="21">
        <v>7</v>
      </c>
      <c r="B33" s="22" t="s">
        <v>193</v>
      </c>
      <c r="C33" s="23">
        <v>4614287</v>
      </c>
      <c r="D33" s="23">
        <v>8550946</v>
      </c>
      <c r="E33" s="23">
        <f>D33-C33</f>
        <v>3936659</v>
      </c>
      <c r="F33" s="24">
        <f>IF(C33=0,0,E33/C33)</f>
        <v>0.8531456755940842</v>
      </c>
    </row>
    <row r="34" spans="1:6" ht="15" customHeight="1">
      <c r="A34" s="21"/>
      <c r="B34" s="5"/>
      <c r="C34" s="263"/>
      <c r="D34" s="263"/>
      <c r="E34" s="263"/>
      <c r="F34" s="24"/>
    </row>
    <row r="35" spans="1:6" ht="24" customHeight="1">
      <c r="A35" s="29" t="s">
        <v>194</v>
      </c>
      <c r="B35" s="30" t="s">
        <v>195</v>
      </c>
      <c r="C35" s="263"/>
      <c r="D35" s="263"/>
      <c r="E35" s="263"/>
      <c r="F35" s="24"/>
    </row>
    <row r="36" spans="1:6" ht="24" customHeight="1">
      <c r="A36" s="21">
        <v>1</v>
      </c>
      <c r="B36" s="22" t="s">
        <v>196</v>
      </c>
      <c r="C36" s="23">
        <v>168201175</v>
      </c>
      <c r="D36" s="23">
        <v>179654023</v>
      </c>
      <c r="E36" s="23">
        <f>D36-C36</f>
        <v>11452848</v>
      </c>
      <c r="F36" s="24">
        <f>IF(C36=0,0,E36/C36)</f>
        <v>0.0680901783236651</v>
      </c>
    </row>
    <row r="37" spans="1:6" ht="24" customHeight="1">
      <c r="A37" s="21">
        <v>2</v>
      </c>
      <c r="B37" s="22" t="s">
        <v>197</v>
      </c>
      <c r="C37" s="23">
        <v>83829702</v>
      </c>
      <c r="D37" s="23">
        <v>91993843</v>
      </c>
      <c r="E37" s="23">
        <f>D37-C37</f>
        <v>8164141</v>
      </c>
      <c r="F37" s="23">
        <f>IF(C37=0,0,E37/C37)</f>
        <v>0.0973895982595763</v>
      </c>
    </row>
    <row r="38" spans="1:6" ht="24" customHeight="1">
      <c r="A38" s="25"/>
      <c r="B38" s="26" t="s">
        <v>198</v>
      </c>
      <c r="C38" s="27">
        <f>C36-C37</f>
        <v>84371473</v>
      </c>
      <c r="D38" s="27">
        <f>D36-D37</f>
        <v>87660180</v>
      </c>
      <c r="E38" s="27">
        <f>D38-C38</f>
        <v>3288707</v>
      </c>
      <c r="F38" s="28">
        <f>IF(C38=0,0,E38/C38)</f>
        <v>0.03897889752381116</v>
      </c>
    </row>
    <row r="39" spans="1:6" ht="15" customHeight="1">
      <c r="A39" s="21"/>
      <c r="B39" s="5"/>
      <c r="C39" s="263"/>
      <c r="D39" s="263"/>
      <c r="E39" s="263"/>
      <c r="F39" s="24"/>
    </row>
    <row r="40" spans="1:6" ht="24" customHeight="1">
      <c r="A40" s="21">
        <v>3</v>
      </c>
      <c r="B40" s="22" t="s">
        <v>199</v>
      </c>
      <c r="C40" s="23">
        <v>8576054</v>
      </c>
      <c r="D40" s="23">
        <v>30689886</v>
      </c>
      <c r="E40" s="23">
        <f>D40-C40</f>
        <v>22113832</v>
      </c>
      <c r="F40" s="24">
        <f>IF(C40=0,0,E40/C40)</f>
        <v>2.578555592117307</v>
      </c>
    </row>
    <row r="41" spans="1:6" ht="24" customHeight="1">
      <c r="A41" s="25"/>
      <c r="B41" s="26" t="s">
        <v>200</v>
      </c>
      <c r="C41" s="27">
        <f>+C38+C40</f>
        <v>92947527</v>
      </c>
      <c r="D41" s="27">
        <f>+D38+D40</f>
        <v>118350066</v>
      </c>
      <c r="E41" s="27">
        <f>D41-C41</f>
        <v>25402539</v>
      </c>
      <c r="F41" s="28">
        <f>IF(C41=0,0,E41/C41)</f>
        <v>0.27329978343587347</v>
      </c>
    </row>
    <row r="42" spans="1:6" ht="24" customHeight="1">
      <c r="A42" s="21"/>
      <c r="B42" s="22"/>
      <c r="C42" s="263"/>
      <c r="D42" s="263"/>
      <c r="E42" s="263"/>
      <c r="F42" s="24"/>
    </row>
    <row r="43" spans="1:6" ht="24" customHeight="1">
      <c r="A43" s="25"/>
      <c r="B43" s="26" t="s">
        <v>201</v>
      </c>
      <c r="C43" s="27">
        <f>C22+C29+C31+C32+C33+C41</f>
        <v>215385615</v>
      </c>
      <c r="D43" s="27">
        <f>D22+D29+D31+D32+D33+D41</f>
        <v>223050787</v>
      </c>
      <c r="E43" s="27">
        <f>D43-C43</f>
        <v>7665172</v>
      </c>
      <c r="F43" s="28">
        <f>IF(C43=0,0,E43/C43)</f>
        <v>0.03558813340435943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202</v>
      </c>
      <c r="B46" s="16" t="s">
        <v>203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172</v>
      </c>
      <c r="B48" s="41" t="s">
        <v>204</v>
      </c>
      <c r="C48" s="263"/>
      <c r="D48" s="263"/>
      <c r="E48" s="263"/>
      <c r="F48" s="24"/>
    </row>
    <row r="49" spans="1:6" ht="24" customHeight="1">
      <c r="A49" s="21">
        <v>1</v>
      </c>
      <c r="B49" s="22" t="s">
        <v>205</v>
      </c>
      <c r="C49" s="23">
        <v>7146986</v>
      </c>
      <c r="D49" s="23">
        <v>8677307</v>
      </c>
      <c r="E49" s="23">
        <f aca="true" t="shared" si="2" ref="E49:E56">D49-C49</f>
        <v>1530321</v>
      </c>
      <c r="F49" s="24">
        <f aca="true" t="shared" si="3" ref="F49:F56">IF(C49=0,0,E49/C49)</f>
        <v>0.21412116939924047</v>
      </c>
    </row>
    <row r="50" spans="1:6" ht="24" customHeight="1">
      <c r="A50" s="21">
        <f aca="true" t="shared" si="4" ref="A50:A55">1+A49</f>
        <v>2</v>
      </c>
      <c r="B50" s="22" t="s">
        <v>206</v>
      </c>
      <c r="C50" s="23">
        <v>8538903</v>
      </c>
      <c r="D50" s="23">
        <v>9288643</v>
      </c>
      <c r="E50" s="23">
        <f t="shared" si="2"/>
        <v>749740</v>
      </c>
      <c r="F50" s="24">
        <f t="shared" si="3"/>
        <v>0.08780284774285409</v>
      </c>
    </row>
    <row r="51" spans="1:6" ht="24" customHeight="1">
      <c r="A51" s="21">
        <f t="shared" si="4"/>
        <v>3</v>
      </c>
      <c r="B51" s="22" t="s">
        <v>207</v>
      </c>
      <c r="C51" s="23">
        <v>492330</v>
      </c>
      <c r="D51" s="23">
        <v>885467</v>
      </c>
      <c r="E51" s="23">
        <f t="shared" si="2"/>
        <v>393137</v>
      </c>
      <c r="F51" s="24">
        <f t="shared" si="3"/>
        <v>0.7985233481607865</v>
      </c>
    </row>
    <row r="52" spans="1:6" ht="24" customHeight="1">
      <c r="A52" s="21">
        <f t="shared" si="4"/>
        <v>4</v>
      </c>
      <c r="B52" s="22" t="s">
        <v>208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209</v>
      </c>
      <c r="C53" s="23">
        <v>2460000</v>
      </c>
      <c r="D53" s="23">
        <v>2390000</v>
      </c>
      <c r="E53" s="23">
        <f t="shared" si="2"/>
        <v>-70000</v>
      </c>
      <c r="F53" s="24">
        <f t="shared" si="3"/>
        <v>-0.028455284552845527</v>
      </c>
    </row>
    <row r="54" spans="1:6" ht="24" customHeight="1">
      <c r="A54" s="21">
        <f t="shared" si="4"/>
        <v>6</v>
      </c>
      <c r="B54" s="22" t="s">
        <v>210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>
      <c r="A55" s="21">
        <f t="shared" si="4"/>
        <v>7</v>
      </c>
      <c r="B55" s="22" t="s">
        <v>211</v>
      </c>
      <c r="C55" s="23">
        <v>163149</v>
      </c>
      <c r="D55" s="23">
        <v>6956870</v>
      </c>
      <c r="E55" s="23">
        <f t="shared" si="2"/>
        <v>6793721</v>
      </c>
      <c r="F55" s="24">
        <f t="shared" si="3"/>
        <v>41.64120527861035</v>
      </c>
    </row>
    <row r="56" spans="1:6" ht="24" customHeight="1">
      <c r="A56" s="25"/>
      <c r="B56" s="26" t="s">
        <v>212</v>
      </c>
      <c r="C56" s="27">
        <f>SUM(C49:C55)</f>
        <v>18801368</v>
      </c>
      <c r="D56" s="27">
        <f>SUM(D49:D55)</f>
        <v>28198287</v>
      </c>
      <c r="E56" s="27">
        <f t="shared" si="2"/>
        <v>9396919</v>
      </c>
      <c r="F56" s="28">
        <f t="shared" si="3"/>
        <v>0.49979974861403703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184</v>
      </c>
      <c r="B58" s="41" t="s">
        <v>213</v>
      </c>
      <c r="C58" s="263"/>
      <c r="D58" s="263"/>
      <c r="E58" s="263"/>
      <c r="F58" s="24"/>
    </row>
    <row r="59" spans="1:6" ht="24" customHeight="1">
      <c r="A59" s="21">
        <v>1</v>
      </c>
      <c r="B59" s="22" t="s">
        <v>214</v>
      </c>
      <c r="C59" s="23">
        <v>85305000</v>
      </c>
      <c r="D59" s="23">
        <v>82915000</v>
      </c>
      <c r="E59" s="23">
        <f>D59-C59</f>
        <v>-2390000</v>
      </c>
      <c r="F59" s="24">
        <f>IF(C59=0,0,E59/C59)</f>
        <v>-0.028017115057734014</v>
      </c>
    </row>
    <row r="60" spans="1:6" ht="24" customHeight="1">
      <c r="A60" s="21">
        <v>2</v>
      </c>
      <c r="B60" s="22" t="s">
        <v>215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>
      <c r="A61" s="25"/>
      <c r="B61" s="26" t="s">
        <v>216</v>
      </c>
      <c r="C61" s="27">
        <f>SUM(C59:C60)</f>
        <v>85305000</v>
      </c>
      <c r="D61" s="27">
        <f>SUM(D59:D60)</f>
        <v>82915000</v>
      </c>
      <c r="E61" s="27">
        <f>D61-C61</f>
        <v>-2390000</v>
      </c>
      <c r="F61" s="28">
        <f>IF(C61=0,0,E61/C61)</f>
        <v>-0.028017115057734014</v>
      </c>
    </row>
    <row r="62" spans="1:6" ht="15" customHeight="1">
      <c r="A62" s="21"/>
      <c r="B62" s="5"/>
      <c r="C62" s="263"/>
      <c r="D62" s="263"/>
      <c r="E62" s="263"/>
      <c r="F62" s="24"/>
    </row>
    <row r="63" spans="1:6" ht="24" customHeight="1">
      <c r="A63" s="21">
        <v>3</v>
      </c>
      <c r="B63" s="22" t="s">
        <v>217</v>
      </c>
      <c r="C63" s="23">
        <v>26949323</v>
      </c>
      <c r="D63" s="23">
        <v>49059528</v>
      </c>
      <c r="E63" s="23">
        <f>D63-C63</f>
        <v>22110205</v>
      </c>
      <c r="F63" s="24">
        <f>IF(C63=0,0,E63/C63)</f>
        <v>0.8204363797932883</v>
      </c>
    </row>
    <row r="64" spans="1:6" ht="24" customHeight="1">
      <c r="A64" s="21">
        <v>4</v>
      </c>
      <c r="B64" s="22" t="s">
        <v>218</v>
      </c>
      <c r="C64" s="23">
        <v>7166789</v>
      </c>
      <c r="D64" s="23">
        <v>5510174</v>
      </c>
      <c r="E64" s="23">
        <f>D64-C64</f>
        <v>-1656615</v>
      </c>
      <c r="F64" s="24">
        <f>IF(C64=0,0,E64/C64)</f>
        <v>-0.23115163569068378</v>
      </c>
    </row>
    <row r="65" spans="1:6" ht="24" customHeight="1">
      <c r="A65" s="25"/>
      <c r="B65" s="26" t="s">
        <v>219</v>
      </c>
      <c r="C65" s="27">
        <f>SUM(C61:C64)</f>
        <v>119421112</v>
      </c>
      <c r="D65" s="27">
        <f>SUM(D61:D64)</f>
        <v>137484702</v>
      </c>
      <c r="E65" s="27">
        <f>D65-C65</f>
        <v>18063590</v>
      </c>
      <c r="F65" s="28">
        <f>IF(C65=0,0,E65/C65)</f>
        <v>0.15125960307587824</v>
      </c>
    </row>
    <row r="66" spans="2:6" ht="24" customHeight="1">
      <c r="B66" s="5"/>
      <c r="C66" s="263"/>
      <c r="D66" s="263"/>
      <c r="E66" s="263"/>
      <c r="F66" s="24"/>
    </row>
    <row r="67" spans="1:6" s="43" customFormat="1" ht="15" customHeight="1">
      <c r="A67" s="44">
        <v>5</v>
      </c>
      <c r="B67" s="45" t="s">
        <v>220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63"/>
      <c r="D68" s="263"/>
      <c r="E68" s="263"/>
      <c r="F68" s="24"/>
    </row>
    <row r="69" spans="1:6" ht="15.75" customHeight="1">
      <c r="A69" s="29" t="s">
        <v>194</v>
      </c>
      <c r="B69" s="41" t="s">
        <v>221</v>
      </c>
      <c r="C69" s="263"/>
      <c r="D69" s="263"/>
      <c r="E69" s="263"/>
      <c r="F69" s="24"/>
    </row>
    <row r="70" spans="1:6" ht="24" customHeight="1">
      <c r="A70" s="21">
        <v>1</v>
      </c>
      <c r="B70" s="22" t="s">
        <v>222</v>
      </c>
      <c r="C70" s="23">
        <v>68408363</v>
      </c>
      <c r="D70" s="23">
        <v>50950947</v>
      </c>
      <c r="E70" s="23">
        <f>D70-C70</f>
        <v>-17457416</v>
      </c>
      <c r="F70" s="24">
        <f>IF(C70=0,0,E70/C70)</f>
        <v>-0.2551941785246345</v>
      </c>
    </row>
    <row r="71" spans="1:6" ht="24" customHeight="1">
      <c r="A71" s="21">
        <v>2</v>
      </c>
      <c r="B71" s="22" t="s">
        <v>223</v>
      </c>
      <c r="C71" s="23">
        <v>2746781</v>
      </c>
      <c r="D71" s="23">
        <v>1630516</v>
      </c>
      <c r="E71" s="23">
        <f>D71-C71</f>
        <v>-1116265</v>
      </c>
      <c r="F71" s="24">
        <f>IF(C71=0,0,E71/C71)</f>
        <v>-0.4063902437070884</v>
      </c>
    </row>
    <row r="72" spans="1:6" ht="24" customHeight="1">
      <c r="A72" s="21">
        <v>3</v>
      </c>
      <c r="B72" s="22" t="s">
        <v>224</v>
      </c>
      <c r="C72" s="23">
        <v>6007991</v>
      </c>
      <c r="D72" s="23">
        <v>4786335</v>
      </c>
      <c r="E72" s="23">
        <f>D72-C72</f>
        <v>-1221656</v>
      </c>
      <c r="F72" s="24">
        <f>IF(C72=0,0,E72/C72)</f>
        <v>-0.20333852031402844</v>
      </c>
    </row>
    <row r="73" spans="1:6" ht="24" customHeight="1">
      <c r="A73" s="21"/>
      <c r="B73" s="26" t="s">
        <v>225</v>
      </c>
      <c r="C73" s="27">
        <f>SUM(C70:C72)</f>
        <v>77163135</v>
      </c>
      <c r="D73" s="27">
        <f>SUM(D70:D72)</f>
        <v>57367798</v>
      </c>
      <c r="E73" s="27">
        <f>D73-C73</f>
        <v>-19795337</v>
      </c>
      <c r="F73" s="28">
        <f>IF(C73=0,0,E73/C73)</f>
        <v>-0.25653878629996046</v>
      </c>
    </row>
    <row r="74" spans="2:6" ht="24" customHeight="1">
      <c r="B74" s="26"/>
      <c r="C74" s="263"/>
      <c r="D74" s="263"/>
      <c r="E74" s="263"/>
      <c r="F74" s="24"/>
    </row>
    <row r="75" spans="1:6" ht="15.75" customHeight="1">
      <c r="A75" s="21"/>
      <c r="B75" s="26" t="s">
        <v>226</v>
      </c>
      <c r="C75" s="27">
        <f>C56+C65+C67+C73</f>
        <v>215385615</v>
      </c>
      <c r="D75" s="27">
        <f>D56+D65+D67+D73</f>
        <v>223050787</v>
      </c>
      <c r="E75" s="27">
        <f>D75-C75</f>
        <v>7665172</v>
      </c>
      <c r="F75" s="28">
        <f>IF(C75=0,0,E75/C75)</f>
        <v>0.03558813340435943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FILING&amp;RMIDSTATE MEDICAL CENTER AND SUBSIDIARIES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C37" sqref="C37"/>
    </sheetView>
  </sheetViews>
  <sheetFormatPr defaultColWidth="9.140625" defaultRowHeight="22.5" customHeight="1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695" t="s">
        <v>637</v>
      </c>
      <c r="B1" s="696"/>
      <c r="C1" s="696"/>
      <c r="D1" s="696"/>
      <c r="E1" s="696"/>
      <c r="F1" s="697"/>
    </row>
    <row r="2" spans="1:6" ht="22.5" customHeight="1">
      <c r="A2" s="695" t="s">
        <v>159</v>
      </c>
      <c r="B2" s="696"/>
      <c r="C2" s="696"/>
      <c r="D2" s="696"/>
      <c r="E2" s="696"/>
      <c r="F2" s="697"/>
    </row>
    <row r="3" spans="1:6" ht="22.5" customHeight="1">
      <c r="A3" s="695" t="s">
        <v>160</v>
      </c>
      <c r="B3" s="696"/>
      <c r="C3" s="696"/>
      <c r="D3" s="696"/>
      <c r="E3" s="696"/>
      <c r="F3" s="697"/>
    </row>
    <row r="4" spans="1:6" ht="22.5" customHeight="1">
      <c r="A4" s="695" t="s">
        <v>639</v>
      </c>
      <c r="B4" s="696"/>
      <c r="C4" s="696"/>
      <c r="D4" s="696"/>
      <c r="E4" s="696"/>
      <c r="F4" s="697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162</v>
      </c>
      <c r="D6" s="10" t="s">
        <v>163</v>
      </c>
      <c r="E6" s="59" t="s">
        <v>164</v>
      </c>
      <c r="F6" s="59" t="s">
        <v>165</v>
      </c>
    </row>
    <row r="7" spans="1:8" ht="15.75" customHeight="1">
      <c r="A7" s="61" t="s">
        <v>166</v>
      </c>
      <c r="B7" s="62" t="s">
        <v>167</v>
      </c>
      <c r="C7" s="14" t="s">
        <v>168</v>
      </c>
      <c r="D7" s="14" t="s">
        <v>168</v>
      </c>
      <c r="E7" s="63" t="s">
        <v>169</v>
      </c>
      <c r="F7" s="63" t="s">
        <v>169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5.75" customHeight="1">
      <c r="A10" s="29"/>
      <c r="B10" s="30"/>
      <c r="C10" s="67"/>
      <c r="D10" s="67"/>
      <c r="E10" s="69"/>
      <c r="F10" s="69"/>
    </row>
    <row r="11" spans="1:6" ht="15.75" customHeight="1">
      <c r="A11" s="29" t="s">
        <v>172</v>
      </c>
      <c r="B11" s="30" t="s">
        <v>228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229</v>
      </c>
      <c r="C12" s="51">
        <v>335017567</v>
      </c>
      <c r="D12" s="51">
        <v>347627051</v>
      </c>
      <c r="E12" s="51">
        <f aca="true" t="shared" si="0" ref="E12:E19">D12-C12</f>
        <v>12609484</v>
      </c>
      <c r="F12" s="70">
        <f aca="true" t="shared" si="1" ref="F12:F19">IF(C12=0,0,E12/C12)</f>
        <v>0.03763827703996191</v>
      </c>
    </row>
    <row r="13" spans="1:6" ht="22.5" customHeight="1">
      <c r="A13" s="25">
        <v>2</v>
      </c>
      <c r="B13" s="48" t="s">
        <v>230</v>
      </c>
      <c r="C13" s="51">
        <v>159693034</v>
      </c>
      <c r="D13" s="51">
        <v>171786129</v>
      </c>
      <c r="E13" s="51">
        <f t="shared" si="0"/>
        <v>12093095</v>
      </c>
      <c r="F13" s="70">
        <f t="shared" si="1"/>
        <v>0.0757271290869206</v>
      </c>
    </row>
    <row r="14" spans="1:6" ht="22.5" customHeight="1">
      <c r="A14" s="25">
        <v>3</v>
      </c>
      <c r="B14" s="48" t="s">
        <v>231</v>
      </c>
      <c r="C14" s="51">
        <v>3095013</v>
      </c>
      <c r="D14" s="51">
        <v>3370587</v>
      </c>
      <c r="E14" s="51">
        <f t="shared" si="0"/>
        <v>275574</v>
      </c>
      <c r="F14" s="70">
        <f t="shared" si="1"/>
        <v>0.08903807512278623</v>
      </c>
    </row>
    <row r="15" spans="1:7" ht="22.5" customHeight="1">
      <c r="A15" s="25">
        <v>4</v>
      </c>
      <c r="B15" s="48" t="s">
        <v>232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233</v>
      </c>
      <c r="C16" s="27">
        <f>C12-C13-C14-C15</f>
        <v>172229520</v>
      </c>
      <c r="D16" s="27">
        <f>D12-D13-D14-D15</f>
        <v>172470335</v>
      </c>
      <c r="E16" s="27">
        <f t="shared" si="0"/>
        <v>240815</v>
      </c>
      <c r="F16" s="28">
        <f t="shared" si="1"/>
        <v>0.001398221396657205</v>
      </c>
    </row>
    <row r="17" spans="1:7" ht="22.5" customHeight="1">
      <c r="A17" s="25">
        <v>5</v>
      </c>
      <c r="B17" s="48" t="s">
        <v>234</v>
      </c>
      <c r="C17" s="51">
        <v>15357232</v>
      </c>
      <c r="D17" s="51">
        <v>18473460</v>
      </c>
      <c r="E17" s="51">
        <f t="shared" si="0"/>
        <v>3116228</v>
      </c>
      <c r="F17" s="70">
        <f t="shared" si="1"/>
        <v>0.20291599423646137</v>
      </c>
      <c r="G17" s="64"/>
    </row>
    <row r="18" spans="1:7" ht="33" customHeight="1">
      <c r="A18" s="25">
        <v>6</v>
      </c>
      <c r="B18" s="45" t="s">
        <v>235</v>
      </c>
      <c r="C18" s="51">
        <v>252892</v>
      </c>
      <c r="D18" s="51">
        <v>247839</v>
      </c>
      <c r="E18" s="51">
        <f t="shared" si="0"/>
        <v>-5053</v>
      </c>
      <c r="F18" s="70">
        <f t="shared" si="1"/>
        <v>-0.019980861395378264</v>
      </c>
      <c r="G18" s="64"/>
    </row>
    <row r="19" spans="1:6" ht="22.5" customHeight="1">
      <c r="A19" s="29"/>
      <c r="B19" s="71" t="s">
        <v>236</v>
      </c>
      <c r="C19" s="27">
        <f>SUM(C16:C18)</f>
        <v>187839644</v>
      </c>
      <c r="D19" s="27">
        <f>SUM(D16:D18)</f>
        <v>191191634</v>
      </c>
      <c r="E19" s="27">
        <f t="shared" si="0"/>
        <v>3351990</v>
      </c>
      <c r="F19" s="28">
        <f t="shared" si="1"/>
        <v>0.01784495502983385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184</v>
      </c>
      <c r="B21" s="30" t="s">
        <v>237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238</v>
      </c>
      <c r="C22" s="51">
        <v>63689538</v>
      </c>
      <c r="D22" s="51">
        <v>65452831</v>
      </c>
      <c r="E22" s="51">
        <f aca="true" t="shared" si="2" ref="E22:E31">D22-C22</f>
        <v>1763293</v>
      </c>
      <c r="F22" s="70">
        <f aca="true" t="shared" si="3" ref="F22:F31">IF(C22=0,0,E22/C22)</f>
        <v>0.027685755861504287</v>
      </c>
    </row>
    <row r="23" spans="1:6" ht="22.5" customHeight="1">
      <c r="A23" s="25">
        <v>2</v>
      </c>
      <c r="B23" s="48" t="s">
        <v>239</v>
      </c>
      <c r="C23" s="51">
        <v>17985378</v>
      </c>
      <c r="D23" s="51">
        <v>17450768</v>
      </c>
      <c r="E23" s="51">
        <f t="shared" si="2"/>
        <v>-534610</v>
      </c>
      <c r="F23" s="70">
        <f t="shared" si="3"/>
        <v>-0.02972470192174999</v>
      </c>
    </row>
    <row r="24" spans="1:7" ht="22.5" customHeight="1">
      <c r="A24" s="25">
        <v>3</v>
      </c>
      <c r="B24" s="48" t="s">
        <v>240</v>
      </c>
      <c r="C24" s="51">
        <v>4511727</v>
      </c>
      <c r="D24" s="51">
        <v>4866690</v>
      </c>
      <c r="E24" s="51">
        <f t="shared" si="2"/>
        <v>354963</v>
      </c>
      <c r="F24" s="70">
        <f t="shared" si="3"/>
        <v>0.07867563795415813</v>
      </c>
      <c r="G24" s="64"/>
    </row>
    <row r="25" spans="1:6" ht="22.5" customHeight="1">
      <c r="A25" s="25">
        <v>4</v>
      </c>
      <c r="B25" s="48" t="s">
        <v>241</v>
      </c>
      <c r="C25" s="51">
        <v>18394599</v>
      </c>
      <c r="D25" s="51">
        <v>19189397</v>
      </c>
      <c r="E25" s="51">
        <f t="shared" si="2"/>
        <v>794798</v>
      </c>
      <c r="F25" s="70">
        <f t="shared" si="3"/>
        <v>0.04320822650170303</v>
      </c>
    </row>
    <row r="26" spans="1:6" ht="22.5" customHeight="1">
      <c r="A26" s="25">
        <v>5</v>
      </c>
      <c r="B26" s="48" t="s">
        <v>242</v>
      </c>
      <c r="C26" s="51">
        <v>9516570</v>
      </c>
      <c r="D26" s="51">
        <v>9179180</v>
      </c>
      <c r="E26" s="51">
        <f t="shared" si="2"/>
        <v>-337390</v>
      </c>
      <c r="F26" s="70">
        <f t="shared" si="3"/>
        <v>-0.035452899521571324</v>
      </c>
    </row>
    <row r="27" spans="1:6" ht="22.5" customHeight="1">
      <c r="A27" s="25">
        <v>6</v>
      </c>
      <c r="B27" s="48" t="s">
        <v>243</v>
      </c>
      <c r="C27" s="51">
        <v>9915116</v>
      </c>
      <c r="D27" s="51">
        <v>9717615</v>
      </c>
      <c r="E27" s="51">
        <f t="shared" si="2"/>
        <v>-197501</v>
      </c>
      <c r="F27" s="70">
        <f t="shared" si="3"/>
        <v>-0.019919181984356008</v>
      </c>
    </row>
    <row r="28" spans="1:6" ht="22.5" customHeight="1">
      <c r="A28" s="25">
        <v>7</v>
      </c>
      <c r="B28" s="48" t="s">
        <v>244</v>
      </c>
      <c r="C28" s="51">
        <v>2795157</v>
      </c>
      <c r="D28" s="51">
        <v>2456574</v>
      </c>
      <c r="E28" s="51">
        <f t="shared" si="2"/>
        <v>-338583</v>
      </c>
      <c r="F28" s="70">
        <f t="shared" si="3"/>
        <v>-0.12113201512473182</v>
      </c>
    </row>
    <row r="29" spans="1:6" ht="22.5" customHeight="1">
      <c r="A29" s="25">
        <v>8</v>
      </c>
      <c r="B29" s="48" t="s">
        <v>245</v>
      </c>
      <c r="C29" s="51">
        <v>5437362</v>
      </c>
      <c r="D29" s="51">
        <v>5437362</v>
      </c>
      <c r="E29" s="51">
        <f t="shared" si="2"/>
        <v>0</v>
      </c>
      <c r="F29" s="70">
        <f t="shared" si="3"/>
        <v>0</v>
      </c>
    </row>
    <row r="30" spans="1:6" ht="22.5" customHeight="1">
      <c r="A30" s="25">
        <v>9</v>
      </c>
      <c r="B30" s="48" t="s">
        <v>246</v>
      </c>
      <c r="C30" s="51">
        <v>50901179</v>
      </c>
      <c r="D30" s="51">
        <v>51502068</v>
      </c>
      <c r="E30" s="51">
        <f t="shared" si="2"/>
        <v>600889</v>
      </c>
      <c r="F30" s="70">
        <f t="shared" si="3"/>
        <v>0.01180501143205347</v>
      </c>
    </row>
    <row r="31" spans="1:6" ht="22.5" customHeight="1">
      <c r="A31" s="29"/>
      <c r="B31" s="71" t="s">
        <v>247</v>
      </c>
      <c r="C31" s="27">
        <f>SUM(C22:C30)</f>
        <v>183146626</v>
      </c>
      <c r="D31" s="27">
        <f>SUM(D22:D30)</f>
        <v>185252485</v>
      </c>
      <c r="E31" s="27">
        <f t="shared" si="2"/>
        <v>2105859</v>
      </c>
      <c r="F31" s="28">
        <f t="shared" si="3"/>
        <v>0.011498213458761725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248</v>
      </c>
      <c r="C33" s="27">
        <f>+C19-C31</f>
        <v>4693018</v>
      </c>
      <c r="D33" s="27">
        <f>+D19-D31</f>
        <v>5939149</v>
      </c>
      <c r="E33" s="27">
        <f>D33-C33</f>
        <v>1246131</v>
      </c>
      <c r="F33" s="28">
        <f>IF(C33=0,0,E33/C33)</f>
        <v>0.26552870668725326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194</v>
      </c>
      <c r="B35" s="30" t="s">
        <v>249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250</v>
      </c>
      <c r="C36" s="51">
        <v>-2728124</v>
      </c>
      <c r="D36" s="51">
        <v>529585</v>
      </c>
      <c r="E36" s="51">
        <f>D36-C36</f>
        <v>3257709</v>
      </c>
      <c r="F36" s="70">
        <f>IF(C36=0,0,E36/C36)</f>
        <v>-1.194120575164472</v>
      </c>
    </row>
    <row r="37" spans="1:6" ht="22.5" customHeight="1">
      <c r="A37" s="44">
        <v>2</v>
      </c>
      <c r="B37" s="48" t="s">
        <v>251</v>
      </c>
      <c r="C37" s="51">
        <v>25000</v>
      </c>
      <c r="D37" s="51">
        <v>25000</v>
      </c>
      <c r="E37" s="51">
        <f>D37-C37</f>
        <v>0</v>
      </c>
      <c r="F37" s="70">
        <f>IF(C37=0,0,E37/C37)</f>
        <v>0</v>
      </c>
    </row>
    <row r="38" spans="1:6" ht="22.5" customHeight="1">
      <c r="A38" s="44">
        <v>3</v>
      </c>
      <c r="B38" s="48" t="s">
        <v>252</v>
      </c>
      <c r="C38" s="51">
        <v>2007525</v>
      </c>
      <c r="D38" s="51">
        <v>330892</v>
      </c>
      <c r="E38" s="51">
        <f>D38-C38</f>
        <v>-1676633</v>
      </c>
      <c r="F38" s="70">
        <f>IF(C38=0,0,E38/C38)</f>
        <v>-0.8351741572334093</v>
      </c>
    </row>
    <row r="39" spans="1:6" ht="22.5" customHeight="1">
      <c r="A39" s="20"/>
      <c r="B39" s="71" t="s">
        <v>253</v>
      </c>
      <c r="C39" s="27">
        <f>SUM(C36:C38)</f>
        <v>-695599</v>
      </c>
      <c r="D39" s="27">
        <f>SUM(D36:D38)</f>
        <v>885477</v>
      </c>
      <c r="E39" s="27">
        <f>D39-C39</f>
        <v>1581076</v>
      </c>
      <c r="F39" s="28">
        <f>IF(C39=0,0,E39/C39)</f>
        <v>-2.2729704901818435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254</v>
      </c>
      <c r="C41" s="27">
        <f>C33+C39</f>
        <v>3997419</v>
      </c>
      <c r="D41" s="27">
        <f>D33+D39</f>
        <v>6824626</v>
      </c>
      <c r="E41" s="27">
        <f>D41-C41</f>
        <v>2827207</v>
      </c>
      <c r="F41" s="28">
        <f>IF(C41=0,0,E41/C41)</f>
        <v>0.707258108294377</v>
      </c>
    </row>
    <row r="42" spans="1:6" ht="15.75" customHeight="1">
      <c r="A42" s="35"/>
      <c r="B42" s="22"/>
      <c r="C42" s="48"/>
      <c r="D42" s="48"/>
      <c r="E42" s="27"/>
      <c r="F42" s="28"/>
    </row>
    <row r="43" spans="1:6" ht="22.5" customHeight="1">
      <c r="A43" s="20"/>
      <c r="B43" s="71" t="s">
        <v>255</v>
      </c>
      <c r="C43" s="27"/>
      <c r="D43" s="27"/>
      <c r="E43" s="27"/>
      <c r="F43" s="28"/>
    </row>
    <row r="44" spans="1:6" ht="22.5" customHeight="1">
      <c r="A44" s="44"/>
      <c r="B44" s="48" t="s">
        <v>256</v>
      </c>
      <c r="C44" s="51">
        <v>0</v>
      </c>
      <c r="D44" s="51">
        <v>579781</v>
      </c>
      <c r="E44" s="51">
        <f>D44-C44</f>
        <v>579781</v>
      </c>
      <c r="F44" s="70">
        <f>IF(C44=0,0,E44/C44)</f>
        <v>0</v>
      </c>
    </row>
    <row r="45" spans="1:6" ht="22.5" customHeight="1">
      <c r="A45" s="44"/>
      <c r="B45" s="48" t="s">
        <v>257</v>
      </c>
      <c r="C45" s="51">
        <v>0</v>
      </c>
      <c r="D45" s="51">
        <v>-2709325</v>
      </c>
      <c r="E45" s="51">
        <f>D45-C45</f>
        <v>-2709325</v>
      </c>
      <c r="F45" s="70">
        <f>IF(C45=0,0,E45/C45)</f>
        <v>0</v>
      </c>
    </row>
    <row r="46" spans="1:6" ht="22.5" customHeight="1">
      <c r="A46" s="20"/>
      <c r="B46" s="74" t="s">
        <v>258</v>
      </c>
      <c r="C46" s="27">
        <f>SUM(C44:C45)</f>
        <v>0</v>
      </c>
      <c r="D46" s="27">
        <f>SUM(D44:D45)</f>
        <v>-2129544</v>
      </c>
      <c r="E46" s="27">
        <f>D46-C46</f>
        <v>-2129544</v>
      </c>
      <c r="F46" s="28">
        <f>IF(C46=0,0,E46/C46)</f>
        <v>0</v>
      </c>
    </row>
    <row r="47" spans="1:6" ht="15.75" customHeight="1">
      <c r="A47" s="20"/>
      <c r="B47" s="74"/>
      <c r="C47" s="27"/>
      <c r="D47" s="27"/>
      <c r="E47" s="27"/>
      <c r="F47" s="28"/>
    </row>
    <row r="48" spans="1:6" ht="22.5" customHeight="1">
      <c r="A48" s="20"/>
      <c r="B48" s="74" t="s">
        <v>259</v>
      </c>
      <c r="C48" s="27">
        <f>C41+C46</f>
        <v>3997419</v>
      </c>
      <c r="D48" s="27">
        <f>D41+D46</f>
        <v>4695082</v>
      </c>
      <c r="E48" s="27">
        <f>D48-C48</f>
        <v>697663</v>
      </c>
      <c r="F48" s="28">
        <f>IF(C48=0,0,E48/C48)</f>
        <v>0.17452836442714662</v>
      </c>
    </row>
    <row r="49" spans="1:6" ht="22.5" customHeight="1">
      <c r="A49" s="44"/>
      <c r="B49" s="71"/>
      <c r="C49" s="27"/>
      <c r="D49" s="27"/>
      <c r="E49" s="53"/>
      <c r="F49" s="28"/>
    </row>
  </sheetData>
  <sheetProtection/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horizontalDpi="1200" verticalDpi="1200" orientation="portrait" paperSize="9" scale="74" r:id="rId1"/>
  <headerFooter alignWithMargins="0">
    <oddHeader>&amp;L&amp;8OFFICE OF HEALTH CARE ACCESS&amp;C&amp;8TWELVE MONTHS ACTUAL FILING&amp;R&amp;8MIDSTATE MEDICAL CENTER AND SUBSIDIARIES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Ciesones</dc:creator>
  <cp:keywords/>
  <dc:description/>
  <cp:lastModifiedBy>ciesones</cp:lastModifiedBy>
  <cp:lastPrinted>2010-08-17T20:27:40Z</cp:lastPrinted>
  <dcterms:created xsi:type="dcterms:W3CDTF">2006-08-03T13:49:12Z</dcterms:created>
  <dcterms:modified xsi:type="dcterms:W3CDTF">2010-08-17T20:27:44Z</dcterms:modified>
  <cp:category/>
  <cp:version/>
  <cp:contentType/>
  <cp:contentStatus/>
</cp:coreProperties>
</file>