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0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<sst xmlns="http://schemas.openxmlformats.org/spreadsheetml/2006/main" count="2300" uniqueCount="979">
  <si>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</si>
  <si>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</si>
  <si>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</si>
  <si>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</si>
  <si>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</si>
  <si>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</si>
  <si>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</si>
  <si>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</si>
  <si>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</si>
  <si>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</si>
  <si>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</si>
  <si>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</si>
  <si>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</si>
  <si>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</si>
  <si>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</si>
  <si>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</si>
  <si>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</si>
  <si>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</si>
  <si>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</si>
  <si>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</si>
  <si>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</si>
  <si>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</si>
  <si>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</si>
  <si>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</si>
  <si>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</si>
  <si>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</si>
  <si>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</si>
  <si>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</si>
  <si>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</si>
  <si>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</si>
  <si>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</si>
  <si>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</si>
  <si>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</si>
  <si>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</si>
  <si>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</si>
  <si>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</si>
  <si>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</si>
  <si>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</si>
  <si>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</si>
  <si>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</si>
  <si>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</si>
  <si>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</si>
  <si>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</si>
  <si>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</si>
  <si>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</si>
  <si>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</si>
  <si>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</si>
  <si>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</si>
  <si>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</si>
  <si>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</si>
  <si>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</si>
  <si>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</si>
  <si>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</si>
  <si>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</si>
  <si>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</si>
  <si>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</si>
  <si>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</si>
  <si>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</si>
  <si>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</si>
  <si>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</si>
  <si>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</si>
  <si>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</si>
  <si>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</si>
  <si>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</si>
  <si>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</si>
  <si>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</si>
  <si>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</si>
  <si>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</si>
  <si>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</si>
  <si>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</si>
  <si>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</si>
  <si>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</si>
  <si>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</si>
  <si>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</si>
  <si>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</si>
  <si>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</si>
  <si>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</si>
  <si>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</si>
  <si>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</si>
  <si>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</si>
  <si>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</si>
  <si>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</si>
  <si>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</si>
  <si>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</si>
  <si>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</si>
  <si>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</si>
  <si>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</si>
  <si>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</si>
  <si>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</si>
  <si>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</si>
  <si>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</si>
  <si>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</si>
  <si>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</si>
  <si>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</si>
  <si>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</si>
  <si>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</si>
  <si>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</si>
  <si>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</si>
  <si>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</si>
  <si>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</si>
  <si>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</si>
  <si>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</si>
  <si>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</si>
  <si>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</si>
  <si>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</si>
  <si>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</si>
  <si>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</si>
  <si>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</si>
  <si>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</si>
  <si>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</si>
  <si>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</si>
  <si>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</si>
  <si>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</si>
  <si>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</si>
  <si>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</si>
  <si>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 xml:space="preserve">      *A.- K. The total operating expenses amount above must agree with the total operating expenses amount on Report 150.  </t>
  </si>
  <si>
    <t xml:space="preserve">      *A.- 0. The total operating expenses amount above must agree with the total operating expenses amount on Report 150.  </t>
  </si>
  <si>
    <t>MANCHESTER MEMORIAL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</si>
  <si>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</si>
  <si>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</si>
  <si>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</si>
  <si>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</si>
  <si>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</si>
  <si>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</si>
  <si>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</si>
  <si>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</si>
  <si>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</si>
  <si>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</si>
  <si>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</si>
  <si>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</si>
  <si>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</si>
  <si>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</si>
  <si>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</si>
  <si>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</si>
  <si>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</si>
  <si>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</si>
  <si>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</si>
  <si>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</si>
  <si>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</si>
  <si>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</si>
  <si>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</si>
  <si>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</si>
  <si>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</si>
  <si>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</si>
  <si>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</si>
  <si>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</si>
  <si>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</si>
  <si>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</si>
  <si>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</si>
  <si>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</si>
  <si>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</si>
  <si>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</si>
  <si>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</si>
  <si>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</si>
  <si>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</si>
  <si>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</si>
  <si>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</si>
  <si>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</si>
  <si>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</si>
  <si>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</si>
  <si>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</si>
  <si>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</si>
  <si>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</si>
  <si>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</si>
  <si>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</si>
  <si>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</si>
  <si>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</si>
  <si>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</si>
  <si>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</si>
  <si>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</si>
  <si>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</si>
  <si>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</si>
  <si>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</si>
  <si>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</si>
  <si>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</si>
  <si>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</si>
  <si>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</si>
  <si>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</si>
  <si>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</si>
  <si>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</si>
  <si>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</si>
  <si>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</si>
  <si>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</si>
  <si>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</si>
  <si>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</si>
  <si>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</si>
  <si>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</si>
  <si>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</si>
  <si>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</si>
  <si>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</si>
  <si>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</si>
  <si>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</si>
  <si>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</si>
  <si>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</si>
  <si>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</si>
  <si>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</si>
  <si>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</si>
  <si>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</si>
  <si>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</si>
  <si>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</si>
  <si>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</si>
  <si>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</si>
  <si>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</si>
  <si>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</si>
  <si>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</si>
  <si>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</si>
  <si>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</si>
  <si>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</si>
  <si>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</si>
  <si>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</si>
  <si>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</si>
  <si>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</si>
  <si>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</si>
  <si>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</si>
  <si>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</si>
  <si>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</si>
  <si>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</si>
  <si>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</si>
  <si>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</si>
  <si>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</si>
  <si>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</si>
  <si>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</si>
  <si>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</si>
  <si>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</si>
  <si>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</si>
  <si>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</si>
  <si>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</si>
  <si>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</si>
  <si>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</si>
  <si>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</si>
  <si>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</si>
  <si>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</si>
  <si>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</si>
  <si>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</si>
  <si>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</si>
  <si>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</si>
  <si>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</si>
  <si>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</si>
  <si>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</si>
  <si>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</si>
  <si>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</si>
  <si>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</si>
  <si>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</si>
  <si>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</si>
  <si>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</si>
  <si>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</si>
  <si>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</si>
  <si>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</si>
  <si>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</si>
  <si>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</si>
  <si>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</si>
  <si>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</si>
  <si>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</si>
  <si>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</si>
  <si>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</si>
  <si>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</si>
  <si>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</si>
  <si>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</si>
  <si>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</si>
  <si>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</si>
  <si>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</si>
  <si>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</si>
  <si>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</si>
  <si>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</si>
  <si>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</si>
  <si>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</si>
  <si>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</si>
  <si>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</si>
  <si>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</si>
  <si>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</si>
  <si>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</si>
  <si>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</si>
  <si>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</si>
  <si>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</si>
  <si>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</si>
  <si>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</si>
  <si>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</si>
  <si>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</si>
  <si>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</si>
  <si>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</si>
  <si>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</si>
  <si>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</si>
  <si>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</si>
  <si>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</si>
  <si>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</si>
  <si>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</si>
  <si>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</si>
  <si>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</si>
  <si>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</si>
  <si>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</si>
  <si>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</si>
  <si>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</si>
  <si>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</si>
  <si>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</si>
  <si>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</si>
  <si>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</si>
  <si>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</si>
  <si>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</si>
  <si>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</si>
  <si>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</si>
  <si>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</si>
  <si>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</si>
  <si>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</si>
  <si>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</si>
  <si>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</si>
  <si>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</si>
  <si>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</si>
  <si>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</si>
  <si>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</si>
  <si>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</si>
  <si>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</si>
  <si>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</si>
  <si>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</si>
  <si>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</si>
  <si>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</si>
  <si>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</si>
  <si>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</si>
  <si>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</si>
  <si>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</si>
  <si>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</si>
  <si>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</si>
  <si>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</si>
  <si>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</si>
  <si>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</si>
  <si>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</si>
  <si>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</si>
  <si>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</si>
  <si>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</si>
  <si>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</si>
  <si>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</si>
  <si>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</si>
  <si>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</si>
  <si>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</si>
  <si>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</si>
  <si>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</si>
  <si>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</si>
  <si>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</si>
  <si>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</si>
  <si>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</si>
  <si>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</si>
  <si>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</si>
  <si>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</si>
  <si>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</si>
  <si>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</si>
  <si>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</si>
  <si>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</si>
  <si>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</si>
  <si>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</si>
  <si>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</si>
  <si>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</si>
  <si>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</si>
  <si>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</si>
  <si>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</si>
  <si>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</si>
  <si>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</si>
  <si>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</si>
  <si>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</si>
  <si>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</si>
  <si>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</si>
  <si>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</si>
  <si>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</si>
  <si>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</si>
  <si>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</si>
  <si>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</si>
  <si>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</si>
  <si>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</si>
  <si>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</si>
  <si>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</si>
  <si>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</si>
  <si>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</si>
  <si>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</si>
  <si>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</si>
  <si>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</si>
  <si>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</si>
  <si>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</si>
  <si>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</si>
  <si>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</si>
  <si>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</si>
  <si>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</si>
  <si>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</si>
  <si>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</si>
  <si>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</si>
  <si>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</si>
  <si>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</si>
  <si>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</si>
  <si>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</si>
  <si>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</si>
  <si>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</si>
  <si>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</si>
  <si>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</si>
  <si>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</si>
  <si>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</si>
  <si>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</si>
  <si>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</si>
  <si>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</si>
  <si>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</si>
  <si>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</si>
  <si>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</si>
  <si>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</si>
  <si>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</si>
  <si>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</si>
  <si>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</si>
  <si>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</si>
  <si>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</si>
  <si>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</si>
  <si>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</si>
  <si>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</si>
  <si>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</si>
  <si>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</si>
  <si>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</si>
  <si>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</si>
  <si>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</si>
  <si>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</si>
  <si>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</si>
  <si>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</si>
  <si>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</si>
  <si>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</si>
  <si>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</si>
  <si>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</si>
  <si>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</si>
  <si>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</si>
  <si>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</si>
  <si>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</si>
  <si>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</si>
  <si>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</si>
  <si>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</si>
  <si>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</si>
  <si>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</si>
  <si>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</si>
  <si>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</si>
  <si>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</si>
  <si>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</si>
  <si>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</si>
  <si>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</si>
  <si>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</si>
  <si>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</si>
  <si>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</si>
  <si>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</si>
  <si>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</si>
  <si>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</si>
  <si>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</si>
  <si>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</si>
  <si>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</si>
  <si>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</si>
  <si>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</si>
  <si>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</si>
  <si>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</si>
  <si>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</si>
  <si>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</si>
  <si>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</si>
  <si>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</si>
  <si>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</si>
  <si>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</si>
  <si>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</si>
  <si>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</si>
  <si>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</si>
  <si>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</si>
  <si>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</si>
  <si>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</si>
  <si>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</si>
  <si>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</si>
  <si>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</si>
  <si>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</si>
  <si>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</si>
  <si>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</si>
  <si>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</si>
  <si>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</si>
  <si>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</si>
  <si>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</si>
  <si>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</si>
  <si>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</si>
  <si>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</si>
  <si>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</si>
  <si>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</si>
  <si>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</si>
  <si>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</si>
  <si>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</si>
  <si>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</si>
  <si>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</si>
  <si>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</si>
  <si>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</si>
  <si>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</si>
  <si>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</si>
  <si>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</si>
  <si>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</si>
  <si>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</si>
  <si>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</si>
  <si>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</si>
  <si>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</si>
  <si>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</si>
  <si>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</si>
  <si>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</si>
  <si>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</si>
  <si>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</si>
  <si>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</si>
  <si>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</si>
  <si>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</si>
  <si>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</si>
  <si>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</si>
  <si>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</si>
  <si>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</si>
  <si>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</si>
  <si>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</si>
  <si>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</si>
  <si>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</si>
  <si>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</si>
  <si>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</si>
  <si>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</si>
  <si>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</si>
  <si>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</si>
  <si>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</si>
  <si>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</si>
  <si>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</si>
  <si>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</si>
  <si>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</si>
  <si>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</si>
  <si>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</si>
  <si>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</si>
  <si>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</si>
  <si>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</si>
  <si>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</si>
  <si>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</si>
  <si>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</si>
  <si>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</si>
  <si>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</si>
  <si>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</si>
  <si>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</si>
  <si>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</si>
  <si>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</si>
  <si>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</si>
  <si>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</si>
  <si>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</si>
  <si>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</si>
  <si>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</si>
  <si>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</si>
  <si>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</si>
  <si>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</si>
  <si>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</si>
  <si>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</si>
  <si>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</si>
  <si>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</si>
  <si>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</si>
  <si>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</si>
  <si>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</si>
  <si>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</si>
  <si>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</si>
  <si>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</si>
  <si>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</si>
  <si>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</si>
  <si>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</si>
  <si>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</si>
  <si>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</si>
  <si>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</si>
  <si>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</si>
  <si>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</si>
  <si>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</si>
  <si>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</si>
  <si>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</si>
  <si>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</si>
  <si>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</si>
  <si>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</si>
  <si>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</si>
  <si>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</si>
  <si>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</si>
  <si>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</si>
  <si>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</si>
  <si>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</si>
  <si>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</si>
  <si>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</si>
  <si>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</si>
  <si>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</si>
  <si>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</si>
  <si>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</si>
  <si>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</si>
  <si>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</si>
  <si>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</si>
  <si>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</si>
  <si>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</si>
  <si>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</si>
  <si>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</si>
  <si>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</si>
  <si>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</si>
  <si>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</si>
  <si>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</si>
  <si>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</si>
  <si>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</si>
  <si>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</si>
  <si>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</si>
  <si>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</si>
  <si>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</si>
  <si>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</si>
  <si>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</si>
  <si>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</si>
  <si>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</si>
  <si>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EASTERN CONNECTICUT HEALTH NETWORK,INC.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</si>
  <si>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</si>
  <si>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</si>
  <si>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</si>
  <si>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</si>
  <si>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</si>
  <si>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</si>
  <si>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</si>
  <si>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</si>
  <si>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</si>
  <si>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</si>
  <si>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</si>
  <si>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</si>
  <si>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</si>
  <si>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</si>
  <si>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</si>
  <si>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</si>
  <si>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</si>
  <si>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</si>
  <si>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</si>
  <si>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</si>
  <si>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</si>
  <si>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</si>
  <si>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</si>
  <si>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</si>
  <si>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</si>
  <si>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</si>
  <si>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</si>
  <si>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</si>
  <si>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</si>
  <si>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</si>
  <si>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</si>
  <si>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</si>
  <si>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</si>
  <si>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</si>
  <si>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</si>
  <si>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</si>
  <si>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</si>
  <si>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</si>
  <si>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</si>
  <si>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</si>
  <si>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</si>
  <si>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</si>
  <si>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</si>
  <si>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</si>
  <si>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</si>
  <si>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</si>
  <si>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</si>
  <si>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</si>
  <si>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</si>
  <si>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</si>
  <si>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</si>
  <si>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</si>
  <si>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</si>
  <si>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</si>
  <si>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</si>
  <si>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</si>
  <si>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</si>
  <si>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</si>
  <si>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</si>
  <si>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</si>
  <si>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</si>
  <si>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</si>
  <si>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</si>
  <si>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</si>
  <si>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</si>
  <si>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</si>
  <si>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</si>
  <si>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</si>
  <si>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</si>
  <si>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</si>
  <si>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</si>
  <si>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</si>
  <si>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</si>
  <si>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</si>
  <si>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</si>
  <si>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</si>
  <si>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</si>
  <si>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</si>
  <si>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</si>
  <si>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</si>
  <si>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</si>
  <si>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</si>
  <si>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</si>
  <si>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</si>
  <si>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</si>
  <si>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</si>
  <si>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</si>
  <si>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</si>
  <si>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</si>
  <si>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</si>
  <si>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</si>
  <si>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</si>
  <si>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</si>
  <si>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</si>
  <si>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</si>
  <si>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</si>
  <si>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</si>
  <si>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</si>
  <si>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</si>
  <si>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</si>
  <si>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</si>
  <si>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</si>
  <si>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</si>
  <si>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Operating Room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</si>
  <si>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</si>
  <si>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</si>
  <si>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</si>
  <si>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Hospital Emergency Room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</si>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</sst>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5" xfId="0" applyNumberFormat="1" applyFont="1" applyBorder="1" applyAlignment="1">
      <alignment horizontal="center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23" fillId="20" borderId="38" xfId="0" applyNumberFormat="1" applyFont="1" applyFill="1" applyBorder="1" applyAlignment="1">
      <alignment horizontal="center" wrapText="1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5" xfId="0" applyNumberFormat="1" applyFont="1" applyBorder="1" applyAlignment="1">
      <alignment horizontal="center" wrapText="1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117</v>
      </c>
      <c r="C1" s="3"/>
      <c r="D1" s="3"/>
      <c r="E1" s="4"/>
      <c r="F1" s="5"/>
    </row>
    <row r="2" spans="1:6" ht="24" customHeight="1">
      <c r="A2" s="3"/>
      <c r="B2" s="3" t="s">
        <v>118</v>
      </c>
      <c r="C2" s="3"/>
      <c r="D2" s="3"/>
      <c r="E2" s="4"/>
      <c r="F2" s="5"/>
    </row>
    <row r="3" spans="1:6" ht="24" customHeight="1">
      <c r="A3" s="3"/>
      <c r="B3" s="3" t="s">
        <v>119</v>
      </c>
      <c r="C3" s="3"/>
      <c r="D3" s="3"/>
      <c r="E3" s="4"/>
      <c r="F3" s="5"/>
    </row>
    <row r="4" spans="1:6" ht="24" customHeight="1">
      <c r="A4" s="3"/>
      <c r="B4" s="3" t="s">
        <v>120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121</v>
      </c>
      <c r="D7" s="10" t="s">
        <v>122</v>
      </c>
      <c r="E7" s="11" t="s">
        <v>123</v>
      </c>
      <c r="F7" s="11" t="s">
        <v>124</v>
      </c>
      <c r="H7" s="12"/>
    </row>
    <row r="8" spans="1:6" s="6" customFormat="1" ht="15.75" customHeight="1">
      <c r="A8" s="13" t="s">
        <v>125</v>
      </c>
      <c r="B8" s="13" t="s">
        <v>126</v>
      </c>
      <c r="C8" s="14" t="s">
        <v>127</v>
      </c>
      <c r="D8" s="14" t="s">
        <v>127</v>
      </c>
      <c r="E8" s="15" t="s">
        <v>128</v>
      </c>
      <c r="F8" s="15" t="s">
        <v>128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129</v>
      </c>
      <c r="B10" s="16" t="s">
        <v>130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131</v>
      </c>
      <c r="B12" s="16" t="s">
        <v>132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133</v>
      </c>
      <c r="C13" s="23">
        <v>8080207</v>
      </c>
      <c r="D13" s="23">
        <v>10660990</v>
      </c>
      <c r="E13" s="23">
        <f aca="true" t="shared" si="0" ref="E13:E22">D13-C13</f>
        <v>2580783</v>
      </c>
      <c r="F13" s="24">
        <f aca="true" t="shared" si="1" ref="F13:F22">IF(C13=0,0,E13/C13)</f>
        <v>0.3193956540964854</v>
      </c>
    </row>
    <row r="14" spans="1:6" ht="24" customHeight="1">
      <c r="A14" s="21">
        <v>2</v>
      </c>
      <c r="B14" s="22" t="s">
        <v>134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29.25" customHeight="1">
      <c r="A15" s="21">
        <v>3</v>
      </c>
      <c r="B15" s="22" t="s">
        <v>135</v>
      </c>
      <c r="C15" s="23">
        <v>25254121</v>
      </c>
      <c r="D15" s="23">
        <v>24557822</v>
      </c>
      <c r="E15" s="23">
        <f t="shared" si="0"/>
        <v>-696299</v>
      </c>
      <c r="F15" s="24">
        <f t="shared" si="1"/>
        <v>-0.027571698100282326</v>
      </c>
    </row>
    <row r="16" spans="1:6" ht="24" customHeight="1">
      <c r="A16" s="21">
        <v>4</v>
      </c>
      <c r="B16" s="22" t="s">
        <v>136</v>
      </c>
      <c r="C16" s="23">
        <v>1664970</v>
      </c>
      <c r="D16" s="23">
        <v>794015</v>
      </c>
      <c r="E16" s="23">
        <f t="shared" si="0"/>
        <v>-870955</v>
      </c>
      <c r="F16" s="24">
        <f t="shared" si="1"/>
        <v>-0.5231055214208064</v>
      </c>
    </row>
    <row r="17" spans="1:6" ht="24" customHeight="1">
      <c r="A17" s="21">
        <v>5</v>
      </c>
      <c r="B17" s="22" t="s">
        <v>137</v>
      </c>
      <c r="C17" s="23">
        <v>17493383</v>
      </c>
      <c r="D17" s="23">
        <v>6841862</v>
      </c>
      <c r="E17" s="23">
        <f t="shared" si="0"/>
        <v>-10651521</v>
      </c>
      <c r="F17" s="24">
        <f t="shared" si="1"/>
        <v>-0.608888572324747</v>
      </c>
    </row>
    <row r="18" spans="1:6" ht="24" customHeight="1">
      <c r="A18" s="21">
        <v>6</v>
      </c>
      <c r="B18" s="22" t="s">
        <v>138</v>
      </c>
      <c r="C18" s="23">
        <v>879184</v>
      </c>
      <c r="D18" s="23">
        <v>514722</v>
      </c>
      <c r="E18" s="23">
        <f t="shared" si="0"/>
        <v>-364462</v>
      </c>
      <c r="F18" s="24">
        <f t="shared" si="1"/>
        <v>-0.41454576061438786</v>
      </c>
    </row>
    <row r="19" spans="1:6" ht="24" customHeight="1">
      <c r="A19" s="21">
        <v>7</v>
      </c>
      <c r="B19" s="22" t="s">
        <v>139</v>
      </c>
      <c r="C19" s="23">
        <v>1989456</v>
      </c>
      <c r="D19" s="23">
        <v>2215756</v>
      </c>
      <c r="E19" s="23">
        <f t="shared" si="0"/>
        <v>226300</v>
      </c>
      <c r="F19" s="24">
        <f t="shared" si="1"/>
        <v>0.1137496883570182</v>
      </c>
    </row>
    <row r="20" spans="1:6" ht="24" customHeight="1">
      <c r="A20" s="21">
        <v>8</v>
      </c>
      <c r="B20" s="22" t="s">
        <v>140</v>
      </c>
      <c r="C20" s="23">
        <v>309622</v>
      </c>
      <c r="D20" s="23">
        <v>486845</v>
      </c>
      <c r="E20" s="23">
        <f t="shared" si="0"/>
        <v>177223</v>
      </c>
      <c r="F20" s="24">
        <f t="shared" si="1"/>
        <v>0.5723850372389558</v>
      </c>
    </row>
    <row r="21" spans="1:6" ht="24" customHeight="1">
      <c r="A21" s="21">
        <v>9</v>
      </c>
      <c r="B21" s="22" t="s">
        <v>141</v>
      </c>
      <c r="C21" s="23">
        <v>0</v>
      </c>
      <c r="D21" s="23">
        <v>0</v>
      </c>
      <c r="E21" s="23">
        <f t="shared" si="0"/>
        <v>0</v>
      </c>
      <c r="F21" s="24">
        <f t="shared" si="1"/>
        <v>0</v>
      </c>
    </row>
    <row r="22" spans="1:6" ht="24" customHeight="1">
      <c r="A22" s="25"/>
      <c r="B22" s="26" t="s">
        <v>142</v>
      </c>
      <c r="C22" s="27">
        <f>SUM(C13:C21)</f>
        <v>55670943</v>
      </c>
      <c r="D22" s="27">
        <f>SUM(D13:D21)</f>
        <v>46072012</v>
      </c>
      <c r="E22" s="27">
        <f t="shared" si="0"/>
        <v>-9598931</v>
      </c>
      <c r="F22" s="28">
        <f t="shared" si="1"/>
        <v>-0.1724226406583413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143</v>
      </c>
      <c r="B24" s="30" t="s">
        <v>144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145</v>
      </c>
      <c r="C25" s="23">
        <v>3347229</v>
      </c>
      <c r="D25" s="23">
        <v>3263355</v>
      </c>
      <c r="E25" s="23">
        <f>D25-C25</f>
        <v>-83874</v>
      </c>
      <c r="F25" s="24">
        <f>IF(C25=0,0,E25/C25)</f>
        <v>-0.025057741791792553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146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147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24" customHeight="1">
      <c r="A28" s="21">
        <v>4</v>
      </c>
      <c r="B28" s="22" t="s">
        <v>148</v>
      </c>
      <c r="C28" s="23">
        <v>13767768</v>
      </c>
      <c r="D28" s="23">
        <v>15244628</v>
      </c>
      <c r="E28" s="23">
        <f>D28-C28</f>
        <v>1476860</v>
      </c>
      <c r="F28" s="24">
        <f>IF(C28=0,0,E28/C28)</f>
        <v>0.10726938455093084</v>
      </c>
    </row>
    <row r="29" spans="1:6" ht="24" customHeight="1">
      <c r="A29" s="25"/>
      <c r="B29" s="26" t="s">
        <v>149</v>
      </c>
      <c r="C29" s="27">
        <f>SUM(C25:C28)</f>
        <v>17114997</v>
      </c>
      <c r="D29" s="27">
        <f>SUM(D25:D28)</f>
        <v>18507983</v>
      </c>
      <c r="E29" s="27">
        <f>D29-C29</f>
        <v>1392986</v>
      </c>
      <c r="F29" s="28">
        <f>IF(C29=0,0,E29/C29)</f>
        <v>0.08138978931752076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150</v>
      </c>
      <c r="C31" s="23">
        <v>4505972</v>
      </c>
      <c r="D31" s="23">
        <v>3828998</v>
      </c>
      <c r="E31" s="23">
        <f>D31-C31</f>
        <v>-676974</v>
      </c>
      <c r="F31" s="24">
        <f>IF(C31=0,0,E31/C31)</f>
        <v>-0.15023928244560775</v>
      </c>
    </row>
    <row r="32" spans="1:6" ht="24" customHeight="1">
      <c r="A32" s="21">
        <v>6</v>
      </c>
      <c r="B32" s="22" t="s">
        <v>151</v>
      </c>
      <c r="C32" s="23">
        <v>9904833</v>
      </c>
      <c r="D32" s="23">
        <v>9432687</v>
      </c>
      <c r="E32" s="23">
        <f>D32-C32</f>
        <v>-472146</v>
      </c>
      <c r="F32" s="24">
        <f>IF(C32=0,0,E32/C32)</f>
        <v>-0.04766824438130355</v>
      </c>
    </row>
    <row r="33" spans="1:6" ht="24" customHeight="1">
      <c r="A33" s="21">
        <v>7</v>
      </c>
      <c r="B33" s="22" t="s">
        <v>152</v>
      </c>
      <c r="C33" s="23">
        <v>3431925</v>
      </c>
      <c r="D33" s="23">
        <v>18193532</v>
      </c>
      <c r="E33" s="23">
        <f>D33-C33</f>
        <v>14761607</v>
      </c>
      <c r="F33" s="24">
        <f>IF(C33=0,0,E33/C33)</f>
        <v>4.30126153689256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153</v>
      </c>
      <c r="B35" s="30" t="s">
        <v>154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155</v>
      </c>
      <c r="C36" s="23">
        <v>177615287</v>
      </c>
      <c r="D36" s="23">
        <v>178340623</v>
      </c>
      <c r="E36" s="23">
        <f>D36-C36</f>
        <v>725336</v>
      </c>
      <c r="F36" s="24">
        <f>IF(C36=0,0,E36/C36)</f>
        <v>0.004083747588685877</v>
      </c>
    </row>
    <row r="37" spans="1:6" ht="24" customHeight="1">
      <c r="A37" s="21">
        <v>2</v>
      </c>
      <c r="B37" s="22" t="s">
        <v>156</v>
      </c>
      <c r="C37" s="23">
        <v>128969362</v>
      </c>
      <c r="D37" s="23">
        <v>123886476</v>
      </c>
      <c r="E37" s="23">
        <f>D37-C37</f>
        <v>-5082886</v>
      </c>
      <c r="F37" s="24">
        <f>IF(C37=0,0,E37/C37)</f>
        <v>-0.039411577456667575</v>
      </c>
    </row>
    <row r="38" spans="1:6" ht="24" customHeight="1">
      <c r="A38" s="25"/>
      <c r="B38" s="26" t="s">
        <v>157</v>
      </c>
      <c r="C38" s="27">
        <f>C36-C37</f>
        <v>48645925</v>
      </c>
      <c r="D38" s="27">
        <f>D36-D37</f>
        <v>54454147</v>
      </c>
      <c r="E38" s="27">
        <f>D38-C38</f>
        <v>5808222</v>
      </c>
      <c r="F38" s="28">
        <f>IF(C38=0,0,E38/C38)</f>
        <v>0.11939791462491463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158</v>
      </c>
      <c r="C40" s="23">
        <v>3673111</v>
      </c>
      <c r="D40" s="23">
        <v>119015</v>
      </c>
      <c r="E40" s="23">
        <f>D40-C40</f>
        <v>-3554096</v>
      </c>
      <c r="F40" s="24">
        <f>IF(C40=0,0,E40/C40)</f>
        <v>-0.9675983110774491</v>
      </c>
    </row>
    <row r="41" spans="1:6" ht="24" customHeight="1">
      <c r="A41" s="25"/>
      <c r="B41" s="26" t="s">
        <v>159</v>
      </c>
      <c r="C41" s="27">
        <f>+C38+C40</f>
        <v>52319036</v>
      </c>
      <c r="D41" s="27">
        <f>+D38+D40</f>
        <v>54573162</v>
      </c>
      <c r="E41" s="27">
        <f>D41-C41</f>
        <v>2254126</v>
      </c>
      <c r="F41" s="28">
        <f>IF(C41=0,0,E41/C41)</f>
        <v>0.04308424184268227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160</v>
      </c>
      <c r="C43" s="27">
        <f>C22+C29+C31+C32+C33+C41</f>
        <v>142947706</v>
      </c>
      <c r="D43" s="27">
        <f>D22+D29+D31+D32+D33+D41</f>
        <v>150608374</v>
      </c>
      <c r="E43" s="27">
        <f>D43-C43</f>
        <v>7660668</v>
      </c>
      <c r="F43" s="28">
        <f>IF(C43=0,0,E43/C43)</f>
        <v>0.05359070260281057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161</v>
      </c>
      <c r="B46" s="16" t="s">
        <v>162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131</v>
      </c>
      <c r="B48" s="41" t="s">
        <v>163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164</v>
      </c>
      <c r="C49" s="23">
        <v>19721539</v>
      </c>
      <c r="D49" s="23">
        <v>14869497</v>
      </c>
      <c r="E49" s="23">
        <f aca="true" t="shared" si="2" ref="E49:E56">D49-C49</f>
        <v>-4852042</v>
      </c>
      <c r="F49" s="24">
        <f aca="true" t="shared" si="3" ref="F49:F56">IF(C49=0,0,E49/C49)</f>
        <v>-0.2460275539348121</v>
      </c>
    </row>
    <row r="50" spans="1:6" ht="24" customHeight="1">
      <c r="A50" s="21">
        <f aca="true" t="shared" si="4" ref="A50:A55">1+A49</f>
        <v>2</v>
      </c>
      <c r="B50" s="22" t="s">
        <v>165</v>
      </c>
      <c r="C50" s="23">
        <v>2452218</v>
      </c>
      <c r="D50" s="23">
        <v>2565701</v>
      </c>
      <c r="E50" s="23">
        <f t="shared" si="2"/>
        <v>113483</v>
      </c>
      <c r="F50" s="24">
        <f t="shared" si="3"/>
        <v>0.046277696354891776</v>
      </c>
    </row>
    <row r="51" spans="1:6" ht="24" customHeight="1">
      <c r="A51" s="21">
        <f t="shared" si="4"/>
        <v>3</v>
      </c>
      <c r="B51" s="22" t="s">
        <v>166</v>
      </c>
      <c r="C51" s="23">
        <v>1618701</v>
      </c>
      <c r="D51" s="23">
        <v>251398</v>
      </c>
      <c r="E51" s="23">
        <f t="shared" si="2"/>
        <v>-1367303</v>
      </c>
      <c r="F51" s="24">
        <f t="shared" si="3"/>
        <v>-0.8446915149863996</v>
      </c>
    </row>
    <row r="52" spans="1:6" ht="24" customHeight="1">
      <c r="A52" s="21">
        <f t="shared" si="4"/>
        <v>4</v>
      </c>
      <c r="B52" s="22" t="s">
        <v>167</v>
      </c>
      <c r="C52" s="23">
        <v>12491221</v>
      </c>
      <c r="D52" s="23">
        <v>11579429</v>
      </c>
      <c r="E52" s="23">
        <f t="shared" si="2"/>
        <v>-911792</v>
      </c>
      <c r="F52" s="24">
        <f t="shared" si="3"/>
        <v>-0.07299462558544116</v>
      </c>
    </row>
    <row r="53" spans="1:6" ht="24" customHeight="1">
      <c r="A53" s="21">
        <f t="shared" si="4"/>
        <v>5</v>
      </c>
      <c r="B53" s="22" t="s">
        <v>168</v>
      </c>
      <c r="C53" s="23">
        <v>2535279</v>
      </c>
      <c r="D53" s="23">
        <v>6675366</v>
      </c>
      <c r="E53" s="23">
        <f t="shared" si="2"/>
        <v>4140087</v>
      </c>
      <c r="F53" s="24">
        <f t="shared" si="3"/>
        <v>1.6329906885987695</v>
      </c>
    </row>
    <row r="54" spans="1:6" ht="24" customHeight="1">
      <c r="A54" s="21">
        <f t="shared" si="4"/>
        <v>6</v>
      </c>
      <c r="B54" s="22" t="s">
        <v>169</v>
      </c>
      <c r="C54" s="23">
        <v>916100</v>
      </c>
      <c r="D54" s="23">
        <v>1141407</v>
      </c>
      <c r="E54" s="23">
        <f t="shared" si="2"/>
        <v>225307</v>
      </c>
      <c r="F54" s="24">
        <f t="shared" si="3"/>
        <v>0.24594149110359131</v>
      </c>
    </row>
    <row r="55" spans="1:6" ht="24" customHeight="1">
      <c r="A55" s="21">
        <f t="shared" si="4"/>
        <v>7</v>
      </c>
      <c r="B55" s="22" t="s">
        <v>170</v>
      </c>
      <c r="C55" s="23">
        <v>1038999</v>
      </c>
      <c r="D55" s="23">
        <v>2456430</v>
      </c>
      <c r="E55" s="23">
        <f t="shared" si="2"/>
        <v>1417431</v>
      </c>
      <c r="F55" s="24">
        <f t="shared" si="3"/>
        <v>1.3642274920380097</v>
      </c>
    </row>
    <row r="56" spans="1:6" ht="24" customHeight="1">
      <c r="A56" s="25"/>
      <c r="B56" s="26" t="s">
        <v>171</v>
      </c>
      <c r="C56" s="27">
        <f>SUM(C49:C55)</f>
        <v>40774057</v>
      </c>
      <c r="D56" s="27">
        <f>SUM(D49:D55)</f>
        <v>39539228</v>
      </c>
      <c r="E56" s="27">
        <f t="shared" si="2"/>
        <v>-1234829</v>
      </c>
      <c r="F56" s="28">
        <f t="shared" si="3"/>
        <v>-0.030284673413783672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143</v>
      </c>
      <c r="B58" s="41" t="s">
        <v>172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173</v>
      </c>
      <c r="C59" s="23">
        <v>35975948</v>
      </c>
      <c r="D59" s="23">
        <v>45344796</v>
      </c>
      <c r="E59" s="23">
        <f>D59-C59</f>
        <v>9368848</v>
      </c>
      <c r="F59" s="24">
        <f>IF(C59=0,0,E59/C59)</f>
        <v>0.2604197671177421</v>
      </c>
    </row>
    <row r="60" spans="1:6" ht="24" customHeight="1">
      <c r="A60" s="21">
        <v>2</v>
      </c>
      <c r="B60" s="22" t="s">
        <v>174</v>
      </c>
      <c r="C60" s="23">
        <v>5486489</v>
      </c>
      <c r="D60" s="23">
        <v>3885906</v>
      </c>
      <c r="E60" s="23">
        <f>D60-C60</f>
        <v>-1600583</v>
      </c>
      <c r="F60" s="24">
        <f>IF(C60=0,0,E60/C60)</f>
        <v>-0.2917317431967876</v>
      </c>
    </row>
    <row r="61" spans="1:6" ht="24" customHeight="1">
      <c r="A61" s="25"/>
      <c r="B61" s="26" t="s">
        <v>175</v>
      </c>
      <c r="C61" s="27">
        <f>SUM(C59:C60)</f>
        <v>41462437</v>
      </c>
      <c r="D61" s="27">
        <f>SUM(D59:D60)</f>
        <v>49230702</v>
      </c>
      <c r="E61" s="27">
        <f>D61-C61</f>
        <v>7768265</v>
      </c>
      <c r="F61" s="28">
        <f>IF(C61=0,0,E61/C61)</f>
        <v>0.18735669106955774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176</v>
      </c>
      <c r="C63" s="23">
        <v>19477017</v>
      </c>
      <c r="D63" s="23">
        <v>37414390</v>
      </c>
      <c r="E63" s="23">
        <f>D63-C63</f>
        <v>17937373</v>
      </c>
      <c r="F63" s="24">
        <f>IF(C63=0,0,E63/C63)</f>
        <v>0.920950728748658</v>
      </c>
    </row>
    <row r="64" spans="1:6" ht="24" customHeight="1">
      <c r="A64" s="21">
        <v>4</v>
      </c>
      <c r="B64" s="22" t="s">
        <v>177</v>
      </c>
      <c r="C64" s="23">
        <v>2594299</v>
      </c>
      <c r="D64" s="23">
        <v>2496187</v>
      </c>
      <c r="E64" s="23">
        <f>D64-C64</f>
        <v>-98112</v>
      </c>
      <c r="F64" s="24">
        <f>IF(C64=0,0,E64/C64)</f>
        <v>-0.037818308529587376</v>
      </c>
    </row>
    <row r="65" spans="1:6" ht="24" customHeight="1">
      <c r="A65" s="25"/>
      <c r="B65" s="26" t="s">
        <v>178</v>
      </c>
      <c r="C65" s="27">
        <f>SUM(C61:C64)</f>
        <v>63533753</v>
      </c>
      <c r="D65" s="27">
        <f>SUM(D61:D64)</f>
        <v>89141279</v>
      </c>
      <c r="E65" s="27">
        <f>D65-C65</f>
        <v>25607526</v>
      </c>
      <c r="F65" s="28">
        <f>IF(C65=0,0,E65/C65)</f>
        <v>0.40305388538907816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179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153</v>
      </c>
      <c r="B69" s="41" t="s">
        <v>180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181</v>
      </c>
      <c r="C70" s="23">
        <v>28644838</v>
      </c>
      <c r="D70" s="23">
        <v>12898050</v>
      </c>
      <c r="E70" s="23">
        <f>D70-C70</f>
        <v>-15746788</v>
      </c>
      <c r="F70" s="24">
        <f>IF(C70=0,0,E70/C70)</f>
        <v>-0.5497251546683559</v>
      </c>
    </row>
    <row r="71" spans="1:6" ht="24" customHeight="1">
      <c r="A71" s="21">
        <v>2</v>
      </c>
      <c r="B71" s="22" t="s">
        <v>182</v>
      </c>
      <c r="C71" s="23">
        <v>2106034</v>
      </c>
      <c r="D71" s="23">
        <v>1262823</v>
      </c>
      <c r="E71" s="23">
        <f>D71-C71</f>
        <v>-843211</v>
      </c>
      <c r="F71" s="24">
        <f>IF(C71=0,0,E71/C71)</f>
        <v>-0.4003786263659561</v>
      </c>
    </row>
    <row r="72" spans="1:6" ht="24" customHeight="1">
      <c r="A72" s="21">
        <v>3</v>
      </c>
      <c r="B72" s="22" t="s">
        <v>183</v>
      </c>
      <c r="C72" s="23">
        <v>7889024</v>
      </c>
      <c r="D72" s="23">
        <v>7766994</v>
      </c>
      <c r="E72" s="23">
        <f>D72-C72</f>
        <v>-122030</v>
      </c>
      <c r="F72" s="24">
        <f>IF(C72=0,0,E72/C72)</f>
        <v>-0.015468326626969318</v>
      </c>
    </row>
    <row r="73" spans="1:6" ht="24" customHeight="1">
      <c r="A73" s="21"/>
      <c r="B73" s="26" t="s">
        <v>184</v>
      </c>
      <c r="C73" s="27">
        <f>SUM(C70:C72)</f>
        <v>38639896</v>
      </c>
      <c r="D73" s="27">
        <f>SUM(D70:D72)</f>
        <v>21927867</v>
      </c>
      <c r="E73" s="27">
        <f>D73-C73</f>
        <v>-16712029</v>
      </c>
      <c r="F73" s="28">
        <f>IF(C73=0,0,E73/C73)</f>
        <v>-0.43250709059879455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185</v>
      </c>
      <c r="C75" s="27">
        <f>C56+C65+C67+C73</f>
        <v>142947706</v>
      </c>
      <c r="D75" s="27">
        <f>D56+D65+D67+D73</f>
        <v>150608374</v>
      </c>
      <c r="E75" s="27">
        <f>D75-C75</f>
        <v>7660668</v>
      </c>
      <c r="F75" s="28">
        <f>IF(C75=0,0,E75/C75)</f>
        <v>0.05359070260281057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FILING&amp;RMANCHESTER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E80" sqref="E80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594</v>
      </c>
      <c r="B1" s="696"/>
      <c r="C1" s="696"/>
      <c r="D1" s="696"/>
      <c r="E1" s="697"/>
    </row>
    <row r="2" spans="1:5" ht="24" customHeight="1">
      <c r="A2" s="695" t="s">
        <v>118</v>
      </c>
      <c r="B2" s="696"/>
      <c r="C2" s="696"/>
      <c r="D2" s="696"/>
      <c r="E2" s="697"/>
    </row>
    <row r="3" spans="1:5" ht="24" customHeight="1">
      <c r="A3" s="695" t="s">
        <v>119</v>
      </c>
      <c r="B3" s="696"/>
      <c r="C3" s="696"/>
      <c r="D3" s="696"/>
      <c r="E3" s="697"/>
    </row>
    <row r="4" spans="1:5" ht="24" customHeight="1">
      <c r="A4" s="695" t="s">
        <v>597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127</v>
      </c>
      <c r="D7" s="59" t="s">
        <v>127</v>
      </c>
      <c r="E7" s="59" t="s">
        <v>127</v>
      </c>
      <c r="F7" s="59"/>
    </row>
    <row r="8" spans="1:6" ht="24" customHeight="1">
      <c r="A8" s="61" t="s">
        <v>125</v>
      </c>
      <c r="B8" s="62" t="s">
        <v>126</v>
      </c>
      <c r="C8" s="264" t="s">
        <v>422</v>
      </c>
      <c r="D8" s="264" t="s">
        <v>121</v>
      </c>
      <c r="E8" s="264" t="s">
        <v>122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131</v>
      </c>
      <c r="B10" s="187" t="s">
        <v>598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599</v>
      </c>
      <c r="C11" s="51">
        <v>231789348</v>
      </c>
      <c r="D11" s="51">
        <v>247269909</v>
      </c>
      <c r="E11" s="51">
        <v>261403024</v>
      </c>
      <c r="F11" s="28"/>
    </row>
    <row r="12" spans="1:6" ht="24" customHeight="1">
      <c r="A12" s="44">
        <v>2</v>
      </c>
      <c r="B12" s="48" t="s">
        <v>193</v>
      </c>
      <c r="C12" s="49">
        <v>18358969</v>
      </c>
      <c r="D12" s="49">
        <v>19824310</v>
      </c>
      <c r="E12" s="49">
        <v>16912648</v>
      </c>
      <c r="F12" s="28"/>
    </row>
    <row r="13" spans="1:6" s="56" customFormat="1" ht="24" customHeight="1">
      <c r="A13" s="44">
        <v>3</v>
      </c>
      <c r="B13" s="48" t="s">
        <v>195</v>
      </c>
      <c r="C13" s="51">
        <f>+C11+C12</f>
        <v>250148317</v>
      </c>
      <c r="D13" s="51">
        <f>+D11+D12</f>
        <v>267094219</v>
      </c>
      <c r="E13" s="51">
        <f>+E11+E12</f>
        <v>278315672</v>
      </c>
      <c r="F13" s="70"/>
    </row>
    <row r="14" spans="1:6" s="56" customFormat="1" ht="24" customHeight="1">
      <c r="A14" s="44">
        <v>4</v>
      </c>
      <c r="B14" s="48" t="s">
        <v>206</v>
      </c>
      <c r="C14" s="49">
        <v>250711344</v>
      </c>
      <c r="D14" s="49">
        <v>258660107</v>
      </c>
      <c r="E14" s="49">
        <v>271196171</v>
      </c>
      <c r="F14" s="70"/>
    </row>
    <row r="15" spans="1:6" s="56" customFormat="1" ht="24" customHeight="1">
      <c r="A15" s="44">
        <v>5</v>
      </c>
      <c r="B15" s="48" t="s">
        <v>207</v>
      </c>
      <c r="C15" s="51">
        <f>+C13-C14</f>
        <v>-563027</v>
      </c>
      <c r="D15" s="51">
        <f>+D13-D14</f>
        <v>8434112</v>
      </c>
      <c r="E15" s="51">
        <f>+E13-E14</f>
        <v>7119501</v>
      </c>
      <c r="F15" s="70"/>
    </row>
    <row r="16" spans="1:6" s="56" customFormat="1" ht="24" customHeight="1">
      <c r="A16" s="44">
        <v>6</v>
      </c>
      <c r="B16" s="48" t="s">
        <v>212</v>
      </c>
      <c r="C16" s="49">
        <v>251470</v>
      </c>
      <c r="D16" s="49">
        <v>-3459289</v>
      </c>
      <c r="E16" s="49">
        <v>-3903448</v>
      </c>
      <c r="F16" s="70"/>
    </row>
    <row r="17" spans="1:6" s="56" customFormat="1" ht="24" customHeight="1">
      <c r="A17" s="44">
        <v>7</v>
      </c>
      <c r="B17" s="45" t="s">
        <v>425</v>
      </c>
      <c r="C17" s="51">
        <f>C15+C16</f>
        <v>-311557</v>
      </c>
      <c r="D17" s="51">
        <f>D15+D16</f>
        <v>4974823</v>
      </c>
      <c r="E17" s="51">
        <f>E15+E16</f>
        <v>3216053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143</v>
      </c>
      <c r="B19" s="30" t="s">
        <v>600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601</v>
      </c>
      <c r="C20" s="169">
        <f>IF(+C27=0,0,+C24/+C27)</f>
        <v>-0.0022485122960587823</v>
      </c>
      <c r="D20" s="169">
        <f>IF(+D27=0,0,+D24/+D27)</f>
        <v>0.031991633278640276</v>
      </c>
      <c r="E20" s="169">
        <f>IF(+E27=0,0,+E24/+E27)</f>
        <v>0.025944547572341384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602</v>
      </c>
      <c r="C21" s="169">
        <f>IF(+C27=0,0,+C26/+C27)</f>
        <v>0.0010042740172139205</v>
      </c>
      <c r="D21" s="169">
        <f>IF(+D27=0,0,+D26/+D27)</f>
        <v>-0.013121512388362195</v>
      </c>
      <c r="E21" s="169">
        <f>IF(+E27=0,0,+E26/+E27)</f>
        <v>-0.014224759899908831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603</v>
      </c>
      <c r="C22" s="169">
        <f>IF(+C27=0,0,+C28/+C27)</f>
        <v>-0.0012442382788448619</v>
      </c>
      <c r="D22" s="169">
        <f>IF(+D27=0,0,+D28/+D27)</f>
        <v>0.01887012089027808</v>
      </c>
      <c r="E22" s="169">
        <f>IF(+E27=0,0,+E28/+E27)</f>
        <v>0.011719787672432551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207</v>
      </c>
      <c r="C24" s="51">
        <f>+C15</f>
        <v>-563027</v>
      </c>
      <c r="D24" s="51">
        <f>+D15</f>
        <v>8434112</v>
      </c>
      <c r="E24" s="51">
        <f>+E15</f>
        <v>7119501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195</v>
      </c>
      <c r="C25" s="51">
        <f>+C13</f>
        <v>250148317</v>
      </c>
      <c r="D25" s="51">
        <f>+D13</f>
        <v>267094219</v>
      </c>
      <c r="E25" s="51">
        <f>+E13</f>
        <v>278315672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212</v>
      </c>
      <c r="C26" s="51">
        <f>+C16</f>
        <v>251470</v>
      </c>
      <c r="D26" s="51">
        <f>+D16</f>
        <v>-3459289</v>
      </c>
      <c r="E26" s="51">
        <f>+E16</f>
        <v>-3903448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430</v>
      </c>
      <c r="C27" s="51">
        <f>SUM(C25:C26)</f>
        <v>250399787</v>
      </c>
      <c r="D27" s="51">
        <f>SUM(D25:D26)</f>
        <v>263634930</v>
      </c>
      <c r="E27" s="51">
        <f>SUM(E25:E26)</f>
        <v>274412224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425</v>
      </c>
      <c r="C28" s="51">
        <f>+C17</f>
        <v>-311557</v>
      </c>
      <c r="D28" s="51">
        <f>+D17</f>
        <v>4974823</v>
      </c>
      <c r="E28" s="51">
        <f>+E17</f>
        <v>3216053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153</v>
      </c>
      <c r="B30" s="41" t="s">
        <v>604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605</v>
      </c>
      <c r="C31" s="51">
        <v>81442382</v>
      </c>
      <c r="D31" s="51">
        <v>77487476</v>
      </c>
      <c r="E31" s="52">
        <v>59586141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606</v>
      </c>
      <c r="C32" s="51">
        <v>100092554</v>
      </c>
      <c r="D32" s="51">
        <v>95498582</v>
      </c>
      <c r="E32" s="51">
        <v>75433676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607</v>
      </c>
      <c r="C33" s="51">
        <v>100092554</v>
      </c>
      <c r="D33" s="51">
        <f>+D32-C32</f>
        <v>-4593972</v>
      </c>
      <c r="E33" s="51">
        <f>+E32-D32</f>
        <v>-20064906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608</v>
      </c>
      <c r="C34" s="171">
        <v>0</v>
      </c>
      <c r="D34" s="171">
        <f>IF(C32=0,0,+D33/C32)</f>
        <v>-0.04589724026824213</v>
      </c>
      <c r="E34" s="171">
        <f>IF(D32=0,0,+E33/D32)</f>
        <v>-0.21010684745036318</v>
      </c>
      <c r="F34" s="28"/>
    </row>
    <row r="35" spans="5:6" ht="24" customHeight="1">
      <c r="E35" s="55"/>
      <c r="F35" s="28"/>
    </row>
    <row r="36" spans="1:6" ht="15.75" customHeight="1">
      <c r="A36" s="20" t="s">
        <v>436</v>
      </c>
      <c r="B36" s="16" t="s">
        <v>458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459</v>
      </c>
      <c r="C38" s="269">
        <f>IF(+C40=0,0,+C39/+C40)</f>
        <v>1.196975544349339</v>
      </c>
      <c r="D38" s="269">
        <f>IF(+D40=0,0,+D39/+D40)</f>
        <v>1.4755474275303018</v>
      </c>
      <c r="E38" s="269">
        <f>IF(+E40=0,0,+E39/+E40)</f>
        <v>1.7972788705105314</v>
      </c>
      <c r="F38" s="28"/>
    </row>
    <row r="39" spans="1:6" ht="24" customHeight="1">
      <c r="A39" s="17">
        <v>2</v>
      </c>
      <c r="B39" s="45" t="s">
        <v>142</v>
      </c>
      <c r="C39" s="270">
        <v>46399323</v>
      </c>
      <c r="D39" s="270">
        <v>70607081</v>
      </c>
      <c r="E39" s="270">
        <v>78264897</v>
      </c>
      <c r="F39" s="28"/>
    </row>
    <row r="40" spans="1:5" ht="24" customHeight="1">
      <c r="A40" s="17">
        <v>3</v>
      </c>
      <c r="B40" s="45" t="s">
        <v>171</v>
      </c>
      <c r="C40" s="270">
        <v>38763802</v>
      </c>
      <c r="D40" s="270">
        <v>47851448</v>
      </c>
      <c r="E40" s="270">
        <v>43546329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460</v>
      </c>
      <c r="C42" s="271">
        <f>IF((C48/365)=0,0,+C45/(C48/365))</f>
        <v>6.520802251282225</v>
      </c>
      <c r="D42" s="271">
        <f>IF((D48/365)=0,0,+D45/(D48/365))</f>
        <v>28.208010942994193</v>
      </c>
      <c r="E42" s="271">
        <f>IF((E48/365)=0,0,+E45/(E48/365))</f>
        <v>39.46709291063318</v>
      </c>
    </row>
    <row r="43" spans="1:5" ht="24" customHeight="1">
      <c r="A43" s="17">
        <v>5</v>
      </c>
      <c r="B43" s="188" t="s">
        <v>133</v>
      </c>
      <c r="C43" s="272">
        <v>4267583</v>
      </c>
      <c r="D43" s="272">
        <v>19069672</v>
      </c>
      <c r="E43" s="272">
        <v>28001547</v>
      </c>
    </row>
    <row r="44" spans="1:5" ht="24" customHeight="1">
      <c r="A44" s="17">
        <v>6</v>
      </c>
      <c r="B44" s="273" t="s">
        <v>134</v>
      </c>
      <c r="C44" s="274">
        <v>1780</v>
      </c>
      <c r="D44" s="274">
        <v>0</v>
      </c>
      <c r="E44" s="274">
        <v>0</v>
      </c>
    </row>
    <row r="45" spans="1:5" ht="24" customHeight="1">
      <c r="A45" s="17">
        <v>7</v>
      </c>
      <c r="B45" s="45" t="s">
        <v>461</v>
      </c>
      <c r="C45" s="270">
        <f>+C43+C44</f>
        <v>4269363</v>
      </c>
      <c r="D45" s="270">
        <f>+D43+D44</f>
        <v>19069672</v>
      </c>
      <c r="E45" s="270">
        <f>+E43+E44</f>
        <v>28001547</v>
      </c>
    </row>
    <row r="46" spans="1:5" ht="24" customHeight="1">
      <c r="A46" s="17">
        <v>8</v>
      </c>
      <c r="B46" s="45" t="s">
        <v>439</v>
      </c>
      <c r="C46" s="270">
        <f>+C14</f>
        <v>250711344</v>
      </c>
      <c r="D46" s="270">
        <f>+D14</f>
        <v>258660107</v>
      </c>
      <c r="E46" s="270">
        <f>+E14</f>
        <v>271196171</v>
      </c>
    </row>
    <row r="47" spans="1:5" ht="24" customHeight="1">
      <c r="A47" s="17">
        <v>9</v>
      </c>
      <c r="B47" s="45" t="s">
        <v>462</v>
      </c>
      <c r="C47" s="270">
        <v>11734998</v>
      </c>
      <c r="D47" s="270">
        <v>11906435</v>
      </c>
      <c r="E47" s="270">
        <v>12231958</v>
      </c>
    </row>
    <row r="48" spans="1:5" ht="24" customHeight="1">
      <c r="A48" s="17">
        <v>10</v>
      </c>
      <c r="B48" s="45" t="s">
        <v>463</v>
      </c>
      <c r="C48" s="270">
        <f>+C46-C47</f>
        <v>238976346</v>
      </c>
      <c r="D48" s="270">
        <f>+D46-D47</f>
        <v>246753672</v>
      </c>
      <c r="E48" s="270">
        <f>+E46-E47</f>
        <v>258964213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464</v>
      </c>
      <c r="C50" s="278">
        <f>IF((C55/365)=0,0,+C54/(C55/365))</f>
        <v>57.11715550880277</v>
      </c>
      <c r="D50" s="278">
        <f>IF((D55/365)=0,0,+D54/(D55/365))</f>
        <v>58.105187234893194</v>
      </c>
      <c r="E50" s="278">
        <f>IF((E55/365)=0,0,+E54/(E55/365))</f>
        <v>54.283284898035454</v>
      </c>
    </row>
    <row r="51" spans="1:5" ht="24" customHeight="1">
      <c r="A51" s="17">
        <v>12</v>
      </c>
      <c r="B51" s="188" t="s">
        <v>465</v>
      </c>
      <c r="C51" s="279">
        <v>36552254</v>
      </c>
      <c r="D51" s="279">
        <v>39388331</v>
      </c>
      <c r="E51" s="279">
        <v>38270688</v>
      </c>
    </row>
    <row r="52" spans="1:5" ht="24" customHeight="1">
      <c r="A52" s="17">
        <v>13</v>
      </c>
      <c r="B52" s="188" t="s">
        <v>138</v>
      </c>
      <c r="C52" s="270">
        <v>0</v>
      </c>
      <c r="D52" s="270">
        <v>2439694</v>
      </c>
      <c r="E52" s="270">
        <v>1491255</v>
      </c>
    </row>
    <row r="53" spans="1:5" ht="24" customHeight="1">
      <c r="A53" s="17">
        <v>14</v>
      </c>
      <c r="B53" s="188" t="s">
        <v>166</v>
      </c>
      <c r="C53" s="270">
        <v>280615</v>
      </c>
      <c r="D53" s="270">
        <v>2464561</v>
      </c>
      <c r="E53" s="270">
        <v>885738</v>
      </c>
    </row>
    <row r="54" spans="1:5" ht="32.25" customHeight="1">
      <c r="A54" s="17">
        <v>15</v>
      </c>
      <c r="B54" s="45" t="s">
        <v>466</v>
      </c>
      <c r="C54" s="280">
        <f>+C51+C52-C53</f>
        <v>36271639</v>
      </c>
      <c r="D54" s="280">
        <f>+D51+D52-D53</f>
        <v>39363464</v>
      </c>
      <c r="E54" s="280">
        <f>+E51+E52-E53</f>
        <v>38876205</v>
      </c>
    </row>
    <row r="55" spans="1:5" ht="24" customHeight="1">
      <c r="A55" s="17">
        <v>16</v>
      </c>
      <c r="B55" s="45" t="s">
        <v>192</v>
      </c>
      <c r="C55" s="270">
        <f>+C11</f>
        <v>231789348</v>
      </c>
      <c r="D55" s="270">
        <f>+D11</f>
        <v>247269909</v>
      </c>
      <c r="E55" s="270">
        <f>+E11</f>
        <v>261403024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467</v>
      </c>
      <c r="C57" s="283">
        <f>IF((C61/365)=0,0,+C58/(C61/365))</f>
        <v>59.20580830204844</v>
      </c>
      <c r="D57" s="283">
        <f>IF((D61/365)=0,0,+D58/(D61/365))</f>
        <v>70.78224359716924</v>
      </c>
      <c r="E57" s="283">
        <f>IF((E61/365)=0,0,+E58/(E61/365))</f>
        <v>61.376859377090845</v>
      </c>
    </row>
    <row r="58" spans="1:5" ht="24" customHeight="1">
      <c r="A58" s="17">
        <v>18</v>
      </c>
      <c r="B58" s="45" t="s">
        <v>171</v>
      </c>
      <c r="C58" s="281">
        <f>+C40</f>
        <v>38763802</v>
      </c>
      <c r="D58" s="281">
        <f>+D40</f>
        <v>47851448</v>
      </c>
      <c r="E58" s="281">
        <f>+E40</f>
        <v>43546329</v>
      </c>
    </row>
    <row r="59" spans="1:5" ht="24" customHeight="1">
      <c r="A59" s="17">
        <v>19</v>
      </c>
      <c r="B59" s="45" t="s">
        <v>439</v>
      </c>
      <c r="C59" s="281">
        <f aca="true" t="shared" si="0" ref="C59:E60">+C46</f>
        <v>250711344</v>
      </c>
      <c r="D59" s="281">
        <f t="shared" si="0"/>
        <v>258660107</v>
      </c>
      <c r="E59" s="281">
        <f t="shared" si="0"/>
        <v>271196171</v>
      </c>
    </row>
    <row r="60" spans="1:5" ht="24" customHeight="1">
      <c r="A60" s="17">
        <v>20</v>
      </c>
      <c r="B60" s="45" t="s">
        <v>462</v>
      </c>
      <c r="C60" s="176">
        <f t="shared" si="0"/>
        <v>11734998</v>
      </c>
      <c r="D60" s="176">
        <f t="shared" si="0"/>
        <v>11906435</v>
      </c>
      <c r="E60" s="176">
        <f t="shared" si="0"/>
        <v>12231958</v>
      </c>
    </row>
    <row r="61" spans="1:5" ht="24" customHeight="1">
      <c r="A61" s="17">
        <v>21</v>
      </c>
      <c r="B61" s="45" t="s">
        <v>468</v>
      </c>
      <c r="C61" s="281">
        <f>+C59-C60</f>
        <v>238976346</v>
      </c>
      <c r="D61" s="281">
        <f>+D59-D60</f>
        <v>246753672</v>
      </c>
      <c r="E61" s="281">
        <f>+E59-E60</f>
        <v>258964213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457</v>
      </c>
      <c r="B63" s="16" t="s">
        <v>470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471</v>
      </c>
      <c r="C65" s="284">
        <f>IF(C67=0,0,(C66/C67)*100)</f>
        <v>40.63649788112805</v>
      </c>
      <c r="D65" s="284">
        <f>IF(D67=0,0,(D66/D67)*100)</f>
        <v>37.92099712022481</v>
      </c>
      <c r="E65" s="284">
        <f>IF(E67=0,0,(E66/E67)*100)</f>
        <v>28.831892679126973</v>
      </c>
    </row>
    <row r="66" spans="1:5" ht="24" customHeight="1">
      <c r="A66" s="17">
        <v>2</v>
      </c>
      <c r="B66" s="45" t="s">
        <v>184</v>
      </c>
      <c r="C66" s="281">
        <f>+C32</f>
        <v>100092554</v>
      </c>
      <c r="D66" s="281">
        <f>+D32</f>
        <v>95498582</v>
      </c>
      <c r="E66" s="281">
        <f>+E32</f>
        <v>75433676</v>
      </c>
    </row>
    <row r="67" spans="1:5" ht="24" customHeight="1">
      <c r="A67" s="17">
        <v>3</v>
      </c>
      <c r="B67" s="45" t="s">
        <v>160</v>
      </c>
      <c r="C67" s="281">
        <v>246311959</v>
      </c>
      <c r="D67" s="281">
        <v>251835630</v>
      </c>
      <c r="E67" s="281">
        <v>261632758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472</v>
      </c>
      <c r="C69" s="284">
        <f>IF(C75=0,0,(C72/C75)*100)</f>
        <v>10.165546062966946</v>
      </c>
      <c r="D69" s="284">
        <f>IF(D75=0,0,(D72/D75)*100)</f>
        <v>13.763134314381448</v>
      </c>
      <c r="E69" s="284">
        <f>IF(E75=0,0,(E72/E75)*100)</f>
        <v>11.989431643291379</v>
      </c>
    </row>
    <row r="70" spans="1:5" ht="24" customHeight="1">
      <c r="A70" s="17">
        <v>5</v>
      </c>
      <c r="B70" s="45" t="s">
        <v>473</v>
      </c>
      <c r="C70" s="281">
        <f>+C28</f>
        <v>-311557</v>
      </c>
      <c r="D70" s="281">
        <f>+D28</f>
        <v>4974823</v>
      </c>
      <c r="E70" s="281">
        <f>+E28</f>
        <v>3216053</v>
      </c>
    </row>
    <row r="71" spans="1:5" ht="24" customHeight="1">
      <c r="A71" s="17">
        <v>6</v>
      </c>
      <c r="B71" s="45" t="s">
        <v>462</v>
      </c>
      <c r="C71" s="176">
        <f>+C47</f>
        <v>11734998</v>
      </c>
      <c r="D71" s="176">
        <f>+D47</f>
        <v>11906435</v>
      </c>
      <c r="E71" s="176">
        <f>+E47</f>
        <v>12231958</v>
      </c>
    </row>
    <row r="72" spans="1:5" ht="24" customHeight="1">
      <c r="A72" s="17">
        <v>7</v>
      </c>
      <c r="B72" s="45" t="s">
        <v>474</v>
      </c>
      <c r="C72" s="281">
        <f>+C70+C71</f>
        <v>11423441</v>
      </c>
      <c r="D72" s="281">
        <f>+D70+D71</f>
        <v>16881258</v>
      </c>
      <c r="E72" s="281">
        <f>+E70+E71</f>
        <v>15448011</v>
      </c>
    </row>
    <row r="73" spans="1:5" ht="24" customHeight="1">
      <c r="A73" s="17">
        <v>8</v>
      </c>
      <c r="B73" s="45" t="s">
        <v>171</v>
      </c>
      <c r="C73" s="270">
        <f>+C40</f>
        <v>38763802</v>
      </c>
      <c r="D73" s="270">
        <f>+D40</f>
        <v>47851448</v>
      </c>
      <c r="E73" s="270">
        <f>+E40</f>
        <v>43546329</v>
      </c>
    </row>
    <row r="74" spans="1:5" ht="24" customHeight="1">
      <c r="A74" s="17">
        <v>9</v>
      </c>
      <c r="B74" s="45" t="s">
        <v>175</v>
      </c>
      <c r="C74" s="281">
        <v>73610299</v>
      </c>
      <c r="D74" s="281">
        <v>74804174</v>
      </c>
      <c r="E74" s="281">
        <v>85300571</v>
      </c>
    </row>
    <row r="75" spans="1:5" ht="24" customHeight="1">
      <c r="A75" s="17">
        <v>10</v>
      </c>
      <c r="B75" s="285" t="s">
        <v>475</v>
      </c>
      <c r="C75" s="270">
        <f>+C73+C74</f>
        <v>112374101</v>
      </c>
      <c r="D75" s="270">
        <f>+D73+D74</f>
        <v>122655622</v>
      </c>
      <c r="E75" s="270">
        <f>+E73+E74</f>
        <v>128846900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476</v>
      </c>
      <c r="C77" s="286">
        <f>IF(C80=0,0,(C78/C80)*100)</f>
        <v>42.377138733582</v>
      </c>
      <c r="D77" s="286">
        <f>IF(D80=0,0,(D78/D80)*100)</f>
        <v>43.92422985803001</v>
      </c>
      <c r="E77" s="286">
        <f>IF(E80=0,0,(E78/E80)*100)</f>
        <v>53.06931944627831</v>
      </c>
    </row>
    <row r="78" spans="1:5" ht="24" customHeight="1">
      <c r="A78" s="17">
        <v>12</v>
      </c>
      <c r="B78" s="45" t="s">
        <v>175</v>
      </c>
      <c r="C78" s="270">
        <f>+C74</f>
        <v>73610299</v>
      </c>
      <c r="D78" s="270">
        <f>+D74</f>
        <v>74804174</v>
      </c>
      <c r="E78" s="270">
        <f>+E74</f>
        <v>85300571</v>
      </c>
    </row>
    <row r="79" spans="1:5" ht="24" customHeight="1">
      <c r="A79" s="17">
        <v>13</v>
      </c>
      <c r="B79" s="45" t="s">
        <v>184</v>
      </c>
      <c r="C79" s="270">
        <f>+C32</f>
        <v>100092554</v>
      </c>
      <c r="D79" s="270">
        <f>+D32</f>
        <v>95498582</v>
      </c>
      <c r="E79" s="270">
        <f>+E32</f>
        <v>75433676</v>
      </c>
    </row>
    <row r="80" spans="1:5" ht="24" customHeight="1">
      <c r="A80" s="17">
        <v>14</v>
      </c>
      <c r="B80" s="45" t="s">
        <v>477</v>
      </c>
      <c r="C80" s="270">
        <f>+C78+C79</f>
        <v>173702853</v>
      </c>
      <c r="D80" s="270">
        <f>+D78+D79</f>
        <v>170302756</v>
      </c>
      <c r="E80" s="270">
        <f>+E78+E79</f>
        <v>160734247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FILING&amp;R&amp;8EASTERN CONNECTICUT HEALTH NETWORK,INC.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117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118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119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609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610</v>
      </c>
      <c r="G7" s="126" t="s">
        <v>610</v>
      </c>
      <c r="H7" s="125"/>
      <c r="I7" s="289"/>
    </row>
    <row r="8" spans="1:9" ht="15.75" customHeight="1">
      <c r="A8" s="287"/>
      <c r="B8" s="126"/>
      <c r="C8" s="126" t="s">
        <v>611</v>
      </c>
      <c r="D8" s="126" t="s">
        <v>612</v>
      </c>
      <c r="E8" s="126" t="s">
        <v>613</v>
      </c>
      <c r="F8" s="126" t="s">
        <v>614</v>
      </c>
      <c r="G8" s="126" t="s">
        <v>615</v>
      </c>
      <c r="H8" s="125"/>
      <c r="I8" s="289"/>
    </row>
    <row r="9" spans="1:9" ht="15.75" customHeight="1">
      <c r="A9" s="290" t="s">
        <v>125</v>
      </c>
      <c r="B9" s="291" t="s">
        <v>126</v>
      </c>
      <c r="C9" s="292" t="s">
        <v>616</v>
      </c>
      <c r="D9" s="292" t="s">
        <v>617</v>
      </c>
      <c r="E9" s="292" t="s">
        <v>618</v>
      </c>
      <c r="F9" s="292" t="s">
        <v>617</v>
      </c>
      <c r="G9" s="292" t="s">
        <v>618</v>
      </c>
      <c r="H9" s="125"/>
      <c r="I9" s="56"/>
    </row>
    <row r="10" spans="1:9" ht="15.75" customHeight="1">
      <c r="A10" s="293" t="s">
        <v>619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620</v>
      </c>
      <c r="C11" s="296">
        <v>25739</v>
      </c>
      <c r="D11" s="297">
        <v>72</v>
      </c>
      <c r="E11" s="297">
        <v>166</v>
      </c>
      <c r="F11" s="298">
        <f>IF(D11=0,0,$C11/(D11*365))</f>
        <v>0.9794140030441401</v>
      </c>
      <c r="G11" s="298">
        <f>IF(E11=0,0,$C11/(E11*365))</f>
        <v>0.4248060736095065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621</v>
      </c>
      <c r="C13" s="296">
        <v>3685</v>
      </c>
      <c r="D13" s="297">
        <v>18</v>
      </c>
      <c r="E13" s="297">
        <v>27</v>
      </c>
      <c r="F13" s="298">
        <f>IF(D13=0,0,$C13/(D13*365))</f>
        <v>0.560882800608828</v>
      </c>
      <c r="G13" s="298">
        <f>IF(E13=0,0,$C13/(E13*365))</f>
        <v>0.373921867072552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622</v>
      </c>
      <c r="C15" s="296">
        <v>1288</v>
      </c>
      <c r="D15" s="297">
        <v>5</v>
      </c>
      <c r="E15" s="297">
        <v>10</v>
      </c>
      <c r="F15" s="298">
        <f aca="true" t="shared" si="0" ref="F15:G17">IF(D15=0,0,$C15/(D15*365))</f>
        <v>0.7057534246575342</v>
      </c>
      <c r="G15" s="298">
        <f t="shared" si="0"/>
        <v>0.3528767123287671</v>
      </c>
      <c r="H15" s="125"/>
      <c r="I15" s="299"/>
    </row>
    <row r="16" spans="1:9" ht="15" customHeight="1">
      <c r="A16" s="294">
        <v>4</v>
      </c>
      <c r="B16" s="295" t="s">
        <v>623</v>
      </c>
      <c r="C16" s="296">
        <v>7560</v>
      </c>
      <c r="D16" s="297">
        <v>25</v>
      </c>
      <c r="E16" s="297">
        <v>26</v>
      </c>
      <c r="F16" s="298">
        <f t="shared" si="0"/>
        <v>0.8284931506849315</v>
      </c>
      <c r="G16" s="298">
        <f t="shared" si="0"/>
        <v>0.7966280295047419</v>
      </c>
      <c r="H16" s="125"/>
      <c r="I16" s="299"/>
    </row>
    <row r="17" spans="1:9" ht="15.75" customHeight="1">
      <c r="A17" s="293"/>
      <c r="B17" s="135" t="s">
        <v>624</v>
      </c>
      <c r="C17" s="300">
        <f>SUM(C15:C16)</f>
        <v>8848</v>
      </c>
      <c r="D17" s="300">
        <f>SUM(D15:D16)</f>
        <v>30</v>
      </c>
      <c r="E17" s="300">
        <f>SUM(E15:E16)</f>
        <v>36</v>
      </c>
      <c r="F17" s="301">
        <f t="shared" si="0"/>
        <v>0.8080365296803653</v>
      </c>
      <c r="G17" s="301">
        <f t="shared" si="0"/>
        <v>0.6733637747336377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625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626</v>
      </c>
      <c r="C21" s="296">
        <v>2981</v>
      </c>
      <c r="D21" s="297">
        <v>10</v>
      </c>
      <c r="E21" s="297">
        <v>20</v>
      </c>
      <c r="F21" s="298">
        <f>IF(D21=0,0,$C21/(D21*365))</f>
        <v>0.8167123287671233</v>
      </c>
      <c r="G21" s="298">
        <f>IF(E21=0,0,$C21/(E21*365))</f>
        <v>0.40835616438356165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627</v>
      </c>
      <c r="C23" s="296">
        <v>3378</v>
      </c>
      <c r="D23" s="297">
        <v>10</v>
      </c>
      <c r="E23" s="297">
        <v>34</v>
      </c>
      <c r="F23" s="298">
        <f>IF(D23=0,0,$C23/(D23*365))</f>
        <v>0.9254794520547945</v>
      </c>
      <c r="G23" s="298">
        <f>IF(E23=0,0,$C23/(E23*365))</f>
        <v>0.27219983883964544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411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628</v>
      </c>
      <c r="C27" s="296">
        <v>0</v>
      </c>
      <c r="D27" s="297">
        <v>0</v>
      </c>
      <c r="E27" s="297">
        <v>0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629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630</v>
      </c>
      <c r="C31" s="300">
        <f>SUM(C10:C29)-C17-C23</f>
        <v>41253</v>
      </c>
      <c r="D31" s="300">
        <f>SUM(D10:D29)-D17-D23</f>
        <v>130</v>
      </c>
      <c r="E31" s="300">
        <f>SUM(E10:E29)-E17-E23</f>
        <v>249</v>
      </c>
      <c r="F31" s="301">
        <f>IF(D31=0,0,$C31/(D31*365))</f>
        <v>0.8693993677555322</v>
      </c>
      <c r="G31" s="301">
        <f>IF(E31=0,0,$C31/(E31*365))</f>
        <v>0.45390328437035815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631</v>
      </c>
      <c r="C33" s="300">
        <f>SUM(C10:C29)-C17</f>
        <v>44631</v>
      </c>
      <c r="D33" s="300">
        <f>SUM(D10:D29)-D17</f>
        <v>140</v>
      </c>
      <c r="E33" s="300">
        <f>SUM(E10:E29)-E17</f>
        <v>283</v>
      </c>
      <c r="F33" s="301">
        <f>IF(D33=0,0,$C33/(D33*365))</f>
        <v>0.8734050880626223</v>
      </c>
      <c r="G33" s="301">
        <f>IF(E33=0,0,$C33/(E33*365))</f>
        <v>0.4320731884408732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632</v>
      </c>
      <c r="C36" s="300">
        <f>+C33</f>
        <v>44631</v>
      </c>
      <c r="D36" s="300">
        <f>+D33</f>
        <v>140</v>
      </c>
      <c r="E36" s="300">
        <f>+E33</f>
        <v>283</v>
      </c>
      <c r="F36" s="301">
        <f>+F33</f>
        <v>0.8734050880626223</v>
      </c>
      <c r="G36" s="301">
        <f>+G33</f>
        <v>0.4320731884408732</v>
      </c>
      <c r="H36" s="125"/>
      <c r="I36" s="299"/>
    </row>
    <row r="37" spans="1:9" ht="15.75" customHeight="1">
      <c r="A37" s="293"/>
      <c r="B37" s="135" t="s">
        <v>633</v>
      </c>
      <c r="C37" s="300">
        <v>43813</v>
      </c>
      <c r="D37" s="302">
        <v>140</v>
      </c>
      <c r="E37" s="302">
        <v>283</v>
      </c>
      <c r="F37" s="301">
        <f>IF(D37=0,0,$C37/(D37*365))</f>
        <v>0.8573972602739726</v>
      </c>
      <c r="G37" s="301">
        <f>IF(E37=0,0,$C37/(E37*365))</f>
        <v>0.4241541216903045</v>
      </c>
      <c r="H37" s="125"/>
      <c r="I37" s="299"/>
    </row>
    <row r="38" spans="1:9" ht="15.75" customHeight="1">
      <c r="A38" s="293"/>
      <c r="B38" s="135" t="s">
        <v>634</v>
      </c>
      <c r="C38" s="300">
        <f>+C36-C37</f>
        <v>818</v>
      </c>
      <c r="D38" s="300">
        <f>+D36-D37</f>
        <v>0</v>
      </c>
      <c r="E38" s="300">
        <f>+E36-E37</f>
        <v>0</v>
      </c>
      <c r="F38" s="301">
        <f>+F36-F37</f>
        <v>0.01600782778864973</v>
      </c>
      <c r="G38" s="301">
        <f>+G36-G37</f>
        <v>0.007919066750568748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635</v>
      </c>
      <c r="C40" s="148">
        <f>IF(C37=0,0,C38/C37)</f>
        <v>0.018670257686074908</v>
      </c>
      <c r="D40" s="148">
        <f>IF(D37=0,0,D38/D37)</f>
        <v>0</v>
      </c>
      <c r="E40" s="148">
        <f>IF(E37=0,0,E38/E37)</f>
        <v>0</v>
      </c>
      <c r="F40" s="148">
        <f>IF(F37=0,0,F38/F37)</f>
        <v>0.01867025768607494</v>
      </c>
      <c r="G40" s="148">
        <f>IF(G37=0,0,G38/G37)</f>
        <v>0.018670257686074884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636</v>
      </c>
      <c r="C42" s="295">
        <v>283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637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619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 r:id="rId1"/>
  <headerFooter alignWithMargins="0">
    <oddHeader>&amp;LOFFICE OF HEALTH CARE ACCESS&amp;CTWELVE MONTHS ACTUAL FILING&amp;RMANCHESTER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67">
      <selection activeCell="B13" sqref="B13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117</v>
      </c>
      <c r="B1" s="698"/>
      <c r="C1" s="698"/>
      <c r="D1" s="698"/>
      <c r="E1" s="698"/>
      <c r="F1" s="698"/>
    </row>
    <row r="2" spans="1:6" ht="15.75" customHeight="1">
      <c r="A2" s="698" t="s">
        <v>118</v>
      </c>
      <c r="B2" s="698"/>
      <c r="C2" s="698"/>
      <c r="D2" s="698"/>
      <c r="E2" s="698"/>
      <c r="F2" s="698"/>
    </row>
    <row r="3" spans="1:6" ht="15.75" customHeight="1">
      <c r="A3" s="698" t="s">
        <v>119</v>
      </c>
      <c r="B3" s="698"/>
      <c r="C3" s="698"/>
      <c r="D3" s="698"/>
      <c r="E3" s="698"/>
      <c r="F3" s="698"/>
    </row>
    <row r="4" spans="1:6" ht="15.75" customHeight="1">
      <c r="A4" s="698" t="s">
        <v>638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127</v>
      </c>
      <c r="D8" s="312" t="s">
        <v>127</v>
      </c>
      <c r="E8" s="126" t="s">
        <v>123</v>
      </c>
      <c r="F8" s="126" t="s">
        <v>124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125</v>
      </c>
      <c r="B9" s="291" t="s">
        <v>126</v>
      </c>
      <c r="C9" s="292" t="s">
        <v>121</v>
      </c>
      <c r="D9" s="292" t="s">
        <v>122</v>
      </c>
      <c r="E9" s="315" t="s">
        <v>128</v>
      </c>
      <c r="F9" s="315" t="s">
        <v>128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131</v>
      </c>
      <c r="B11" s="291" t="s">
        <v>639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640</v>
      </c>
      <c r="C12" s="296">
        <v>5199</v>
      </c>
      <c r="D12" s="296">
        <v>5744</v>
      </c>
      <c r="E12" s="296">
        <f>+D12-C12</f>
        <v>545</v>
      </c>
      <c r="F12" s="316">
        <f>IF(C12=0,0,+E12/C12)</f>
        <v>0.10482785150990576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641</v>
      </c>
      <c r="C13" s="296">
        <v>11389</v>
      </c>
      <c r="D13" s="296">
        <v>11316</v>
      </c>
      <c r="E13" s="296">
        <f>+D13-C13</f>
        <v>-73</v>
      </c>
      <c r="F13" s="316">
        <f>IF(C13=0,0,+E13/C13)</f>
        <v>-0.00640969356396523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642</v>
      </c>
      <c r="C14" s="296">
        <v>4124</v>
      </c>
      <c r="D14" s="296">
        <v>4097</v>
      </c>
      <c r="E14" s="296">
        <f>+D14-C14</f>
        <v>-27</v>
      </c>
      <c r="F14" s="316">
        <f>IF(C14=0,0,+E14/C14)</f>
        <v>-0.006547041707080504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643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644</v>
      </c>
      <c r="C16" s="300">
        <f>SUM(C12:C15)</f>
        <v>20712</v>
      </c>
      <c r="D16" s="300">
        <f>SUM(D12:D15)</f>
        <v>21157</v>
      </c>
      <c r="E16" s="300">
        <f>+D16-C16</f>
        <v>445</v>
      </c>
      <c r="F16" s="309">
        <f>IF(C16=0,0,+E16/C16)</f>
        <v>0.021485129393588258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143</v>
      </c>
      <c r="B18" s="291" t="s">
        <v>645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640</v>
      </c>
      <c r="C19" s="296">
        <v>650</v>
      </c>
      <c r="D19" s="296">
        <v>593</v>
      </c>
      <c r="E19" s="296">
        <f>+D19-C19</f>
        <v>-57</v>
      </c>
      <c r="F19" s="316">
        <f>IF(C19=0,0,+E19/C19)</f>
        <v>-0.0876923076923077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641</v>
      </c>
      <c r="C20" s="296">
        <v>3673</v>
      </c>
      <c r="D20" s="296">
        <v>3178</v>
      </c>
      <c r="E20" s="296">
        <f>+D20-C20</f>
        <v>-495</v>
      </c>
      <c r="F20" s="316">
        <f>IF(C20=0,0,+E20/C20)</f>
        <v>-0.13476722025592158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642</v>
      </c>
      <c r="C21" s="296">
        <v>75</v>
      </c>
      <c r="D21" s="296">
        <v>65</v>
      </c>
      <c r="E21" s="296">
        <f>+D21-C21</f>
        <v>-10</v>
      </c>
      <c r="F21" s="316">
        <f>IF(C21=0,0,+E21/C21)</f>
        <v>-0.13333333333333333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643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646</v>
      </c>
      <c r="C23" s="300">
        <f>SUM(C19:C22)</f>
        <v>4398</v>
      </c>
      <c r="D23" s="300">
        <f>SUM(D19:D22)</f>
        <v>3836</v>
      </c>
      <c r="E23" s="300">
        <f>+D23-C23</f>
        <v>-562</v>
      </c>
      <c r="F23" s="309">
        <f>IF(C23=0,0,+E23/C23)</f>
        <v>-0.12778535698044566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153</v>
      </c>
      <c r="B25" s="291" t="s">
        <v>647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640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641</v>
      </c>
      <c r="C27" s="296">
        <v>440</v>
      </c>
      <c r="D27" s="296">
        <v>472</v>
      </c>
      <c r="E27" s="296">
        <f>+D27-C27</f>
        <v>32</v>
      </c>
      <c r="F27" s="316">
        <f>IF(C27=0,0,+E27/C27)</f>
        <v>0.07272727272727272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642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643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648</v>
      </c>
      <c r="C30" s="300">
        <f>SUM(C26:C29)</f>
        <v>440</v>
      </c>
      <c r="D30" s="300">
        <f>SUM(D26:D29)</f>
        <v>472</v>
      </c>
      <c r="E30" s="300">
        <f>+D30-C30</f>
        <v>32</v>
      </c>
      <c r="F30" s="309">
        <f>IF(C30=0,0,+E30/C30)</f>
        <v>0.07272727272727272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436</v>
      </c>
      <c r="B32" s="291" t="s">
        <v>649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640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641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642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643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650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651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652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457</v>
      </c>
      <c r="B42" s="291" t="s">
        <v>653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654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655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656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469</v>
      </c>
      <c r="B47" s="291" t="s">
        <v>657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654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655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658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481</v>
      </c>
      <c r="B52" s="291" t="s">
        <v>659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660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661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662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485</v>
      </c>
      <c r="B57" s="291" t="s">
        <v>663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664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665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666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129</v>
      </c>
      <c r="B62" s="291" t="s">
        <v>667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668</v>
      </c>
      <c r="C63" s="296">
        <v>1945</v>
      </c>
      <c r="D63" s="296">
        <v>1969</v>
      </c>
      <c r="E63" s="296">
        <f>+D63-C63</f>
        <v>24</v>
      </c>
      <c r="F63" s="316">
        <f>IF(C63=0,0,+E63/C63)</f>
        <v>0.012339331619537276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669</v>
      </c>
      <c r="C64" s="296">
        <v>5384</v>
      </c>
      <c r="D64" s="296">
        <v>5376</v>
      </c>
      <c r="E64" s="296">
        <f>+D64-C64</f>
        <v>-8</v>
      </c>
      <c r="F64" s="316">
        <f>IF(C64=0,0,+E64/C64)</f>
        <v>-0.0014858841010401188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670</v>
      </c>
      <c r="C65" s="300">
        <f>SUM(C63:C64)</f>
        <v>7329</v>
      </c>
      <c r="D65" s="300">
        <f>SUM(D63:D64)</f>
        <v>7345</v>
      </c>
      <c r="E65" s="300">
        <f>+D65-C65</f>
        <v>16</v>
      </c>
      <c r="F65" s="309">
        <f>IF(C65=0,0,+E65/C65)</f>
        <v>0.0021831082003001775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511</v>
      </c>
      <c r="B67" s="291" t="s">
        <v>671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672</v>
      </c>
      <c r="C68" s="296">
        <v>721</v>
      </c>
      <c r="D68" s="296">
        <v>623</v>
      </c>
      <c r="E68" s="296">
        <f>+D68-C68</f>
        <v>-98</v>
      </c>
      <c r="F68" s="316">
        <f>IF(C68=0,0,+E68/C68)</f>
        <v>-0.13592233009708737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673</v>
      </c>
      <c r="C69" s="296">
        <v>13256</v>
      </c>
      <c r="D69" s="296">
        <v>9762</v>
      </c>
      <c r="E69" s="296">
        <f>+D69-C69</f>
        <v>-3494</v>
      </c>
      <c r="F69" s="318">
        <f>IF(C69=0,0,+E69/C69)</f>
        <v>-0.2635787567893784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674</v>
      </c>
      <c r="C70" s="300">
        <f>SUM(C68:C69)</f>
        <v>13977</v>
      </c>
      <c r="D70" s="300">
        <f>SUM(D68:D69)</f>
        <v>10385</v>
      </c>
      <c r="E70" s="300">
        <f>+D70-C70</f>
        <v>-3592</v>
      </c>
      <c r="F70" s="309">
        <f>IF(C70=0,0,+E70/C70)</f>
        <v>-0.25699363239607925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527</v>
      </c>
      <c r="B72" s="291" t="s">
        <v>675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676</v>
      </c>
      <c r="C73" s="319">
        <v>5138</v>
      </c>
      <c r="D73" s="319">
        <v>5142</v>
      </c>
      <c r="E73" s="296">
        <f>+D73-C73</f>
        <v>4</v>
      </c>
      <c r="F73" s="316">
        <f>IF(C73=0,0,+E73/C73)</f>
        <v>0.0007785130400934215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677</v>
      </c>
      <c r="C74" s="319">
        <v>38996</v>
      </c>
      <c r="D74" s="319">
        <v>40513</v>
      </c>
      <c r="E74" s="296">
        <f>+D74-C74</f>
        <v>1517</v>
      </c>
      <c r="F74" s="316">
        <f>IF(C74=0,0,+E74/C74)</f>
        <v>0.03890142578726023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543</v>
      </c>
      <c r="C75" s="300">
        <f>SUM(C73:C74)</f>
        <v>44134</v>
      </c>
      <c r="D75" s="300">
        <f>SUM(D73:D74)</f>
        <v>45655</v>
      </c>
      <c r="E75" s="300">
        <f>SUM(E73:E74)</f>
        <v>1521</v>
      </c>
      <c r="F75" s="309">
        <f>IF(C75=0,0,+E75/C75)</f>
        <v>0.03446322563103276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536</v>
      </c>
      <c r="B78" s="291" t="s">
        <v>678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679</v>
      </c>
      <c r="C79" s="319">
        <v>0</v>
      </c>
      <c r="D79" s="319">
        <v>0</v>
      </c>
      <c r="E79" s="296">
        <f aca="true" t="shared" si="0" ref="E79:E84">+D79-C79</f>
        <v>0</v>
      </c>
      <c r="F79" s="316">
        <f aca="true" t="shared" si="1" ref="F79:F84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680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681</v>
      </c>
      <c r="C81" s="319">
        <v>63199</v>
      </c>
      <c r="D81" s="319">
        <v>65012</v>
      </c>
      <c r="E81" s="296">
        <f t="shared" si="0"/>
        <v>1813</v>
      </c>
      <c r="F81" s="316">
        <f t="shared" si="1"/>
        <v>0.02868716277156284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682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683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684</v>
      </c>
      <c r="C84" s="320">
        <f>SUM(C79:C83)</f>
        <v>63199</v>
      </c>
      <c r="D84" s="320">
        <f>SUM(D79:D83)</f>
        <v>65012</v>
      </c>
      <c r="E84" s="300">
        <f t="shared" si="0"/>
        <v>1813</v>
      </c>
      <c r="F84" s="309">
        <f t="shared" si="1"/>
        <v>0.02868716277156284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539</v>
      </c>
      <c r="B86" s="291" t="s">
        <v>685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686</v>
      </c>
      <c r="C87" s="322">
        <v>77759</v>
      </c>
      <c r="D87" s="322">
        <v>69063</v>
      </c>
      <c r="E87" s="323">
        <f aca="true" t="shared" si="2" ref="E87:E92">+D87-C87</f>
        <v>-8696</v>
      </c>
      <c r="F87" s="318">
        <f aca="true" t="shared" si="3" ref="F87:F92">IF(C87=0,0,+E87/C87)</f>
        <v>-0.11183271389806967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379</v>
      </c>
      <c r="C88" s="322">
        <v>8136</v>
      </c>
      <c r="D88" s="322">
        <v>9005</v>
      </c>
      <c r="E88" s="296">
        <f t="shared" si="2"/>
        <v>869</v>
      </c>
      <c r="F88" s="316">
        <f t="shared" si="3"/>
        <v>0.10680924287118977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687</v>
      </c>
      <c r="C89" s="322">
        <v>780</v>
      </c>
      <c r="D89" s="322">
        <v>471</v>
      </c>
      <c r="E89" s="296">
        <f t="shared" si="2"/>
        <v>-309</v>
      </c>
      <c r="F89" s="316">
        <f t="shared" si="3"/>
        <v>-0.39615384615384613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688</v>
      </c>
      <c r="C90" s="322">
        <v>13256</v>
      </c>
      <c r="D90" s="322">
        <v>9762</v>
      </c>
      <c r="E90" s="296">
        <f t="shared" si="2"/>
        <v>-3494</v>
      </c>
      <c r="F90" s="316">
        <f t="shared" si="3"/>
        <v>-0.2635787567893784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689</v>
      </c>
      <c r="C91" s="322">
        <v>55402</v>
      </c>
      <c r="D91" s="322">
        <v>48109</v>
      </c>
      <c r="E91" s="296">
        <f t="shared" si="2"/>
        <v>-7293</v>
      </c>
      <c r="F91" s="316">
        <f t="shared" si="3"/>
        <v>-0.13163784700913325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690</v>
      </c>
      <c r="C92" s="320">
        <f>SUM(C87:C91)</f>
        <v>155333</v>
      </c>
      <c r="D92" s="320">
        <f>SUM(D87:D91)</f>
        <v>136410</v>
      </c>
      <c r="E92" s="300">
        <f t="shared" si="2"/>
        <v>-18923</v>
      </c>
      <c r="F92" s="309">
        <f t="shared" si="3"/>
        <v>-0.12182214983293956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691</v>
      </c>
      <c r="B95" s="291" t="s">
        <v>692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693</v>
      </c>
      <c r="C96" s="325">
        <v>281.1</v>
      </c>
      <c r="D96" s="325">
        <v>330.1</v>
      </c>
      <c r="E96" s="326">
        <f>+D96-C96</f>
        <v>49</v>
      </c>
      <c r="F96" s="316">
        <f>IF(C96=0,0,+E96/C96)</f>
        <v>0.1743151903237282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694</v>
      </c>
      <c r="C97" s="325">
        <v>16.9</v>
      </c>
      <c r="D97" s="325">
        <v>14.4</v>
      </c>
      <c r="E97" s="326">
        <f>+D97-C97</f>
        <v>-2.4999999999999982</v>
      </c>
      <c r="F97" s="316">
        <f>IF(C97=0,0,+E97/C97)</f>
        <v>-0.14792899408284013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695</v>
      </c>
      <c r="C98" s="325">
        <v>853.3</v>
      </c>
      <c r="D98" s="325">
        <v>810.8</v>
      </c>
      <c r="E98" s="326">
        <f>+D98-C98</f>
        <v>-42.5</v>
      </c>
      <c r="F98" s="316">
        <f>IF(C98=0,0,+E98/C98)</f>
        <v>-0.049806633071604364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696</v>
      </c>
      <c r="C99" s="327">
        <f>SUM(C96:C98)</f>
        <v>1151.3</v>
      </c>
      <c r="D99" s="327">
        <f>SUM(D96:D98)</f>
        <v>1155.3</v>
      </c>
      <c r="E99" s="327">
        <f>+D99-C99</f>
        <v>4</v>
      </c>
      <c r="F99" s="309">
        <f>IF(C99=0,0,+E99/C99)</f>
        <v>0.0034743333622861113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/>
  <headerFooter alignWithMargins="0">
    <oddHeader>&amp;LOFFICE OF HEALTH CARE ACCESS&amp;CTWELVE MONTHS ACTUAL FILING&amp;RMANCHESTER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SheetLayoutView="90" zoomScalePageLayoutView="0" workbookViewId="0" topLeftCell="A4">
      <selection activeCell="B29" sqref="B29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117</v>
      </c>
      <c r="B1" s="698"/>
      <c r="C1" s="698"/>
      <c r="D1" s="698"/>
      <c r="E1" s="698"/>
      <c r="F1" s="698"/>
    </row>
    <row r="2" spans="1:6" ht="15.75" customHeight="1">
      <c r="A2" s="698" t="s">
        <v>118</v>
      </c>
      <c r="B2" s="698"/>
      <c r="C2" s="698"/>
      <c r="D2" s="698"/>
      <c r="E2" s="698"/>
      <c r="F2" s="698"/>
    </row>
    <row r="3" spans="1:6" ht="15.75" customHeight="1">
      <c r="A3" s="698" t="s">
        <v>119</v>
      </c>
      <c r="B3" s="698"/>
      <c r="C3" s="698"/>
      <c r="D3" s="698"/>
      <c r="E3" s="698"/>
      <c r="F3" s="698"/>
    </row>
    <row r="4" spans="1:6" ht="15.75" customHeight="1">
      <c r="A4" s="698" t="s">
        <v>697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127</v>
      </c>
      <c r="D8" s="312" t="s">
        <v>127</v>
      </c>
      <c r="E8" s="126" t="s">
        <v>123</v>
      </c>
      <c r="F8" s="126" t="s">
        <v>124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125</v>
      </c>
      <c r="B9" s="291" t="s">
        <v>126</v>
      </c>
      <c r="C9" s="292" t="s">
        <v>121</v>
      </c>
      <c r="D9" s="292" t="s">
        <v>122</v>
      </c>
      <c r="E9" s="315" t="s">
        <v>128</v>
      </c>
      <c r="F9" s="315" t="s">
        <v>128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227</v>
      </c>
      <c r="B11" s="291" t="s">
        <v>669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698</v>
      </c>
      <c r="C12" s="296">
        <v>5384</v>
      </c>
      <c r="D12" s="296">
        <v>5376</v>
      </c>
      <c r="E12" s="296">
        <f>+D12-C12</f>
        <v>-8</v>
      </c>
      <c r="F12" s="316">
        <f>IF(C12=0,0,+E12/C12)</f>
        <v>-0.0014858841010401188</v>
      </c>
    </row>
    <row r="13" spans="1:6" ht="15.75" customHeight="1">
      <c r="A13" s="294"/>
      <c r="B13" s="135" t="s">
        <v>699</v>
      </c>
      <c r="C13" s="300">
        <f>SUM(C11:C12)</f>
        <v>5384</v>
      </c>
      <c r="D13" s="300">
        <f>SUM(D11:D12)</f>
        <v>5376</v>
      </c>
      <c r="E13" s="300">
        <f>+D13-C13</f>
        <v>-8</v>
      </c>
      <c r="F13" s="309">
        <f>IF(C13=0,0,+E13/C13)</f>
        <v>-0.0014858841010401188</v>
      </c>
    </row>
    <row r="14" spans="1:6" ht="15.75" customHeight="1">
      <c r="A14" s="293"/>
      <c r="B14" s="135"/>
      <c r="C14" s="300"/>
      <c r="D14" s="300"/>
      <c r="E14" s="300"/>
      <c r="F14" s="309"/>
    </row>
    <row r="15" spans="1:6" ht="15.75" customHeight="1">
      <c r="A15" s="293" t="s">
        <v>241</v>
      </c>
      <c r="B15" s="291" t="s">
        <v>673</v>
      </c>
      <c r="C15" s="296"/>
      <c r="D15" s="296"/>
      <c r="E15" s="296"/>
      <c r="F15" s="316"/>
    </row>
    <row r="16" spans="1:6" ht="15.75" customHeight="1">
      <c r="A16" s="294">
        <v>1</v>
      </c>
      <c r="B16" s="295" t="s">
        <v>698</v>
      </c>
      <c r="C16" s="296">
        <v>13256</v>
      </c>
      <c r="D16" s="296">
        <v>9762</v>
      </c>
      <c r="E16" s="296">
        <f>+D16-C16</f>
        <v>-3494</v>
      </c>
      <c r="F16" s="316">
        <f>IF(C16=0,0,+E16/C16)</f>
        <v>-0.2635787567893784</v>
      </c>
    </row>
    <row r="17" spans="1:6" ht="15.75" customHeight="1">
      <c r="A17" s="294"/>
      <c r="B17" s="135" t="s">
        <v>700</v>
      </c>
      <c r="C17" s="300">
        <f>SUM(C15:C16)</f>
        <v>13256</v>
      </c>
      <c r="D17" s="300">
        <f>SUM(D15:D16)</f>
        <v>9762</v>
      </c>
      <c r="E17" s="300">
        <f>+D17-C17</f>
        <v>-3494</v>
      </c>
      <c r="F17" s="309">
        <f>IF(C17=0,0,+E17/C17)</f>
        <v>-0.2635787567893784</v>
      </c>
    </row>
    <row r="18" spans="1:6" ht="15.75" customHeight="1">
      <c r="A18" s="293"/>
      <c r="B18" s="135"/>
      <c r="C18" s="300"/>
      <c r="D18" s="300"/>
      <c r="E18" s="300"/>
      <c r="F18" s="309"/>
    </row>
    <row r="19" spans="1:6" ht="15.75" customHeight="1">
      <c r="A19" s="293" t="s">
        <v>258</v>
      </c>
      <c r="B19" s="291" t="s">
        <v>701</v>
      </c>
      <c r="C19" s="296"/>
      <c r="D19" s="296"/>
      <c r="E19" s="296"/>
      <c r="F19" s="316"/>
    </row>
    <row r="20" spans="1:6" ht="15.75" customHeight="1">
      <c r="A20" s="294">
        <v>1</v>
      </c>
      <c r="B20" s="295" t="s">
        <v>702</v>
      </c>
      <c r="C20" s="296">
        <v>38996</v>
      </c>
      <c r="D20" s="296">
        <v>40513</v>
      </c>
      <c r="E20" s="296">
        <f>+D20-C20</f>
        <v>1517</v>
      </c>
      <c r="F20" s="316">
        <f>IF(C20=0,0,+E20/C20)</f>
        <v>0.03890142578726023</v>
      </c>
    </row>
    <row r="21" spans="1:6" ht="15.75" customHeight="1">
      <c r="A21" s="294"/>
      <c r="B21" s="135" t="s">
        <v>703</v>
      </c>
      <c r="C21" s="300">
        <f>SUM(C19:C20)</f>
        <v>38996</v>
      </c>
      <c r="D21" s="300">
        <f>SUM(D19:D20)</f>
        <v>40513</v>
      </c>
      <c r="E21" s="300">
        <f>+D21-C21</f>
        <v>1517</v>
      </c>
      <c r="F21" s="309">
        <f>IF(C21=0,0,+E21/C21)</f>
        <v>0.03890142578726023</v>
      </c>
    </row>
    <row r="22" spans="1:6" ht="15.75" customHeight="1">
      <c r="A22" s="293"/>
      <c r="B22" s="135"/>
      <c r="C22" s="300"/>
      <c r="D22" s="300"/>
      <c r="E22" s="300"/>
      <c r="F22" s="309"/>
    </row>
    <row r="23" spans="2:6" ht="15.75" customHeight="1">
      <c r="B23" s="699" t="s">
        <v>704</v>
      </c>
      <c r="C23" s="700"/>
      <c r="D23" s="700"/>
      <c r="E23" s="700"/>
      <c r="F23" s="701"/>
    </row>
    <row r="24" spans="1:6" ht="15.75" customHeight="1">
      <c r="A24" s="293"/>
      <c r="B24" s="135"/>
      <c r="C24" s="300"/>
      <c r="D24" s="300"/>
      <c r="E24" s="300"/>
      <c r="F24" s="309"/>
    </row>
    <row r="25" spans="2:6" ht="15.75" customHeight="1">
      <c r="B25" s="699" t="s">
        <v>705</v>
      </c>
      <c r="C25" s="700"/>
      <c r="D25" s="700"/>
      <c r="E25" s="700"/>
      <c r="F25" s="701"/>
    </row>
    <row r="26" spans="1:6" ht="15.75" customHeight="1">
      <c r="A26" s="293"/>
      <c r="B26" s="135"/>
      <c r="C26" s="300"/>
      <c r="D26" s="300"/>
      <c r="E26" s="300"/>
      <c r="F26" s="309"/>
    </row>
    <row r="27" spans="2:6" ht="15.75" customHeight="1">
      <c r="B27" s="699" t="s">
        <v>706</v>
      </c>
      <c r="C27" s="700"/>
      <c r="D27" s="700"/>
      <c r="E27" s="700"/>
      <c r="F27" s="701"/>
    </row>
    <row r="28" spans="1:6" ht="15.75" customHeight="1">
      <c r="A28" s="293"/>
      <c r="B28" s="135"/>
      <c r="C28" s="300"/>
      <c r="D28" s="300"/>
      <c r="E28" s="300"/>
      <c r="F28" s="309"/>
    </row>
  </sheetData>
  <sheetProtection/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FILING&amp;RMANCHESTER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1">
      <selection activeCell="C317" sqref="C317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117</v>
      </c>
      <c r="B1" s="705"/>
      <c r="C1" s="705"/>
      <c r="D1" s="705"/>
      <c r="E1" s="705"/>
      <c r="F1" s="705"/>
    </row>
    <row r="2" spans="1:6" ht="15.75" customHeight="1">
      <c r="A2" s="706" t="s">
        <v>707</v>
      </c>
      <c r="B2" s="707"/>
      <c r="C2" s="707"/>
      <c r="D2" s="707"/>
      <c r="E2" s="707"/>
      <c r="F2" s="708"/>
    </row>
    <row r="3" spans="1:6" ht="15.75" customHeight="1">
      <c r="A3" s="706" t="s">
        <v>708</v>
      </c>
      <c r="B3" s="707"/>
      <c r="C3" s="707"/>
      <c r="D3" s="707"/>
      <c r="E3" s="707"/>
      <c r="F3" s="708"/>
    </row>
    <row r="4" spans="1:6" ht="15.75" customHeight="1">
      <c r="A4" s="702" t="s">
        <v>709</v>
      </c>
      <c r="B4" s="703"/>
      <c r="C4" s="703"/>
      <c r="D4" s="703"/>
      <c r="E4" s="703"/>
      <c r="F4" s="704"/>
    </row>
    <row r="5" spans="1:6" ht="15.75" customHeight="1">
      <c r="A5" s="702" t="s">
        <v>710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711</v>
      </c>
      <c r="D7" s="341" t="s">
        <v>711</v>
      </c>
      <c r="E7" s="341" t="s">
        <v>712</v>
      </c>
      <c r="F7" s="341" t="s">
        <v>124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125</v>
      </c>
      <c r="B8" s="343" t="s">
        <v>126</v>
      </c>
      <c r="C8" s="344" t="s">
        <v>713</v>
      </c>
      <c r="D8" s="344" t="s">
        <v>714</v>
      </c>
      <c r="E8" s="344" t="s">
        <v>128</v>
      </c>
      <c r="F8" s="344" t="s">
        <v>128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129</v>
      </c>
      <c r="B10" s="349" t="s">
        <v>715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131</v>
      </c>
      <c r="B12" s="356" t="s">
        <v>716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717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718</v>
      </c>
      <c r="C15" s="361">
        <v>82062854</v>
      </c>
      <c r="D15" s="361">
        <v>93259909</v>
      </c>
      <c r="E15" s="361">
        <f aca="true" t="shared" si="0" ref="E15:E24">D15-C15</f>
        <v>11197055</v>
      </c>
      <c r="F15" s="362">
        <f aca="true" t="shared" si="1" ref="F15:F24">IF(C15=0,0,E15/C15)</f>
        <v>0.13644486456685995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719</v>
      </c>
      <c r="C16" s="361">
        <v>31495002</v>
      </c>
      <c r="D16" s="361">
        <v>35820579</v>
      </c>
      <c r="E16" s="361">
        <f t="shared" si="0"/>
        <v>4325577</v>
      </c>
      <c r="F16" s="362">
        <f t="shared" si="1"/>
        <v>0.13734169631105278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720</v>
      </c>
      <c r="C17" s="366">
        <f>IF(C15=0,0,C16/C15)</f>
        <v>0.38379120960136237</v>
      </c>
      <c r="D17" s="366">
        <f>IF(LN_IA1=0,0,LN_IA2/LN_IA1)</f>
        <v>0.38409408055502176</v>
      </c>
      <c r="E17" s="367">
        <f t="shared" si="0"/>
        <v>0.0003028709536593843</v>
      </c>
      <c r="F17" s="362">
        <f t="shared" si="1"/>
        <v>0.0007891555254065652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254</v>
      </c>
      <c r="C18" s="369">
        <v>3655</v>
      </c>
      <c r="D18" s="369">
        <v>3770</v>
      </c>
      <c r="E18" s="369">
        <f t="shared" si="0"/>
        <v>115</v>
      </c>
      <c r="F18" s="362">
        <f t="shared" si="1"/>
        <v>0.03146374829001368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721</v>
      </c>
      <c r="C19" s="372">
        <v>1.44836</v>
      </c>
      <c r="D19" s="372">
        <v>1.53069</v>
      </c>
      <c r="E19" s="373">
        <f t="shared" si="0"/>
        <v>0.08233000000000001</v>
      </c>
      <c r="F19" s="362">
        <f t="shared" si="1"/>
        <v>0.05684360241928803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722</v>
      </c>
      <c r="C20" s="376">
        <f>C18*C19</f>
        <v>5293.7558</v>
      </c>
      <c r="D20" s="376">
        <f>LN_IA4*LN_IA5</f>
        <v>5770.701300000001</v>
      </c>
      <c r="E20" s="376">
        <f t="shared" si="0"/>
        <v>476.9455000000007</v>
      </c>
      <c r="F20" s="362">
        <f t="shared" si="1"/>
        <v>0.09009586350771993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723</v>
      </c>
      <c r="C21" s="378">
        <f>IF(C20=0,0,C16/C20)</f>
        <v>5949.46257248965</v>
      </c>
      <c r="D21" s="378">
        <f>IF(LN_IA6=0,0,LN_IA2/LN_IA6)</f>
        <v>6207.318164258475</v>
      </c>
      <c r="E21" s="378">
        <f t="shared" si="0"/>
        <v>257.85559176882543</v>
      </c>
      <c r="F21" s="362">
        <f t="shared" si="1"/>
        <v>0.04334098897623984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256</v>
      </c>
      <c r="C22" s="369">
        <v>21408</v>
      </c>
      <c r="D22" s="369">
        <v>23429</v>
      </c>
      <c r="E22" s="369">
        <f t="shared" si="0"/>
        <v>2021</v>
      </c>
      <c r="F22" s="362">
        <f t="shared" si="1"/>
        <v>0.09440396113602392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724</v>
      </c>
      <c r="C23" s="378">
        <f>IF(C22=0,0,C16/C22)</f>
        <v>1471.1790919282512</v>
      </c>
      <c r="D23" s="378">
        <f>IF(LN_IA8=0,0,LN_IA2/LN_IA8)</f>
        <v>1528.8991847710104</v>
      </c>
      <c r="E23" s="378">
        <f t="shared" si="0"/>
        <v>57.720092842759186</v>
      </c>
      <c r="F23" s="362">
        <f t="shared" si="1"/>
        <v>0.039233899638354955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725</v>
      </c>
      <c r="C24" s="379">
        <f>IF(C18=0,0,C22/C18)</f>
        <v>5.85718194254446</v>
      </c>
      <c r="D24" s="379">
        <f>IF(LN_IA4=0,0,LN_IA8/LN_IA4)</f>
        <v>6.214588859416446</v>
      </c>
      <c r="E24" s="379">
        <f t="shared" si="0"/>
        <v>0.35740691687198556</v>
      </c>
      <c r="F24" s="362">
        <f t="shared" si="1"/>
        <v>0.0610202859289568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726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727</v>
      </c>
      <c r="C27" s="361">
        <v>82301111</v>
      </c>
      <c r="D27" s="361">
        <v>86301464</v>
      </c>
      <c r="E27" s="361">
        <f aca="true" t="shared" si="2" ref="E27:E32">D27-C27</f>
        <v>4000353</v>
      </c>
      <c r="F27" s="362">
        <f aca="true" t="shared" si="3" ref="F27:F32">IF(C27=0,0,E27/C27)</f>
        <v>0.04860630617732487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728</v>
      </c>
      <c r="C28" s="361">
        <v>22606018</v>
      </c>
      <c r="D28" s="361">
        <v>24805567</v>
      </c>
      <c r="E28" s="361">
        <f t="shared" si="2"/>
        <v>2199549</v>
      </c>
      <c r="F28" s="362">
        <f t="shared" si="3"/>
        <v>0.09729926783213214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729</v>
      </c>
      <c r="C29" s="366">
        <f>IF(C27=0,0,C28/C27)</f>
        <v>0.2746745180633102</v>
      </c>
      <c r="D29" s="366">
        <f>IF(LN_IA11=0,0,LN_IA12/LN_IA11)</f>
        <v>0.28742927234699056</v>
      </c>
      <c r="E29" s="367">
        <f t="shared" si="2"/>
        <v>0.012754754283680336</v>
      </c>
      <c r="F29" s="362">
        <f t="shared" si="3"/>
        <v>0.046435884819648506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730</v>
      </c>
      <c r="C30" s="366">
        <f>IF(C15=0,0,C27/C15)</f>
        <v>1.0029033477192981</v>
      </c>
      <c r="D30" s="366">
        <f>IF(LN_IA1=0,0,LN_IA11/LN_IA1)</f>
        <v>0.9253865345290011</v>
      </c>
      <c r="E30" s="367">
        <f t="shared" si="2"/>
        <v>-0.07751681319029702</v>
      </c>
      <c r="F30" s="362">
        <f t="shared" si="3"/>
        <v>-0.07729240645828729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731</v>
      </c>
      <c r="C31" s="376">
        <f>C30*C18</f>
        <v>3665.611735914035</v>
      </c>
      <c r="D31" s="376">
        <f>LN_IA14*LN_IA4</f>
        <v>3488.707235174334</v>
      </c>
      <c r="E31" s="376">
        <f t="shared" si="2"/>
        <v>-176.90450073970078</v>
      </c>
      <c r="F31" s="362">
        <f t="shared" si="3"/>
        <v>-0.048260566989806665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732</v>
      </c>
      <c r="C32" s="378">
        <f>IF(C31=0,0,C28/C31)</f>
        <v>6167.051948932911</v>
      </c>
      <c r="D32" s="378">
        <f>IF(LN_IA15=0,0,LN_IA12/LN_IA15)</f>
        <v>7110.2460962908635</v>
      </c>
      <c r="E32" s="378">
        <f t="shared" si="2"/>
        <v>943.1941473579527</v>
      </c>
      <c r="F32" s="362">
        <f t="shared" si="3"/>
        <v>0.15294084680463155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733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734</v>
      </c>
      <c r="C35" s="361">
        <f>C15+C27</f>
        <v>164363965</v>
      </c>
      <c r="D35" s="361">
        <f>LN_IA1+LN_IA11</f>
        <v>179561373</v>
      </c>
      <c r="E35" s="361">
        <f>D35-C35</f>
        <v>15197408</v>
      </c>
      <c r="F35" s="362">
        <f>IF(C35=0,0,E35/C35)</f>
        <v>0.09246192132198806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735</v>
      </c>
      <c r="C36" s="361">
        <f>C16+C28</f>
        <v>54101020</v>
      </c>
      <c r="D36" s="361">
        <f>LN_IA2+LN_IA12</f>
        <v>60626146</v>
      </c>
      <c r="E36" s="361">
        <f>D36-C36</f>
        <v>6525126</v>
      </c>
      <c r="F36" s="362">
        <f>IF(C36=0,0,E36/C36)</f>
        <v>0.12061003655753626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736</v>
      </c>
      <c r="C37" s="361">
        <f>C35-C36</f>
        <v>110262945</v>
      </c>
      <c r="D37" s="361">
        <f>LN_IA17-LN_IA18</f>
        <v>118935227</v>
      </c>
      <c r="E37" s="361">
        <f>D37-C37</f>
        <v>8672282</v>
      </c>
      <c r="F37" s="362">
        <f>IF(C37=0,0,E37/C37)</f>
        <v>0.07865091939998518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143</v>
      </c>
      <c r="B39" s="356" t="s">
        <v>737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738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718</v>
      </c>
      <c r="C42" s="361">
        <v>47804272</v>
      </c>
      <c r="D42" s="361">
        <v>46820672</v>
      </c>
      <c r="E42" s="361">
        <f aca="true" t="shared" si="4" ref="E42:E53">D42-C42</f>
        <v>-983600</v>
      </c>
      <c r="F42" s="362">
        <f aca="true" t="shared" si="5" ref="F42:F53">IF(C42=0,0,E42/C42)</f>
        <v>-0.02057556697024902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719</v>
      </c>
      <c r="C43" s="361">
        <v>23251013</v>
      </c>
      <c r="D43" s="361">
        <v>24363470</v>
      </c>
      <c r="E43" s="361">
        <f t="shared" si="4"/>
        <v>1112457</v>
      </c>
      <c r="F43" s="362">
        <f t="shared" si="5"/>
        <v>0.047845528278703385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720</v>
      </c>
      <c r="C44" s="366">
        <f>IF(C42=0,0,C43/C42)</f>
        <v>0.4863793972220725</v>
      </c>
      <c r="D44" s="366">
        <f>IF(LN_IB1=0,0,LN_IB2/LN_IB1)</f>
        <v>0.5203571191801775</v>
      </c>
      <c r="E44" s="367">
        <f t="shared" si="4"/>
        <v>0.033977721958104945</v>
      </c>
      <c r="F44" s="362">
        <f t="shared" si="5"/>
        <v>0.06985847293731337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254</v>
      </c>
      <c r="C45" s="369">
        <v>3837</v>
      </c>
      <c r="D45" s="369">
        <v>3712</v>
      </c>
      <c r="E45" s="369">
        <f t="shared" si="4"/>
        <v>-125</v>
      </c>
      <c r="F45" s="362">
        <f t="shared" si="5"/>
        <v>-0.032577534532186606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721</v>
      </c>
      <c r="C46" s="372">
        <v>1.03192</v>
      </c>
      <c r="D46" s="372">
        <v>1.03265</v>
      </c>
      <c r="E46" s="373">
        <f t="shared" si="4"/>
        <v>0.0007300000000001194</v>
      </c>
      <c r="F46" s="362">
        <f t="shared" si="5"/>
        <v>0.0007074191797814942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722</v>
      </c>
      <c r="C47" s="376">
        <f>C45*C46</f>
        <v>3959.4770399999998</v>
      </c>
      <c r="D47" s="376">
        <f>LN_IB4*LN_IB5</f>
        <v>3833.1968</v>
      </c>
      <c r="E47" s="376">
        <f t="shared" si="4"/>
        <v>-126.2802399999996</v>
      </c>
      <c r="F47" s="362">
        <f t="shared" si="5"/>
        <v>-0.031893161325163184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723</v>
      </c>
      <c r="C48" s="378">
        <f>IF(C47=0,0,C43/C47)</f>
        <v>5872.243421318084</v>
      </c>
      <c r="D48" s="378">
        <f>IF(LN_IB6=0,0,LN_IB2/LN_IB6)</f>
        <v>6355.91420717037</v>
      </c>
      <c r="E48" s="378">
        <f t="shared" si="4"/>
        <v>483.6707858522859</v>
      </c>
      <c r="F48" s="362">
        <f t="shared" si="5"/>
        <v>0.082365588609016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739</v>
      </c>
      <c r="C49" s="378">
        <f>C21-C48</f>
        <v>77.2191511715655</v>
      </c>
      <c r="D49" s="378">
        <f>LN_IA7-LN_IB7</f>
        <v>-148.59604291189498</v>
      </c>
      <c r="E49" s="378">
        <f t="shared" si="4"/>
        <v>-225.81519408346048</v>
      </c>
      <c r="F49" s="362">
        <f t="shared" si="5"/>
        <v>-2.9243418330479223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740</v>
      </c>
      <c r="C50" s="391">
        <f>C49*C47</f>
        <v>305747.45611210266</v>
      </c>
      <c r="D50" s="391">
        <f>LN_IB8*LN_IB6</f>
        <v>-569597.8761825386</v>
      </c>
      <c r="E50" s="391">
        <f t="shared" si="4"/>
        <v>-875345.3322946413</v>
      </c>
      <c r="F50" s="362">
        <f t="shared" si="5"/>
        <v>-2.862968488521765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256</v>
      </c>
      <c r="C51" s="369">
        <v>15336</v>
      </c>
      <c r="D51" s="369">
        <v>13588</v>
      </c>
      <c r="E51" s="369">
        <f t="shared" si="4"/>
        <v>-1748</v>
      </c>
      <c r="F51" s="362">
        <f t="shared" si="5"/>
        <v>-0.11398017736045905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724</v>
      </c>
      <c r="C52" s="378">
        <f>IF(C51=0,0,C43/C51)</f>
        <v>1516.1067423056859</v>
      </c>
      <c r="D52" s="378">
        <f>IF(LN_IB10=0,0,LN_IB2/LN_IB10)</f>
        <v>1793.0136885487195</v>
      </c>
      <c r="E52" s="378">
        <f t="shared" si="4"/>
        <v>276.90694624303364</v>
      </c>
      <c r="F52" s="362">
        <f t="shared" si="5"/>
        <v>0.1826434369798496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725</v>
      </c>
      <c r="C53" s="379">
        <f>IF(C45=0,0,C51/C45)</f>
        <v>3.99687255668491</v>
      </c>
      <c r="D53" s="379">
        <f>IF(LN_IB4=0,0,LN_IB10/LN_IB4)</f>
        <v>3.6605603448275863</v>
      </c>
      <c r="E53" s="379">
        <f t="shared" si="4"/>
        <v>-0.33631221185732363</v>
      </c>
      <c r="F53" s="362">
        <f t="shared" si="5"/>
        <v>-0.08414384173816841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741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727</v>
      </c>
      <c r="C56" s="361">
        <v>131992934</v>
      </c>
      <c r="D56" s="361">
        <v>132044333</v>
      </c>
      <c r="E56" s="361">
        <f aca="true" t="shared" si="6" ref="E56:E63">D56-C56</f>
        <v>51399</v>
      </c>
      <c r="F56" s="362">
        <f aca="true" t="shared" si="7" ref="F56:F63">IF(C56=0,0,E56/C56)</f>
        <v>0.0003894072087222487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728</v>
      </c>
      <c r="C57" s="361">
        <v>61235702</v>
      </c>
      <c r="D57" s="361">
        <v>57643727</v>
      </c>
      <c r="E57" s="361">
        <f t="shared" si="6"/>
        <v>-3591975</v>
      </c>
      <c r="F57" s="362">
        <f t="shared" si="7"/>
        <v>-0.058658182770567405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729</v>
      </c>
      <c r="C58" s="366">
        <f>IF(C56=0,0,C57/C56)</f>
        <v>0.4639316677360926</v>
      </c>
      <c r="D58" s="366">
        <f>IF(LN_IB13=0,0,LN_IB14/LN_IB13)</f>
        <v>0.43654828412817986</v>
      </c>
      <c r="E58" s="367">
        <f t="shared" si="6"/>
        <v>-0.02738338360791276</v>
      </c>
      <c r="F58" s="362">
        <f t="shared" si="7"/>
        <v>-0.05902460537246573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730</v>
      </c>
      <c r="C59" s="366">
        <f>IF(C42=0,0,C56/C42)</f>
        <v>2.7611116847465014</v>
      </c>
      <c r="D59" s="366">
        <f>IF(LN_IB1=0,0,LN_IB13/LN_IB1)</f>
        <v>2.8202143916259894</v>
      </c>
      <c r="E59" s="367">
        <f t="shared" si="6"/>
        <v>0.05910270687948804</v>
      </c>
      <c r="F59" s="362">
        <f t="shared" si="7"/>
        <v>0.021405402471039225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731</v>
      </c>
      <c r="C60" s="376">
        <f>C59*C45</f>
        <v>10594.385534372326</v>
      </c>
      <c r="D60" s="376">
        <f>LN_IB16*LN_IB4</f>
        <v>10468.635821715672</v>
      </c>
      <c r="E60" s="376">
        <f t="shared" si="6"/>
        <v>-125.74971265665408</v>
      </c>
      <c r="F60" s="362">
        <f t="shared" si="7"/>
        <v>-0.011869467299323106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732</v>
      </c>
      <c r="C61" s="378">
        <f>IF(C60=0,0,C57/C60)</f>
        <v>5780.014499314515</v>
      </c>
      <c r="D61" s="378">
        <f>IF(LN_IB17=0,0,LN_IB14/LN_IB17)</f>
        <v>5506.326514905258</v>
      </c>
      <c r="E61" s="378">
        <f t="shared" si="6"/>
        <v>-273.6879844092573</v>
      </c>
      <c r="F61" s="362">
        <f t="shared" si="7"/>
        <v>-0.04735074357369095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742</v>
      </c>
      <c r="C62" s="378">
        <f>C32-C61</f>
        <v>387.03744961839584</v>
      </c>
      <c r="D62" s="378">
        <f>LN_IA16-LN_IB18</f>
        <v>1603.9195813856059</v>
      </c>
      <c r="E62" s="378">
        <f t="shared" si="6"/>
        <v>1216.88213176721</v>
      </c>
      <c r="F62" s="362">
        <f t="shared" si="7"/>
        <v>3.1440940223407563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743</v>
      </c>
      <c r="C63" s="361">
        <f>C62*C60</f>
        <v>4100423.957497491</v>
      </c>
      <c r="D63" s="361">
        <f>LN_IB19*LN_IB17</f>
        <v>16790849.984844558</v>
      </c>
      <c r="E63" s="361">
        <f t="shared" si="6"/>
        <v>12690426.027347067</v>
      </c>
      <c r="F63" s="362">
        <f t="shared" si="7"/>
        <v>3.094905833857262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744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734</v>
      </c>
      <c r="C66" s="361">
        <f>C42+C56</f>
        <v>179797206</v>
      </c>
      <c r="D66" s="361">
        <f>LN_IB1+LN_IB13</f>
        <v>178865005</v>
      </c>
      <c r="E66" s="361">
        <f>D66-C66</f>
        <v>-932201</v>
      </c>
      <c r="F66" s="362">
        <f>IF(C66=0,0,E66/C66)</f>
        <v>-0.005184735740554278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735</v>
      </c>
      <c r="C67" s="361">
        <f>C43+C57</f>
        <v>84486715</v>
      </c>
      <c r="D67" s="361">
        <f>LN_IB2+LN_IB14</f>
        <v>82007197</v>
      </c>
      <c r="E67" s="361">
        <f>D67-C67</f>
        <v>-2479518</v>
      </c>
      <c r="F67" s="362">
        <f>IF(C67=0,0,E67/C67)</f>
        <v>-0.029348022348839105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736</v>
      </c>
      <c r="C68" s="361">
        <f>C66-C67</f>
        <v>95310491</v>
      </c>
      <c r="D68" s="361">
        <f>LN_IB21-LN_IB22</f>
        <v>96857808</v>
      </c>
      <c r="E68" s="361">
        <f>D68-C68</f>
        <v>1547317</v>
      </c>
      <c r="F68" s="362">
        <f>IF(C68=0,0,E68/C68)</f>
        <v>0.016234487764835877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745</v>
      </c>
      <c r="C70" s="353">
        <f>C50+C63</f>
        <v>4406171.413609594</v>
      </c>
      <c r="D70" s="353">
        <f>LN_IB9+LN_IB20</f>
        <v>16221252.108662019</v>
      </c>
      <c r="E70" s="361">
        <f>D70-C70</f>
        <v>11815080.695052424</v>
      </c>
      <c r="F70" s="362">
        <f>IF(C70=0,0,E70/C70)</f>
        <v>2.6814845783254158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746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747</v>
      </c>
      <c r="C73" s="400">
        <v>179797206</v>
      </c>
      <c r="D73" s="400">
        <v>178865005</v>
      </c>
      <c r="E73" s="400">
        <f>D73-C73</f>
        <v>-932201</v>
      </c>
      <c r="F73" s="401">
        <f>IF(C73=0,0,E73/C73)</f>
        <v>-0.005184735740554278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748</v>
      </c>
      <c r="C74" s="400">
        <v>84486715</v>
      </c>
      <c r="D74" s="400">
        <v>82007198</v>
      </c>
      <c r="E74" s="400">
        <f>D74-C74</f>
        <v>-2479517</v>
      </c>
      <c r="F74" s="401">
        <f>IF(C74=0,0,E74/C74)</f>
        <v>-0.029348010512658704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749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750</v>
      </c>
      <c r="C76" s="353">
        <f>C73-C74</f>
        <v>95310491</v>
      </c>
      <c r="D76" s="353">
        <f>LN_IB32-LN_IB33</f>
        <v>96857807</v>
      </c>
      <c r="E76" s="400">
        <f>D76-C76</f>
        <v>1547316</v>
      </c>
      <c r="F76" s="401">
        <f>IF(C76=0,0,E76/C76)</f>
        <v>0.016234477272811448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751</v>
      </c>
      <c r="C77" s="366">
        <f>IF(C73=0,0,C76/C73)</f>
        <v>0.5300999560582715</v>
      </c>
      <c r="D77" s="366">
        <f>IF(LN_IB1=0,0,LN_IB34/LN_IB32)</f>
        <v>0.5415134559160971</v>
      </c>
      <c r="E77" s="405">
        <f>D77-C77</f>
        <v>0.011413499857825582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153</v>
      </c>
      <c r="B79" s="356" t="s">
        <v>752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753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718</v>
      </c>
      <c r="C83" s="361">
        <v>2087042</v>
      </c>
      <c r="D83" s="361">
        <v>3370281</v>
      </c>
      <c r="E83" s="361">
        <f aca="true" t="shared" si="8" ref="E83:E95">D83-C83</f>
        <v>1283239</v>
      </c>
      <c r="F83" s="362">
        <f aca="true" t="shared" si="9" ref="F83:F95">IF(C83=0,0,E83/C83)</f>
        <v>0.6148601705188491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719</v>
      </c>
      <c r="C84" s="361">
        <v>644269</v>
      </c>
      <c r="D84" s="361">
        <v>954118</v>
      </c>
      <c r="E84" s="361">
        <f t="shared" si="8"/>
        <v>309849</v>
      </c>
      <c r="F84" s="362">
        <f t="shared" si="9"/>
        <v>0.4809311017602896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720</v>
      </c>
      <c r="C85" s="366">
        <f>IF(C83=0,0,C84/C83)</f>
        <v>0.3086995853461502</v>
      </c>
      <c r="D85" s="366">
        <f>IF(LN_IC1=0,0,LN_IC2/LN_IC1)</f>
        <v>0.2830974627931618</v>
      </c>
      <c r="E85" s="367">
        <f t="shared" si="8"/>
        <v>-0.025602122552988438</v>
      </c>
      <c r="F85" s="362">
        <f t="shared" si="9"/>
        <v>-0.08293539663903446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254</v>
      </c>
      <c r="C86" s="369">
        <v>176</v>
      </c>
      <c r="D86" s="369">
        <v>182</v>
      </c>
      <c r="E86" s="369">
        <f t="shared" si="8"/>
        <v>6</v>
      </c>
      <c r="F86" s="362">
        <f t="shared" si="9"/>
        <v>0.03409090909090909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721</v>
      </c>
      <c r="C87" s="372">
        <v>0.9304</v>
      </c>
      <c r="D87" s="372">
        <v>0.98663</v>
      </c>
      <c r="E87" s="373">
        <f t="shared" si="8"/>
        <v>0.05623</v>
      </c>
      <c r="F87" s="362">
        <f t="shared" si="9"/>
        <v>0.06043637145313844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722</v>
      </c>
      <c r="C88" s="376">
        <f>C86*C87</f>
        <v>163.7504</v>
      </c>
      <c r="D88" s="376">
        <f>LN_IC4*LN_IC5</f>
        <v>179.56666</v>
      </c>
      <c r="E88" s="376">
        <f t="shared" si="8"/>
        <v>15.81626</v>
      </c>
      <c r="F88" s="362">
        <f t="shared" si="9"/>
        <v>0.09658761138904087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723</v>
      </c>
      <c r="C89" s="378">
        <f>IF(C88=0,0,C84/C88)</f>
        <v>3934.457564683811</v>
      </c>
      <c r="D89" s="378">
        <f>IF(LN_IC6=0,0,LN_IC2/LN_IC6)</f>
        <v>5313.447384943284</v>
      </c>
      <c r="E89" s="378">
        <f t="shared" si="8"/>
        <v>1378.9898202594732</v>
      </c>
      <c r="F89" s="362">
        <f t="shared" si="9"/>
        <v>0.35049045455146355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754</v>
      </c>
      <c r="C90" s="378">
        <f>C48-C89</f>
        <v>1937.785856634273</v>
      </c>
      <c r="D90" s="378">
        <f>LN_IB7-LN_IC7</f>
        <v>1042.4668222270857</v>
      </c>
      <c r="E90" s="378">
        <f t="shared" si="8"/>
        <v>-895.3190344071872</v>
      </c>
      <c r="F90" s="362">
        <f t="shared" si="9"/>
        <v>-0.4620319790971438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755</v>
      </c>
      <c r="C91" s="378">
        <f>C21-C89</f>
        <v>2015.0050078058384</v>
      </c>
      <c r="D91" s="378">
        <f>LN_IA7-LN_IC7</f>
        <v>893.8707793151907</v>
      </c>
      <c r="E91" s="378">
        <f t="shared" si="8"/>
        <v>-1121.1342284906477</v>
      </c>
      <c r="F91" s="362">
        <f t="shared" si="9"/>
        <v>-0.5563927752772503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740</v>
      </c>
      <c r="C92" s="353">
        <f>C91*C88</f>
        <v>329957.8760302092</v>
      </c>
      <c r="D92" s="353">
        <f>LN_IC9*LN_IC6</f>
        <v>160509.3903132259</v>
      </c>
      <c r="E92" s="353">
        <f t="shared" si="8"/>
        <v>-169448.4857169833</v>
      </c>
      <c r="F92" s="362">
        <f t="shared" si="9"/>
        <v>-0.5135458130463584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256</v>
      </c>
      <c r="C93" s="369">
        <v>900</v>
      </c>
      <c r="D93" s="369">
        <v>839</v>
      </c>
      <c r="E93" s="369">
        <f t="shared" si="8"/>
        <v>-61</v>
      </c>
      <c r="F93" s="362">
        <f t="shared" si="9"/>
        <v>-0.06777777777777778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724</v>
      </c>
      <c r="C94" s="411">
        <f>IF(C93=0,0,C84/C93)</f>
        <v>715.8544444444444</v>
      </c>
      <c r="D94" s="411">
        <f>IF(LN_IC11=0,0,LN_IC2/LN_IC11)</f>
        <v>1137.2085816448152</v>
      </c>
      <c r="E94" s="411">
        <f t="shared" si="8"/>
        <v>421.3541372003708</v>
      </c>
      <c r="F94" s="362">
        <f t="shared" si="9"/>
        <v>0.5886030888966157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725</v>
      </c>
      <c r="C95" s="379">
        <f>IF(C86=0,0,C93/C86)</f>
        <v>5.113636363636363</v>
      </c>
      <c r="D95" s="379">
        <f>IF(LN_IC4=0,0,LN_IC11/LN_IC4)</f>
        <v>4.6098901098901095</v>
      </c>
      <c r="E95" s="379">
        <f t="shared" si="8"/>
        <v>-0.5037462537462538</v>
      </c>
      <c r="F95" s="362">
        <f t="shared" si="9"/>
        <v>-0.09851037851037853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756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727</v>
      </c>
      <c r="C98" s="361">
        <v>6233836</v>
      </c>
      <c r="D98" s="361">
        <v>9119384</v>
      </c>
      <c r="E98" s="361">
        <f aca="true" t="shared" si="10" ref="E98:E106">D98-C98</f>
        <v>2885548</v>
      </c>
      <c r="F98" s="362">
        <f aca="true" t="shared" si="11" ref="F98:F106">IF(C98=0,0,E98/C98)</f>
        <v>0.4628848112141545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728</v>
      </c>
      <c r="C99" s="361">
        <v>1759465</v>
      </c>
      <c r="D99" s="361">
        <v>2501320</v>
      </c>
      <c r="E99" s="361">
        <f t="shared" si="10"/>
        <v>741855</v>
      </c>
      <c r="F99" s="362">
        <f t="shared" si="11"/>
        <v>0.42163669069859305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729</v>
      </c>
      <c r="C100" s="366">
        <f>IF(C98=0,0,C99/C98)</f>
        <v>0.28224435163196465</v>
      </c>
      <c r="D100" s="366">
        <f>IF(LN_IC14=0,0,LN_IC15/LN_IC14)</f>
        <v>0.27428607019947837</v>
      </c>
      <c r="E100" s="367">
        <f t="shared" si="10"/>
        <v>-0.00795828143248628</v>
      </c>
      <c r="F100" s="362">
        <f t="shared" si="11"/>
        <v>-0.0281964240788902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730</v>
      </c>
      <c r="C101" s="366">
        <f>IF(C83=0,0,C98/C83)</f>
        <v>2.98692407723467</v>
      </c>
      <c r="D101" s="366">
        <f>IF(LN_IC1=0,0,LN_IC14/LN_IC1)</f>
        <v>2.7058230456154844</v>
      </c>
      <c r="E101" s="367">
        <f t="shared" si="10"/>
        <v>-0.28110103161918554</v>
      </c>
      <c r="F101" s="362">
        <f t="shared" si="11"/>
        <v>-0.09411053791478766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731</v>
      </c>
      <c r="C102" s="376">
        <f>C101*C86</f>
        <v>525.6986375933019</v>
      </c>
      <c r="D102" s="376">
        <f>LN_IC17*LN_IC4</f>
        <v>492.45979430201817</v>
      </c>
      <c r="E102" s="376">
        <f t="shared" si="10"/>
        <v>-33.23884329128373</v>
      </c>
      <c r="F102" s="362">
        <f t="shared" si="11"/>
        <v>-0.06322794261642811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732</v>
      </c>
      <c r="C103" s="378">
        <f>IF(C102=0,0,C99/C102)</f>
        <v>3346.9080461288568</v>
      </c>
      <c r="D103" s="378">
        <f>IF(LN_IC18=0,0,LN_IC15/LN_IC18)</f>
        <v>5079.236983285539</v>
      </c>
      <c r="E103" s="378">
        <f t="shared" si="10"/>
        <v>1732.3289371566825</v>
      </c>
      <c r="F103" s="362">
        <f t="shared" si="11"/>
        <v>0.517590837059402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757</v>
      </c>
      <c r="C104" s="378">
        <f>C61-C103</f>
        <v>2433.106453185658</v>
      </c>
      <c r="D104" s="378">
        <f>LN_IB18-LN_IC19</f>
        <v>427.0895316197184</v>
      </c>
      <c r="E104" s="378">
        <f t="shared" si="10"/>
        <v>-2006.0169215659398</v>
      </c>
      <c r="F104" s="362">
        <f t="shared" si="11"/>
        <v>-0.8244673877460102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758</v>
      </c>
      <c r="C105" s="378">
        <f>C32-C103</f>
        <v>2820.143902804054</v>
      </c>
      <c r="D105" s="378">
        <f>LN_IA16-LN_IC19</f>
        <v>2031.0091130053243</v>
      </c>
      <c r="E105" s="378">
        <f t="shared" si="10"/>
        <v>-789.1347897987298</v>
      </c>
      <c r="F105" s="362">
        <f t="shared" si="11"/>
        <v>-0.27982075276871415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743</v>
      </c>
      <c r="C106" s="361">
        <f>C105*C102</f>
        <v>1482545.8075211484</v>
      </c>
      <c r="D106" s="361">
        <f>LN_IC21*LN_IC18</f>
        <v>1000190.3300161264</v>
      </c>
      <c r="E106" s="361">
        <f t="shared" si="10"/>
        <v>-482355.47750502196</v>
      </c>
      <c r="F106" s="362">
        <f t="shared" si="11"/>
        <v>-0.3253562048861962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759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734</v>
      </c>
      <c r="C109" s="361">
        <f>C83+C98</f>
        <v>8320878</v>
      </c>
      <c r="D109" s="361">
        <f>LN_IC1+LN_IC14</f>
        <v>12489665</v>
      </c>
      <c r="E109" s="361">
        <f>D109-C109</f>
        <v>4168787</v>
      </c>
      <c r="F109" s="362">
        <f>IF(C109=0,0,E109/C109)</f>
        <v>0.5010032595117967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735</v>
      </c>
      <c r="C110" s="361">
        <f>C84+C99</f>
        <v>2403734</v>
      </c>
      <c r="D110" s="361">
        <f>LN_IC2+LN_IC15</f>
        <v>3455438</v>
      </c>
      <c r="E110" s="361">
        <f>D110-C110</f>
        <v>1051704</v>
      </c>
      <c r="F110" s="362">
        <f>IF(C110=0,0,E110/C110)</f>
        <v>0.4375292773659648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736</v>
      </c>
      <c r="C111" s="361">
        <f>C109-C110</f>
        <v>5917144</v>
      </c>
      <c r="D111" s="361">
        <f>LN_IC23-LN_IC24</f>
        <v>9034227</v>
      </c>
      <c r="E111" s="361">
        <f>D111-C111</f>
        <v>3117083</v>
      </c>
      <c r="F111" s="362">
        <f>IF(C111=0,0,E111/C111)</f>
        <v>0.5267884303643785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745</v>
      </c>
      <c r="C113" s="361">
        <f>C92+C106</f>
        <v>1812503.6835513576</v>
      </c>
      <c r="D113" s="361">
        <f>LN_IC10+LN_IC22</f>
        <v>1160699.7203293522</v>
      </c>
      <c r="E113" s="361">
        <f>D113-C113</f>
        <v>-651803.9632220054</v>
      </c>
      <c r="F113" s="362">
        <f>IF(C113=0,0,E113/C113)</f>
        <v>-0.35961524886111296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436</v>
      </c>
      <c r="B115" s="356" t="s">
        <v>760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761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718</v>
      </c>
      <c r="C118" s="361">
        <v>14080149</v>
      </c>
      <c r="D118" s="361">
        <v>14360241</v>
      </c>
      <c r="E118" s="361">
        <f aca="true" t="shared" si="12" ref="E118:E130">D118-C118</f>
        <v>280092</v>
      </c>
      <c r="F118" s="362">
        <f aca="true" t="shared" si="13" ref="F118:F130">IF(C118=0,0,E118/C118)</f>
        <v>0.019892687215170804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719</v>
      </c>
      <c r="C119" s="361">
        <v>4457855</v>
      </c>
      <c r="D119" s="361">
        <v>5196447</v>
      </c>
      <c r="E119" s="361">
        <f t="shared" si="12"/>
        <v>738592</v>
      </c>
      <c r="F119" s="362">
        <f t="shared" si="13"/>
        <v>0.16568327143884223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720</v>
      </c>
      <c r="C120" s="366">
        <f>IF(C118=0,0,C119/C118)</f>
        <v>0.3166056694428447</v>
      </c>
      <c r="D120" s="366">
        <f>IF(LN_ID1=0,0,LN_1D2/LN_ID1)</f>
        <v>0.3618634951878593</v>
      </c>
      <c r="E120" s="367">
        <f t="shared" si="12"/>
        <v>0.045257825745014635</v>
      </c>
      <c r="F120" s="362">
        <f t="shared" si="13"/>
        <v>0.1429469845712438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254</v>
      </c>
      <c r="C121" s="369">
        <v>1145</v>
      </c>
      <c r="D121" s="369">
        <v>1166</v>
      </c>
      <c r="E121" s="369">
        <f t="shared" si="12"/>
        <v>21</v>
      </c>
      <c r="F121" s="362">
        <f t="shared" si="13"/>
        <v>0.01834061135371179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721</v>
      </c>
      <c r="C122" s="372">
        <v>0.94884</v>
      </c>
      <c r="D122" s="372">
        <v>0.94313</v>
      </c>
      <c r="E122" s="373">
        <f t="shared" si="12"/>
        <v>-0.005709999999999993</v>
      </c>
      <c r="F122" s="362">
        <f t="shared" si="13"/>
        <v>-0.006017874457231981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722</v>
      </c>
      <c r="C123" s="376">
        <f>C121*C122</f>
        <v>1086.4218</v>
      </c>
      <c r="D123" s="376">
        <f>LN_ID4*LN_ID5</f>
        <v>1099.68958</v>
      </c>
      <c r="E123" s="376">
        <f t="shared" si="12"/>
        <v>13.267779999999902</v>
      </c>
      <c r="F123" s="362">
        <f t="shared" si="13"/>
        <v>0.01221236539988419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723</v>
      </c>
      <c r="C124" s="378">
        <f>IF(C123=0,0,C119/C123)</f>
        <v>4103.2451668403555</v>
      </c>
      <c r="D124" s="378">
        <f>IF(LN_ID6=0,0,LN_1D2/LN_ID6)</f>
        <v>4725.376228444395</v>
      </c>
      <c r="E124" s="378">
        <f t="shared" si="12"/>
        <v>622.1310616040391</v>
      </c>
      <c r="F124" s="362">
        <f t="shared" si="13"/>
        <v>0.1516192760383124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762</v>
      </c>
      <c r="C125" s="378">
        <f>C48-C124</f>
        <v>1768.9982544777286</v>
      </c>
      <c r="D125" s="378">
        <f>LN_IB7-LN_ID7</f>
        <v>1630.5379787259753</v>
      </c>
      <c r="E125" s="378">
        <f t="shared" si="12"/>
        <v>-138.46027575175322</v>
      </c>
      <c r="F125" s="362">
        <f t="shared" si="13"/>
        <v>-0.07827044226939141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763</v>
      </c>
      <c r="C126" s="378">
        <f>C21-C124</f>
        <v>1846.217405649294</v>
      </c>
      <c r="D126" s="378">
        <f>LN_IA7-LN_ID7</f>
        <v>1481.9419358140804</v>
      </c>
      <c r="E126" s="378">
        <f t="shared" si="12"/>
        <v>-364.2754698352137</v>
      </c>
      <c r="F126" s="362">
        <f t="shared" si="13"/>
        <v>-0.1973090865249979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740</v>
      </c>
      <c r="C127" s="391">
        <f>C126*C123</f>
        <v>2005770.8370368364</v>
      </c>
      <c r="D127" s="391">
        <f>LN_ID9*LN_ID6</f>
        <v>1629676.104979773</v>
      </c>
      <c r="E127" s="391">
        <f t="shared" si="12"/>
        <v>-376094.7320570634</v>
      </c>
      <c r="F127" s="362">
        <f t="shared" si="13"/>
        <v>-0.18750633178647433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256</v>
      </c>
      <c r="C128" s="369">
        <v>5187</v>
      </c>
      <c r="D128" s="369">
        <v>5538</v>
      </c>
      <c r="E128" s="369">
        <f t="shared" si="12"/>
        <v>351</v>
      </c>
      <c r="F128" s="362">
        <f t="shared" si="13"/>
        <v>0.06766917293233082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724</v>
      </c>
      <c r="C129" s="378">
        <f>IF(C128=0,0,C119/C128)</f>
        <v>859.428378638905</v>
      </c>
      <c r="D129" s="378">
        <f>IF(LN_ID11=0,0,LN_1D2/LN_ID11)</f>
        <v>938.3255687973998</v>
      </c>
      <c r="E129" s="378">
        <f t="shared" si="12"/>
        <v>78.89719015849482</v>
      </c>
      <c r="F129" s="362">
        <f t="shared" si="13"/>
        <v>0.09180193733356348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725</v>
      </c>
      <c r="C130" s="379">
        <f>IF(C121=0,0,C128/C121)</f>
        <v>4.530131004366813</v>
      </c>
      <c r="D130" s="379">
        <f>IF(LN_ID4=0,0,LN_ID11/LN_ID4)</f>
        <v>4.7495711835334475</v>
      </c>
      <c r="E130" s="379">
        <f t="shared" si="12"/>
        <v>0.21944017916663494</v>
      </c>
      <c r="F130" s="362">
        <f t="shared" si="13"/>
        <v>0.048440139800616344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764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727</v>
      </c>
      <c r="C133" s="361">
        <v>20632554</v>
      </c>
      <c r="D133" s="361">
        <v>25087435</v>
      </c>
      <c r="E133" s="361">
        <f aca="true" t="shared" si="14" ref="E133:E141">D133-C133</f>
        <v>4454881</v>
      </c>
      <c r="F133" s="362">
        <f aca="true" t="shared" si="15" ref="F133:F141">IF(C133=0,0,E133/C133)</f>
        <v>0.21591515039776463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728</v>
      </c>
      <c r="C134" s="361">
        <v>5777117</v>
      </c>
      <c r="D134" s="361">
        <v>6755006</v>
      </c>
      <c r="E134" s="361">
        <f t="shared" si="14"/>
        <v>977889</v>
      </c>
      <c r="F134" s="362">
        <f t="shared" si="15"/>
        <v>0.1692693777882636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729</v>
      </c>
      <c r="C135" s="366">
        <f>IF(C133=0,0,C134/C133)</f>
        <v>0.2800000911181427</v>
      </c>
      <c r="D135" s="366">
        <f>IF(LN_ID14=0,0,LN_ID15/LN_ID14)</f>
        <v>0.269258535198995</v>
      </c>
      <c r="E135" s="367">
        <f t="shared" si="14"/>
        <v>-0.010741555919147716</v>
      </c>
      <c r="F135" s="362">
        <f t="shared" si="15"/>
        <v>-0.03836268722718181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730</v>
      </c>
      <c r="C136" s="366">
        <f>IF(C118=0,0,C133/C118)</f>
        <v>1.4653647486258845</v>
      </c>
      <c r="D136" s="366">
        <f>IF(LN_ID1=0,0,LN_ID14/LN_ID1)</f>
        <v>1.7470065439709543</v>
      </c>
      <c r="E136" s="367">
        <f t="shared" si="14"/>
        <v>0.28164179534506983</v>
      </c>
      <c r="F136" s="362">
        <f t="shared" si="15"/>
        <v>0.19219910647446214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731</v>
      </c>
      <c r="C137" s="376">
        <f>C136*C121</f>
        <v>1677.8426371766377</v>
      </c>
      <c r="D137" s="376">
        <f>LN_ID17*LN_ID4</f>
        <v>2037.0096302701327</v>
      </c>
      <c r="E137" s="376">
        <f t="shared" si="14"/>
        <v>359.16699309349497</v>
      </c>
      <c r="F137" s="362">
        <f t="shared" si="15"/>
        <v>0.2140647669425527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732</v>
      </c>
      <c r="C138" s="378">
        <f>IF(C137=0,0,C134/C137)</f>
        <v>3443.181661971202</v>
      </c>
      <c r="D138" s="378">
        <f>IF(LN_ID18=0,0,LN_ID15/LN_ID18)</f>
        <v>3316.138470638552</v>
      </c>
      <c r="E138" s="378">
        <f t="shared" si="14"/>
        <v>-127.04319133265017</v>
      </c>
      <c r="F138" s="362">
        <f t="shared" si="15"/>
        <v>-0.03689703414019656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765</v>
      </c>
      <c r="C139" s="378">
        <f>C61-C138</f>
        <v>2336.832837343313</v>
      </c>
      <c r="D139" s="378">
        <f>LN_IB18-LN_ID19</f>
        <v>2190.1880442667057</v>
      </c>
      <c r="E139" s="378">
        <f t="shared" si="14"/>
        <v>-146.64479307660713</v>
      </c>
      <c r="F139" s="362">
        <f t="shared" si="15"/>
        <v>-0.0627536513237823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766</v>
      </c>
      <c r="C140" s="378">
        <f>C32-C138</f>
        <v>2723.8702869617086</v>
      </c>
      <c r="D140" s="378">
        <f>LN_IA16-LN_ID19</f>
        <v>3794.1076256523115</v>
      </c>
      <c r="E140" s="378">
        <f t="shared" si="14"/>
        <v>1070.2373386906029</v>
      </c>
      <c r="F140" s="362">
        <f t="shared" si="15"/>
        <v>0.3929105375588129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743</v>
      </c>
      <c r="C141" s="353">
        <f>C140*C137</f>
        <v>4570225.705602918</v>
      </c>
      <c r="D141" s="353">
        <f>LN_ID21*LN_ID18</f>
        <v>7728633.771735106</v>
      </c>
      <c r="E141" s="353">
        <f t="shared" si="14"/>
        <v>3158408.066132188</v>
      </c>
      <c r="F141" s="362">
        <f t="shared" si="15"/>
        <v>0.691083607153166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767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734</v>
      </c>
      <c r="C144" s="361">
        <f>C118+C133</f>
        <v>34712703</v>
      </c>
      <c r="D144" s="361">
        <f>LN_ID1+LN_ID14</f>
        <v>39447676</v>
      </c>
      <c r="E144" s="361">
        <f>D144-C144</f>
        <v>4734973</v>
      </c>
      <c r="F144" s="362">
        <f>IF(C144=0,0,E144/C144)</f>
        <v>0.13640461821714087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735</v>
      </c>
      <c r="C145" s="361">
        <f>C119+C134</f>
        <v>10234972</v>
      </c>
      <c r="D145" s="361">
        <f>LN_1D2+LN_ID15</f>
        <v>11951453</v>
      </c>
      <c r="E145" s="361">
        <f>D145-C145</f>
        <v>1716481</v>
      </c>
      <c r="F145" s="362">
        <f>IF(C145=0,0,E145/C145)</f>
        <v>0.16770744463199314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736</v>
      </c>
      <c r="C146" s="361">
        <f>C144-C145</f>
        <v>24477731</v>
      </c>
      <c r="D146" s="361">
        <f>LN_ID23-LN_ID24</f>
        <v>27496223</v>
      </c>
      <c r="E146" s="361">
        <f>D146-C146</f>
        <v>3018492</v>
      </c>
      <c r="F146" s="362">
        <f>IF(C146=0,0,E146/C146)</f>
        <v>0.12331584165215313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745</v>
      </c>
      <c r="C148" s="361">
        <f>C127+C141</f>
        <v>6575996.542639755</v>
      </c>
      <c r="D148" s="361">
        <f>LN_ID10+LN_ID22</f>
        <v>9358309.876714878</v>
      </c>
      <c r="E148" s="361">
        <f>D148-C148</f>
        <v>2782313.334075123</v>
      </c>
      <c r="F148" s="415">
        <f>IF(C148=0,0,E148/C148)</f>
        <v>0.42310139855369194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457</v>
      </c>
      <c r="B150" s="356" t="s">
        <v>768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769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718</v>
      </c>
      <c r="C153" s="361">
        <v>5115833</v>
      </c>
      <c r="D153" s="361">
        <v>4671749</v>
      </c>
      <c r="E153" s="361">
        <f aca="true" t="shared" si="16" ref="E153:E165">D153-C153</f>
        <v>-444084</v>
      </c>
      <c r="F153" s="362">
        <f aca="true" t="shared" si="17" ref="F153:F165">IF(C153=0,0,E153/C153)</f>
        <v>-0.08680580464608599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719</v>
      </c>
      <c r="C154" s="361">
        <v>1048266</v>
      </c>
      <c r="D154" s="361">
        <v>1864596</v>
      </c>
      <c r="E154" s="361">
        <f t="shared" si="16"/>
        <v>816330</v>
      </c>
      <c r="F154" s="362">
        <f t="shared" si="17"/>
        <v>0.7787431815970374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720</v>
      </c>
      <c r="C155" s="366">
        <f>IF(C153=0,0,C154/C153)</f>
        <v>0.20490621957362565</v>
      </c>
      <c r="D155" s="366">
        <f>IF(LN_IE1=0,0,LN_IE2/LN_IE1)</f>
        <v>0.39912161376820543</v>
      </c>
      <c r="E155" s="367">
        <f t="shared" si="16"/>
        <v>0.19421539419457978</v>
      </c>
      <c r="F155" s="362">
        <f t="shared" si="17"/>
        <v>0.9478257643848409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254</v>
      </c>
      <c r="C156" s="419">
        <v>321</v>
      </c>
      <c r="D156" s="419">
        <v>322</v>
      </c>
      <c r="E156" s="419">
        <f t="shared" si="16"/>
        <v>1</v>
      </c>
      <c r="F156" s="362">
        <f t="shared" si="17"/>
        <v>0.003115264797507788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721</v>
      </c>
      <c r="C157" s="372">
        <v>1.03966</v>
      </c>
      <c r="D157" s="372">
        <v>1.06779</v>
      </c>
      <c r="E157" s="373">
        <f t="shared" si="16"/>
        <v>0.02812999999999999</v>
      </c>
      <c r="F157" s="362">
        <f t="shared" si="17"/>
        <v>0.027056922455418107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722</v>
      </c>
      <c r="C158" s="376">
        <f>C156*C157</f>
        <v>333.73086</v>
      </c>
      <c r="D158" s="376">
        <f>LN_IE4*LN_IE5</f>
        <v>343.82838</v>
      </c>
      <c r="E158" s="376">
        <f t="shared" si="16"/>
        <v>10.097519999999975</v>
      </c>
      <c r="F158" s="362">
        <f t="shared" si="17"/>
        <v>0.03025647673098009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723</v>
      </c>
      <c r="C159" s="378">
        <f>IF(C158=0,0,C154/C158)</f>
        <v>3141.052044153184</v>
      </c>
      <c r="D159" s="378">
        <f>IF(LN_IE6=0,0,LN_IE2/LN_IE6)</f>
        <v>5423.042740101908</v>
      </c>
      <c r="E159" s="378">
        <f t="shared" si="16"/>
        <v>2281.990695948724</v>
      </c>
      <c r="F159" s="362">
        <f t="shared" si="17"/>
        <v>0.7265052166825654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770</v>
      </c>
      <c r="C160" s="378">
        <f>C48-C159</f>
        <v>2731.1913771649</v>
      </c>
      <c r="D160" s="378">
        <f>LN_IB7-LN_IE7</f>
        <v>932.8714670684622</v>
      </c>
      <c r="E160" s="378">
        <f t="shared" si="16"/>
        <v>-1798.319910096438</v>
      </c>
      <c r="F160" s="362">
        <f t="shared" si="17"/>
        <v>-0.6584378982490693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771</v>
      </c>
      <c r="C161" s="378">
        <f>C21-C159</f>
        <v>2808.4105283364656</v>
      </c>
      <c r="D161" s="378">
        <f>LN_IA7-LN_IE7</f>
        <v>784.2754241565672</v>
      </c>
      <c r="E161" s="378">
        <f t="shared" si="16"/>
        <v>-2024.1351041798985</v>
      </c>
      <c r="F161" s="362">
        <f t="shared" si="17"/>
        <v>-0.7207404628905429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740</v>
      </c>
      <c r="C162" s="391">
        <f>C161*C158</f>
        <v>937253.2608547831</v>
      </c>
      <c r="D162" s="391">
        <f>LN_IE9*LN_IE6</f>
        <v>269656.1485615653</v>
      </c>
      <c r="E162" s="391">
        <f t="shared" si="16"/>
        <v>-667597.1122932178</v>
      </c>
      <c r="F162" s="362">
        <f t="shared" si="17"/>
        <v>-0.7122910532040864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256</v>
      </c>
      <c r="C163" s="369">
        <v>1836</v>
      </c>
      <c r="D163" s="369">
        <v>1985</v>
      </c>
      <c r="E163" s="419">
        <f t="shared" si="16"/>
        <v>149</v>
      </c>
      <c r="F163" s="362">
        <f t="shared" si="17"/>
        <v>0.08115468409586056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724</v>
      </c>
      <c r="C164" s="378">
        <f>IF(C163=0,0,C154/C163)</f>
        <v>570.9509803921569</v>
      </c>
      <c r="D164" s="378">
        <f>IF(LN_IE11=0,0,LN_IE2/LN_IE11)</f>
        <v>939.343073047859</v>
      </c>
      <c r="E164" s="378">
        <f t="shared" si="16"/>
        <v>368.3920926557021</v>
      </c>
      <c r="F164" s="362">
        <f t="shared" si="17"/>
        <v>0.6452254314418945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725</v>
      </c>
      <c r="C165" s="379">
        <f>IF(C156=0,0,C163/C156)</f>
        <v>5.719626168224299</v>
      </c>
      <c r="D165" s="379">
        <f>IF(LN_IE4=0,0,LN_IE11/LN_IE4)</f>
        <v>6.1645962732919255</v>
      </c>
      <c r="E165" s="379">
        <f t="shared" si="16"/>
        <v>0.44497010506762624</v>
      </c>
      <c r="F165" s="362">
        <f t="shared" si="17"/>
        <v>0.07779706085332681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772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727</v>
      </c>
      <c r="C168" s="424">
        <v>5728779</v>
      </c>
      <c r="D168" s="424">
        <v>6632336</v>
      </c>
      <c r="E168" s="424">
        <f aca="true" t="shared" si="18" ref="E168:E176">D168-C168</f>
        <v>903557</v>
      </c>
      <c r="F168" s="362">
        <f aca="true" t="shared" si="19" ref="F168:F176">IF(C168=0,0,E168/C168)</f>
        <v>0.15772243963329707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728</v>
      </c>
      <c r="C169" s="424">
        <v>1357452</v>
      </c>
      <c r="D169" s="424">
        <v>1490369</v>
      </c>
      <c r="E169" s="424">
        <f t="shared" si="18"/>
        <v>132917</v>
      </c>
      <c r="F169" s="362">
        <f t="shared" si="19"/>
        <v>0.0979165377486644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729</v>
      </c>
      <c r="C170" s="366">
        <f>IF(C168=0,0,C169/C168)</f>
        <v>0.23695310990352395</v>
      </c>
      <c r="D170" s="366">
        <f>IF(LN_IE14=0,0,LN_IE15/LN_IE14)</f>
        <v>0.2247125296426478</v>
      </c>
      <c r="E170" s="367">
        <f t="shared" si="18"/>
        <v>-0.012240580260876155</v>
      </c>
      <c r="F170" s="362">
        <f t="shared" si="19"/>
        <v>-0.05165823848380778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730</v>
      </c>
      <c r="C171" s="366">
        <f>IF(C153=0,0,C168/C153)</f>
        <v>1.119813527923996</v>
      </c>
      <c r="D171" s="366">
        <f>IF(LN_IE1=0,0,LN_IE14/LN_IE1)</f>
        <v>1.4196687364839164</v>
      </c>
      <c r="E171" s="367">
        <f t="shared" si="18"/>
        <v>0.2998552085599204</v>
      </c>
      <c r="F171" s="362">
        <f t="shared" si="19"/>
        <v>0.2677724470035802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731</v>
      </c>
      <c r="C172" s="376">
        <f>C171*C156</f>
        <v>359.4601424636027</v>
      </c>
      <c r="D172" s="376">
        <f>LN_IE17*LN_IE4</f>
        <v>457.1333331478211</v>
      </c>
      <c r="E172" s="376">
        <f t="shared" si="18"/>
        <v>97.67319068421835</v>
      </c>
      <c r="F172" s="362">
        <f t="shared" si="19"/>
        <v>0.2717218938789807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732</v>
      </c>
      <c r="C173" s="378">
        <f>IF(C172=0,0,C169/C172)</f>
        <v>3776.3630501466496</v>
      </c>
      <c r="D173" s="378">
        <f>IF(LN_IE18=0,0,LN_IE15/LN_IE18)</f>
        <v>3260.2501107003422</v>
      </c>
      <c r="E173" s="378">
        <f t="shared" si="18"/>
        <v>-516.1129394463073</v>
      </c>
      <c r="F173" s="362">
        <f t="shared" si="19"/>
        <v>-0.13666931187303744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773</v>
      </c>
      <c r="C174" s="378">
        <f>C61-C173</f>
        <v>2003.6514491678654</v>
      </c>
      <c r="D174" s="378">
        <f>LN_IB18-LN_IE19</f>
        <v>2246.0764042049154</v>
      </c>
      <c r="E174" s="378">
        <f t="shared" si="18"/>
        <v>242.42495503705004</v>
      </c>
      <c r="F174" s="362">
        <f t="shared" si="19"/>
        <v>0.12099158021607567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774</v>
      </c>
      <c r="C175" s="378">
        <f>C32-C173</f>
        <v>2390.6888987862612</v>
      </c>
      <c r="D175" s="378">
        <f>LN_IA16-LN_IE19</f>
        <v>3849.9959855905213</v>
      </c>
      <c r="E175" s="378">
        <f t="shared" si="18"/>
        <v>1459.30708680426</v>
      </c>
      <c r="F175" s="362">
        <f t="shared" si="19"/>
        <v>0.6104127925407365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743</v>
      </c>
      <c r="C176" s="353">
        <f>C175*C172</f>
        <v>859357.372143863</v>
      </c>
      <c r="D176" s="353">
        <f>LN_IE21*LN_IE18</f>
        <v>1759961.4974987255</v>
      </c>
      <c r="E176" s="353">
        <f t="shared" si="18"/>
        <v>900604.1253548625</v>
      </c>
      <c r="F176" s="362">
        <f t="shared" si="19"/>
        <v>1.0479972064568435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775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734</v>
      </c>
      <c r="C179" s="361">
        <f>C153+C168</f>
        <v>10844612</v>
      </c>
      <c r="D179" s="361">
        <f>LN_IE1+LN_IE14</f>
        <v>11304085</v>
      </c>
      <c r="E179" s="361">
        <f>D179-C179</f>
        <v>459473</v>
      </c>
      <c r="F179" s="362">
        <f>IF(C179=0,0,E179/C179)</f>
        <v>0.04236878184300185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735</v>
      </c>
      <c r="C180" s="361">
        <f>C154+C169</f>
        <v>2405718</v>
      </c>
      <c r="D180" s="361">
        <f>LN_IE15+LN_IE2</f>
        <v>3354965</v>
      </c>
      <c r="E180" s="361">
        <f>D180-C180</f>
        <v>949247</v>
      </c>
      <c r="F180" s="362">
        <f>IF(C180=0,0,E180/C180)</f>
        <v>0.39457949768011047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736</v>
      </c>
      <c r="C181" s="361">
        <f>C179-C180</f>
        <v>8438894</v>
      </c>
      <c r="D181" s="361">
        <f>LN_IE23-LN_IE24</f>
        <v>7949120</v>
      </c>
      <c r="E181" s="361">
        <f>D181-C181</f>
        <v>-489774</v>
      </c>
      <c r="F181" s="362">
        <f>IF(C181=0,0,E181/C181)</f>
        <v>-0.0580377002009979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776</v>
      </c>
      <c r="C183" s="361">
        <f>C162+C176</f>
        <v>1796610.6329986462</v>
      </c>
      <c r="D183" s="361">
        <f>LN_IE10+LN_IE22</f>
        <v>2029617.6460602907</v>
      </c>
      <c r="E183" s="353">
        <f>D183-C183</f>
        <v>233007.0130616445</v>
      </c>
      <c r="F183" s="362">
        <f>IF(C183=0,0,E183/C183)</f>
        <v>0.12969254928250226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469</v>
      </c>
      <c r="B185" s="356" t="s">
        <v>777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778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718</v>
      </c>
      <c r="C188" s="361">
        <f>C118+C153</f>
        <v>19195982</v>
      </c>
      <c r="D188" s="361">
        <f>LN_ID1+LN_IE1</f>
        <v>19031990</v>
      </c>
      <c r="E188" s="361">
        <f aca="true" t="shared" si="20" ref="E188:E200">D188-C188</f>
        <v>-163992</v>
      </c>
      <c r="F188" s="362">
        <f aca="true" t="shared" si="21" ref="F188:F200">IF(C188=0,0,E188/C188)</f>
        <v>-0.008543037808641412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719</v>
      </c>
      <c r="C189" s="361">
        <f>C119+C154</f>
        <v>5506121</v>
      </c>
      <c r="D189" s="361">
        <f>LN_1D2+LN_IE2</f>
        <v>7061043</v>
      </c>
      <c r="E189" s="361">
        <f t="shared" si="20"/>
        <v>1554922</v>
      </c>
      <c r="F189" s="362">
        <f t="shared" si="21"/>
        <v>0.28239880670984163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720</v>
      </c>
      <c r="C190" s="366">
        <f>IF(C188=0,0,C189/C188)</f>
        <v>0.2868371620686037</v>
      </c>
      <c r="D190" s="366">
        <f>IF(LN_IF1=0,0,LN_IF2/LN_IF1)</f>
        <v>0.37100917980726134</v>
      </c>
      <c r="E190" s="367">
        <f t="shared" si="20"/>
        <v>0.08417201773865762</v>
      </c>
      <c r="F190" s="362">
        <f t="shared" si="21"/>
        <v>0.2934487886145169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254</v>
      </c>
      <c r="C191" s="369">
        <f>C121+C156</f>
        <v>1466</v>
      </c>
      <c r="D191" s="369">
        <f>LN_ID4+LN_IE4</f>
        <v>1488</v>
      </c>
      <c r="E191" s="369">
        <f t="shared" si="20"/>
        <v>22</v>
      </c>
      <c r="F191" s="362">
        <f t="shared" si="21"/>
        <v>0.015006821282401092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721</v>
      </c>
      <c r="C192" s="372">
        <f>IF((C121+C156)=0,0,(C123+C158)/(C121+C156))</f>
        <v>0.9687262346521147</v>
      </c>
      <c r="D192" s="372">
        <f>IF((LN_ID4+LN_IE4)=0,0,(LN_ID6+LN_IE6)/(LN_ID4+LN_IE4))</f>
        <v>0.9701061559139784</v>
      </c>
      <c r="E192" s="373">
        <f t="shared" si="20"/>
        <v>0.0013799212618637036</v>
      </c>
      <c r="F192" s="362">
        <f t="shared" si="21"/>
        <v>0.0014244697960092468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722</v>
      </c>
      <c r="C193" s="376">
        <f>C123+C158</f>
        <v>1420.1526600000002</v>
      </c>
      <c r="D193" s="376">
        <f>LN_IF4*LN_IF5</f>
        <v>1443.51796</v>
      </c>
      <c r="E193" s="376">
        <f t="shared" si="20"/>
        <v>23.365299999999706</v>
      </c>
      <c r="F193" s="362">
        <f t="shared" si="21"/>
        <v>0.01645266784206122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723</v>
      </c>
      <c r="C194" s="378">
        <f>IF(C193=0,0,C189/C193)</f>
        <v>3877.1331808793</v>
      </c>
      <c r="D194" s="378">
        <f>IF(LN_IF6=0,0,LN_IF2/LN_IF6)</f>
        <v>4891.5518861989085</v>
      </c>
      <c r="E194" s="378">
        <f t="shared" si="20"/>
        <v>1014.4187053196083</v>
      </c>
      <c r="F194" s="362">
        <f t="shared" si="21"/>
        <v>0.2616414391753102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779</v>
      </c>
      <c r="C195" s="378">
        <f>C48-C194</f>
        <v>1995.1102404387839</v>
      </c>
      <c r="D195" s="378">
        <f>LN_IB7-LN_IF7</f>
        <v>1464.3623209714615</v>
      </c>
      <c r="E195" s="378">
        <f t="shared" si="20"/>
        <v>-530.7479194673224</v>
      </c>
      <c r="F195" s="362">
        <f t="shared" si="21"/>
        <v>-0.26602435730598784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780</v>
      </c>
      <c r="C196" s="378">
        <f>C21-C194</f>
        <v>2072.3293916103494</v>
      </c>
      <c r="D196" s="378">
        <f>LN_IA7-LN_IF7</f>
        <v>1315.7662780595665</v>
      </c>
      <c r="E196" s="378">
        <f t="shared" si="20"/>
        <v>-756.5631135507829</v>
      </c>
      <c r="F196" s="362">
        <f t="shared" si="21"/>
        <v>-0.36507860025228844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740</v>
      </c>
      <c r="C197" s="391">
        <f>C127+C162</f>
        <v>2943024.0978916194</v>
      </c>
      <c r="D197" s="391">
        <f>LN_IF9*LN_IF6</f>
        <v>1899332.253541338</v>
      </c>
      <c r="E197" s="391">
        <f t="shared" si="20"/>
        <v>-1043691.8443502814</v>
      </c>
      <c r="F197" s="362">
        <f t="shared" si="21"/>
        <v>-0.35463244935642274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256</v>
      </c>
      <c r="C198" s="369">
        <f>C128+C163</f>
        <v>7023</v>
      </c>
      <c r="D198" s="369">
        <f>LN_ID11+LN_IE11</f>
        <v>7523</v>
      </c>
      <c r="E198" s="369">
        <f t="shared" si="20"/>
        <v>500</v>
      </c>
      <c r="F198" s="362">
        <f t="shared" si="21"/>
        <v>0.07119464616260857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724</v>
      </c>
      <c r="C199" s="432">
        <f>IF(C198=0,0,C189/C198)</f>
        <v>784.012672647017</v>
      </c>
      <c r="D199" s="432">
        <f>IF(LN_IF11=0,0,LN_IF2/LN_IF11)</f>
        <v>938.5940449288847</v>
      </c>
      <c r="E199" s="432">
        <f t="shared" si="20"/>
        <v>154.58137228186774</v>
      </c>
      <c r="F199" s="362">
        <f t="shared" si="21"/>
        <v>0.19716693068233646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725</v>
      </c>
      <c r="C200" s="379">
        <f>IF(C191=0,0,C198/C191)</f>
        <v>4.7905866302864935</v>
      </c>
      <c r="D200" s="379">
        <f>IF(LN_IF4=0,0,LN_IF11/LN_IF4)</f>
        <v>5.055779569892473</v>
      </c>
      <c r="E200" s="379">
        <f t="shared" si="20"/>
        <v>0.26519293960597956</v>
      </c>
      <c r="F200" s="362">
        <f t="shared" si="21"/>
        <v>0.05535709091020448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781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727</v>
      </c>
      <c r="C203" s="361">
        <f>C133+C168</f>
        <v>26361333</v>
      </c>
      <c r="D203" s="361">
        <f>LN_ID14+LN_IE14</f>
        <v>31719771</v>
      </c>
      <c r="E203" s="361">
        <f aca="true" t="shared" si="22" ref="E203:E211">D203-C203</f>
        <v>5358438</v>
      </c>
      <c r="F203" s="362">
        <f aca="true" t="shared" si="23" ref="F203:F211">IF(C203=0,0,E203/C203)</f>
        <v>0.2032688559413896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728</v>
      </c>
      <c r="C204" s="361">
        <f>C134+C169</f>
        <v>7134569</v>
      </c>
      <c r="D204" s="361">
        <f>LN_ID15+LN_IE15</f>
        <v>8245375</v>
      </c>
      <c r="E204" s="361">
        <f t="shared" si="22"/>
        <v>1110806</v>
      </c>
      <c r="F204" s="362">
        <f t="shared" si="23"/>
        <v>0.15569349739276472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729</v>
      </c>
      <c r="C205" s="366">
        <f>IF(C203=0,0,C204/C203)</f>
        <v>0.270645228752279</v>
      </c>
      <c r="D205" s="366">
        <f>IF(LN_IF14=0,0,LN_IF15/LN_IF14)</f>
        <v>0.2599443419689253</v>
      </c>
      <c r="E205" s="367">
        <f t="shared" si="22"/>
        <v>-0.01070088678335368</v>
      </c>
      <c r="F205" s="362">
        <f t="shared" si="23"/>
        <v>-0.0395384276038658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730</v>
      </c>
      <c r="C206" s="366">
        <f>IF(C188=0,0,C203/C188)</f>
        <v>1.3732734798355197</v>
      </c>
      <c r="D206" s="366">
        <f>IF(LN_IF1=0,0,LN_IF14/LN_IF1)</f>
        <v>1.6666555100123528</v>
      </c>
      <c r="E206" s="367">
        <f t="shared" si="22"/>
        <v>0.29338203017683306</v>
      </c>
      <c r="F206" s="362">
        <f t="shared" si="23"/>
        <v>0.21363700274177883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731</v>
      </c>
      <c r="C207" s="376">
        <f>C137+C172</f>
        <v>2037.3027796402405</v>
      </c>
      <c r="D207" s="376">
        <f>LN_ID18+LN_IE18</f>
        <v>2494.142963417954</v>
      </c>
      <c r="E207" s="376">
        <f t="shared" si="22"/>
        <v>456.8401837777135</v>
      </c>
      <c r="F207" s="362">
        <f t="shared" si="23"/>
        <v>0.2242377462707753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732</v>
      </c>
      <c r="C208" s="378">
        <f>IF(C207=0,0,C204/C207)</f>
        <v>3501.9679309817</v>
      </c>
      <c r="D208" s="378">
        <f>IF(LN_IF18=0,0,LN_IF15/LN_IF18)</f>
        <v>3305.8950994134684</v>
      </c>
      <c r="E208" s="378">
        <f t="shared" si="22"/>
        <v>-196.07283156823178</v>
      </c>
      <c r="F208" s="362">
        <f t="shared" si="23"/>
        <v>-0.055989328124220444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782</v>
      </c>
      <c r="C209" s="378">
        <f>C61-C208</f>
        <v>2278.046568332815</v>
      </c>
      <c r="D209" s="378">
        <f>LN_IB18-LN_IF19</f>
        <v>2200.4314154917893</v>
      </c>
      <c r="E209" s="378">
        <f t="shared" si="22"/>
        <v>-77.61515284102552</v>
      </c>
      <c r="F209" s="362">
        <f t="shared" si="23"/>
        <v>-0.03407092458949514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783</v>
      </c>
      <c r="C210" s="378">
        <f>C32-C208</f>
        <v>2665.0840179512106</v>
      </c>
      <c r="D210" s="378">
        <f>LN_IA16-LN_IF19</f>
        <v>3804.350996877395</v>
      </c>
      <c r="E210" s="378">
        <f t="shared" si="22"/>
        <v>1139.2669789261845</v>
      </c>
      <c r="F210" s="362">
        <f t="shared" si="23"/>
        <v>0.42747882290105005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743</v>
      </c>
      <c r="C211" s="391">
        <f>C141+C176</f>
        <v>5429583.077746781</v>
      </c>
      <c r="D211" s="353">
        <f>LN_IF21*LN_IF18</f>
        <v>9488595.269233834</v>
      </c>
      <c r="E211" s="353">
        <f t="shared" si="22"/>
        <v>4059012.1914870534</v>
      </c>
      <c r="F211" s="362">
        <f t="shared" si="23"/>
        <v>0.7475734569976412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784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734</v>
      </c>
      <c r="C214" s="361">
        <f>C188+C203</f>
        <v>45557315</v>
      </c>
      <c r="D214" s="361">
        <f>LN_IF1+LN_IF14</f>
        <v>50751761</v>
      </c>
      <c r="E214" s="361">
        <f>D214-C214</f>
        <v>5194446</v>
      </c>
      <c r="F214" s="362">
        <f>IF(C214=0,0,E214/C214)</f>
        <v>0.11402002071456582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735</v>
      </c>
      <c r="C215" s="361">
        <f>C189+C204</f>
        <v>12640690</v>
      </c>
      <c r="D215" s="361">
        <f>LN_IF2+LN_IF15</f>
        <v>15306418</v>
      </c>
      <c r="E215" s="361">
        <f>D215-C215</f>
        <v>2665728</v>
      </c>
      <c r="F215" s="362">
        <f>IF(C215=0,0,E215/C215)</f>
        <v>0.210884690630021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736</v>
      </c>
      <c r="C216" s="361">
        <f>C214-C215</f>
        <v>32916625</v>
      </c>
      <c r="D216" s="361">
        <f>LN_IF23-LN_IF24</f>
        <v>35445343</v>
      </c>
      <c r="E216" s="361">
        <f>D216-C216</f>
        <v>2528718</v>
      </c>
      <c r="F216" s="362">
        <f>IF(C216=0,0,E216/C216)</f>
        <v>0.07682190990115177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481</v>
      </c>
      <c r="B218" s="356" t="s">
        <v>785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786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718</v>
      </c>
      <c r="C221" s="361">
        <v>168236</v>
      </c>
      <c r="D221" s="361">
        <v>324656</v>
      </c>
      <c r="E221" s="361">
        <f aca="true" t="shared" si="24" ref="E221:E230">D221-C221</f>
        <v>156420</v>
      </c>
      <c r="F221" s="362">
        <f aca="true" t="shared" si="25" ref="F221:F230">IF(C221=0,0,E221/C221)</f>
        <v>0.9297653296559595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719</v>
      </c>
      <c r="C222" s="361">
        <v>59406</v>
      </c>
      <c r="D222" s="361">
        <v>241067</v>
      </c>
      <c r="E222" s="361">
        <f t="shared" si="24"/>
        <v>181661</v>
      </c>
      <c r="F222" s="362">
        <f t="shared" si="25"/>
        <v>3.057957108709558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720</v>
      </c>
      <c r="C223" s="366">
        <f>IF(C221=0,0,C222/C221)</f>
        <v>0.35311110582752797</v>
      </c>
      <c r="D223" s="366">
        <f>IF(LN_IG1=0,0,LN_IG2/LN_IG1)</f>
        <v>0.7425305554186585</v>
      </c>
      <c r="E223" s="367">
        <f t="shared" si="24"/>
        <v>0.38941944959113056</v>
      </c>
      <c r="F223" s="362">
        <f t="shared" si="25"/>
        <v>1.1028241342863254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254</v>
      </c>
      <c r="C224" s="369">
        <v>14</v>
      </c>
      <c r="D224" s="369">
        <v>19</v>
      </c>
      <c r="E224" s="369">
        <f t="shared" si="24"/>
        <v>5</v>
      </c>
      <c r="F224" s="362">
        <f t="shared" si="25"/>
        <v>0.35714285714285715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721</v>
      </c>
      <c r="C225" s="372">
        <v>1.01299</v>
      </c>
      <c r="D225" s="372">
        <v>1.31369</v>
      </c>
      <c r="E225" s="373">
        <f t="shared" si="24"/>
        <v>0.30069999999999997</v>
      </c>
      <c r="F225" s="362">
        <f t="shared" si="25"/>
        <v>0.29684399648565135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722</v>
      </c>
      <c r="C226" s="376">
        <f>C224*C225</f>
        <v>14.18186</v>
      </c>
      <c r="D226" s="376">
        <f>LN_IG3*LN_IG4</f>
        <v>24.96011</v>
      </c>
      <c r="E226" s="376">
        <f t="shared" si="24"/>
        <v>10.77825</v>
      </c>
      <c r="F226" s="362">
        <f t="shared" si="25"/>
        <v>0.7600025666590983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723</v>
      </c>
      <c r="C227" s="378">
        <f>IF(C226=0,0,C222/C226)</f>
        <v>4188.872263581787</v>
      </c>
      <c r="D227" s="378">
        <f>IF(LN_IG5=0,0,LN_IG2/LN_IG5)</f>
        <v>9658.090449120617</v>
      </c>
      <c r="E227" s="378">
        <f t="shared" si="24"/>
        <v>5469.21818553883</v>
      </c>
      <c r="F227" s="362">
        <f t="shared" si="25"/>
        <v>1.3056540857281371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256</v>
      </c>
      <c r="C228" s="369">
        <v>46</v>
      </c>
      <c r="D228" s="369">
        <v>91</v>
      </c>
      <c r="E228" s="369">
        <f t="shared" si="24"/>
        <v>45</v>
      </c>
      <c r="F228" s="362">
        <f t="shared" si="25"/>
        <v>0.9782608695652174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724</v>
      </c>
      <c r="C229" s="378">
        <f>IF(C228=0,0,C222/C228)</f>
        <v>1291.4347826086957</v>
      </c>
      <c r="D229" s="378">
        <f>IF(LN_IG6=0,0,LN_IG2/LN_IG6)</f>
        <v>2649.087912087912</v>
      </c>
      <c r="E229" s="378">
        <f t="shared" si="24"/>
        <v>1357.6531294792164</v>
      </c>
      <c r="F229" s="362">
        <f t="shared" si="25"/>
        <v>1.0512750219850513</v>
      </c>
      <c r="Q229" s="330"/>
      <c r="U229" s="375"/>
    </row>
    <row r="230" spans="1:21" ht="11.25" customHeight="1">
      <c r="A230" s="364">
        <v>10</v>
      </c>
      <c r="B230" s="360" t="s">
        <v>725</v>
      </c>
      <c r="C230" s="379">
        <f>IF(C224=0,0,C228/C224)</f>
        <v>3.2857142857142856</v>
      </c>
      <c r="D230" s="379">
        <f>IF(LN_IG3=0,0,LN_IG6/LN_IG3)</f>
        <v>4.7894736842105265</v>
      </c>
      <c r="E230" s="379">
        <f t="shared" si="24"/>
        <v>1.503759398496241</v>
      </c>
      <c r="F230" s="362">
        <f t="shared" si="25"/>
        <v>0.4576659038901603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787</v>
      </c>
      <c r="C232" s="330"/>
      <c r="Q232" s="330"/>
      <c r="U232" s="399"/>
    </row>
    <row r="233" spans="1:21" ht="11.25" customHeight="1">
      <c r="A233" s="364">
        <v>11</v>
      </c>
      <c r="B233" s="360" t="s">
        <v>727</v>
      </c>
      <c r="C233" s="361">
        <v>540733</v>
      </c>
      <c r="D233" s="361">
        <v>708701</v>
      </c>
      <c r="E233" s="361">
        <f>D233-C233</f>
        <v>167968</v>
      </c>
      <c r="F233" s="362">
        <f>IF(C233=0,0,E233/C233)</f>
        <v>0.31063020011724823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728</v>
      </c>
      <c r="C234" s="361">
        <v>385922</v>
      </c>
      <c r="D234" s="361">
        <v>502174</v>
      </c>
      <c r="E234" s="361">
        <f>D234-C234</f>
        <v>116252</v>
      </c>
      <c r="F234" s="362">
        <f>IF(C234=0,0,E234/C234)</f>
        <v>0.3012318551417126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788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734</v>
      </c>
      <c r="C237" s="361">
        <f>C221+C233</f>
        <v>708969</v>
      </c>
      <c r="D237" s="361">
        <f>LN_IG1+LN_IG9</f>
        <v>1033357</v>
      </c>
      <c r="E237" s="361">
        <f>D237-C237</f>
        <v>324388</v>
      </c>
      <c r="F237" s="362">
        <f>IF(C237=0,0,E237/C237)</f>
        <v>0.45754891962836175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735</v>
      </c>
      <c r="C238" s="361">
        <f>C222+C234</f>
        <v>445328</v>
      </c>
      <c r="D238" s="361">
        <f>LN_IG2+LN_IG10</f>
        <v>743241</v>
      </c>
      <c r="E238" s="361">
        <f>D238-C238</f>
        <v>297913</v>
      </c>
      <c r="F238" s="362">
        <f>IF(C238=0,0,E238/C238)</f>
        <v>0.6689743290338807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736</v>
      </c>
      <c r="C239" s="361">
        <f>C237-C238</f>
        <v>263641</v>
      </c>
      <c r="D239" s="361">
        <f>LN_IG13-LN_IG14</f>
        <v>290116</v>
      </c>
      <c r="E239" s="361">
        <f>D239-C239</f>
        <v>26475</v>
      </c>
      <c r="F239" s="362">
        <f>IF(C239=0,0,E239/C239)</f>
        <v>0.10042064777481499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485</v>
      </c>
      <c r="B241" s="356" t="s">
        <v>789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790</v>
      </c>
      <c r="C243" s="361">
        <v>12710881</v>
      </c>
      <c r="D243" s="361">
        <v>10065754</v>
      </c>
      <c r="E243" s="353">
        <f>D243-C243</f>
        <v>-2645127</v>
      </c>
      <c r="F243" s="415">
        <f>IF(C243=0,0,E243/C243)</f>
        <v>-0.2080994228488175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791</v>
      </c>
      <c r="C244" s="361">
        <v>155638490</v>
      </c>
      <c r="D244" s="361">
        <v>170017184</v>
      </c>
      <c r="E244" s="353">
        <f>D244-C244</f>
        <v>14378694</v>
      </c>
      <c r="F244" s="415">
        <f>IF(C244=0,0,E244/C244)</f>
        <v>0.09238520625585613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792</v>
      </c>
      <c r="C245" s="400">
        <v>826439</v>
      </c>
      <c r="D245" s="400">
        <v>686857</v>
      </c>
      <c r="E245" s="400">
        <f>D245-C245</f>
        <v>-139582</v>
      </c>
      <c r="F245" s="401">
        <f>IF(C245=0,0,E245/C245)</f>
        <v>-0.16889570797118722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793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794</v>
      </c>
      <c r="C248" s="353">
        <v>1880071</v>
      </c>
      <c r="D248" s="353">
        <v>1418730</v>
      </c>
      <c r="E248" s="353">
        <f>D248-C248</f>
        <v>-461341</v>
      </c>
      <c r="F248" s="362">
        <f>IF(C248=0,0,E248/C248)</f>
        <v>-0.2453848817411683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795</v>
      </c>
      <c r="C249" s="353">
        <v>6287004</v>
      </c>
      <c r="D249" s="353">
        <v>7895004</v>
      </c>
      <c r="E249" s="353">
        <f>D249-C249</f>
        <v>1608000</v>
      </c>
      <c r="F249" s="362">
        <f>IF(C249=0,0,E249/C249)</f>
        <v>0.2557657033461407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796</v>
      </c>
      <c r="C250" s="353">
        <f>C248+C249</f>
        <v>8167075</v>
      </c>
      <c r="D250" s="353">
        <f>LN_IH4+LN_IH5</f>
        <v>9313734</v>
      </c>
      <c r="E250" s="353">
        <f>D250-C250</f>
        <v>1146659</v>
      </c>
      <c r="F250" s="362">
        <f>IF(C250=0,0,E250/C250)</f>
        <v>0.14040020447957194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797</v>
      </c>
      <c r="C251" s="353">
        <f>C250*C313</f>
        <v>3019202.098691484</v>
      </c>
      <c r="D251" s="353">
        <f>LN_IH6*LN_III10</f>
        <v>3406981.1701095863</v>
      </c>
      <c r="E251" s="353">
        <f>D251-C251</f>
        <v>387779.07141810236</v>
      </c>
      <c r="F251" s="362">
        <f>IF(C251=0,0,E251/C251)</f>
        <v>0.1284375999825136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798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734</v>
      </c>
      <c r="C254" s="353">
        <f>C188+C203</f>
        <v>45557315</v>
      </c>
      <c r="D254" s="353">
        <f>LN_IF23</f>
        <v>50751761</v>
      </c>
      <c r="E254" s="353">
        <f>D254-C254</f>
        <v>5194446</v>
      </c>
      <c r="F254" s="362">
        <f>IF(C254=0,0,E254/C254)</f>
        <v>0.11402002071456582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735</v>
      </c>
      <c r="C255" s="353">
        <f>C189+C204</f>
        <v>12640690</v>
      </c>
      <c r="D255" s="353">
        <f>LN_IF24</f>
        <v>15306418</v>
      </c>
      <c r="E255" s="353">
        <f>D255-C255</f>
        <v>2665728</v>
      </c>
      <c r="F255" s="362">
        <f>IF(C255=0,0,E255/C255)</f>
        <v>0.210884690630021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799</v>
      </c>
      <c r="C256" s="353">
        <f>C254*C313</f>
        <v>16841616.00802601</v>
      </c>
      <c r="D256" s="353">
        <f>LN_IH8*LN_III10</f>
        <v>18565088.29615513</v>
      </c>
      <c r="E256" s="353">
        <f>D256-C256</f>
        <v>1723472.2881291173</v>
      </c>
      <c r="F256" s="362">
        <f>IF(C256=0,0,E256/C256)</f>
        <v>0.10233413986566267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800</v>
      </c>
      <c r="C257" s="353">
        <f>C256-C255</f>
        <v>4200926.008026011</v>
      </c>
      <c r="D257" s="353">
        <f>LN_IH10-LN_IH9</f>
        <v>3258670.2961551286</v>
      </c>
      <c r="E257" s="353">
        <f>D257-C257</f>
        <v>-942255.7118708827</v>
      </c>
      <c r="F257" s="362">
        <f>IF(C257=0,0,E257/C257)</f>
        <v>-0.22429714545570933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161</v>
      </c>
      <c r="B258" s="349" t="s">
        <v>801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131</v>
      </c>
      <c r="B260" s="359" t="s">
        <v>802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803</v>
      </c>
      <c r="C261" s="361">
        <f>C15+C42+C188+C221</f>
        <v>149231344</v>
      </c>
      <c r="D261" s="361">
        <f>LN_IA1+LN_IB1+LN_IF1+LN_IG1</f>
        <v>159437227</v>
      </c>
      <c r="E261" s="361">
        <f aca="true" t="shared" si="26" ref="E261:E274">D261-C261</f>
        <v>10205883</v>
      </c>
      <c r="F261" s="415">
        <f aca="true" t="shared" si="27" ref="F261:F274">IF(C261=0,0,E261/C261)</f>
        <v>0.06838967422286299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804</v>
      </c>
      <c r="C262" s="361">
        <f>C16+C43+C189+C222</f>
        <v>60311542</v>
      </c>
      <c r="D262" s="361">
        <f>+LN_IA2+LN_IB2+LN_IF2+LN_IG2</f>
        <v>67486159</v>
      </c>
      <c r="E262" s="361">
        <f t="shared" si="26"/>
        <v>7174617</v>
      </c>
      <c r="F262" s="415">
        <f t="shared" si="27"/>
        <v>0.11895926985252674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805</v>
      </c>
      <c r="C263" s="366">
        <f>IF(C261=0,0,C262/C261)</f>
        <v>0.40414795165283773</v>
      </c>
      <c r="D263" s="366">
        <f>IF(LN_IIA1=0,0,LN_IIA2/LN_IIA1)</f>
        <v>0.42327730022549875</v>
      </c>
      <c r="E263" s="367">
        <f t="shared" si="26"/>
        <v>0.01912934857266102</v>
      </c>
      <c r="F263" s="371">
        <f t="shared" si="27"/>
        <v>0.04733253872604826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806</v>
      </c>
      <c r="C264" s="369">
        <f>C18+C45+C191+C224</f>
        <v>8972</v>
      </c>
      <c r="D264" s="369">
        <f>LN_IA4+LN_IB4+LN_IF4+LN_IG3</f>
        <v>8989</v>
      </c>
      <c r="E264" s="369">
        <f t="shared" si="26"/>
        <v>17</v>
      </c>
      <c r="F264" s="415">
        <f t="shared" si="27"/>
        <v>0.0018947837717342845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807</v>
      </c>
      <c r="C265" s="439">
        <f>IF(C264=0,0,C266/C264)</f>
        <v>1.1912134819438254</v>
      </c>
      <c r="D265" s="439">
        <f>IF(LN_IIA4=0,0,LN_IIA6/LN_IIA4)</f>
        <v>1.2317695149627321</v>
      </c>
      <c r="E265" s="439">
        <f t="shared" si="26"/>
        <v>0.040556033018906756</v>
      </c>
      <c r="F265" s="415">
        <f t="shared" si="27"/>
        <v>0.03404598221363925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808</v>
      </c>
      <c r="C266" s="376">
        <f>C20+C47+C193+C226</f>
        <v>10687.567360000001</v>
      </c>
      <c r="D266" s="376">
        <f>LN_IA6+LN_IB6+LN_IF6+LN_IG5</f>
        <v>11072.37617</v>
      </c>
      <c r="E266" s="376">
        <f t="shared" si="26"/>
        <v>384.80880999999863</v>
      </c>
      <c r="F266" s="415">
        <f t="shared" si="27"/>
        <v>0.03600527575996476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809</v>
      </c>
      <c r="C267" s="361">
        <f>C27+C56+C203+C233</f>
        <v>241196111</v>
      </c>
      <c r="D267" s="361">
        <f>LN_IA11+LN_IB13+LN_IF14+LN_IG9</f>
        <v>250774269</v>
      </c>
      <c r="E267" s="361">
        <f t="shared" si="26"/>
        <v>9578158</v>
      </c>
      <c r="F267" s="415">
        <f t="shared" si="27"/>
        <v>0.03971107975285721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730</v>
      </c>
      <c r="C268" s="366">
        <f>IF(C261=0,0,C267/C261)</f>
        <v>1.616256374398129</v>
      </c>
      <c r="D268" s="366">
        <f>IF(LN_IIA1=0,0,LN_IIA7/LN_IIA1)</f>
        <v>1.5728714912985786</v>
      </c>
      <c r="E268" s="367">
        <f t="shared" si="26"/>
        <v>-0.043384883099550464</v>
      </c>
      <c r="F268" s="371">
        <f t="shared" si="27"/>
        <v>-0.02684282257863105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810</v>
      </c>
      <c r="C269" s="361">
        <f>C28+C57+C204+C234</f>
        <v>91362211</v>
      </c>
      <c r="D269" s="361">
        <f>LN_IA12+LN_IB14+LN_IF15+LN_IG10</f>
        <v>91196843</v>
      </c>
      <c r="E269" s="361">
        <f t="shared" si="26"/>
        <v>-165368</v>
      </c>
      <c r="F269" s="415">
        <f t="shared" si="27"/>
        <v>-0.0018100262481607413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729</v>
      </c>
      <c r="C270" s="366">
        <f>IF(C267=0,0,C269/C267)</f>
        <v>0.37878807672815257</v>
      </c>
      <c r="D270" s="366">
        <f>IF(LN_IIA7=0,0,LN_IIA9/LN_IIA7)</f>
        <v>0.3636610859784821</v>
      </c>
      <c r="E270" s="367">
        <f t="shared" si="26"/>
        <v>-0.015126990749670444</v>
      </c>
      <c r="F270" s="371">
        <f t="shared" si="27"/>
        <v>-0.03993523471048096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811</v>
      </c>
      <c r="C271" s="353">
        <f>C261+C267</f>
        <v>390427455</v>
      </c>
      <c r="D271" s="353">
        <f>LN_IIA1+LN_IIA7</f>
        <v>410211496</v>
      </c>
      <c r="E271" s="353">
        <f t="shared" si="26"/>
        <v>19784041</v>
      </c>
      <c r="F271" s="415">
        <f t="shared" si="27"/>
        <v>0.050672770950495785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812</v>
      </c>
      <c r="C272" s="353">
        <f>C262+C269</f>
        <v>151673753</v>
      </c>
      <c r="D272" s="353">
        <f>LN_IIA2+LN_IIA9</f>
        <v>158683002</v>
      </c>
      <c r="E272" s="353">
        <f t="shared" si="26"/>
        <v>7009249</v>
      </c>
      <c r="F272" s="415">
        <f t="shared" si="27"/>
        <v>0.04621266937332262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813</v>
      </c>
      <c r="C273" s="366">
        <f>IF(C271=0,0,C272/C271)</f>
        <v>0.3884812685624273</v>
      </c>
      <c r="D273" s="366">
        <f>IF(LN_IIA11=0,0,LN_IIA12/LN_IIA11)</f>
        <v>0.3868321671804147</v>
      </c>
      <c r="E273" s="367">
        <f t="shared" si="26"/>
        <v>-0.00164910138201263</v>
      </c>
      <c r="F273" s="371">
        <f t="shared" si="27"/>
        <v>-0.0042449958735851535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256</v>
      </c>
      <c r="C274" s="421">
        <f>C22+C51+C198+C228</f>
        <v>43813</v>
      </c>
      <c r="D274" s="421">
        <f>LN_IA8+LN_IB10+LN_IF11+LN_IG6</f>
        <v>44631</v>
      </c>
      <c r="E274" s="442">
        <f t="shared" si="26"/>
        <v>818</v>
      </c>
      <c r="F274" s="371">
        <f t="shared" si="27"/>
        <v>0.018670257686074908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143</v>
      </c>
      <c r="B276" s="359" t="s">
        <v>814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815</v>
      </c>
      <c r="C277" s="361">
        <f>C15+C188+C221</f>
        <v>101427072</v>
      </c>
      <c r="D277" s="361">
        <f>LN_IA1+LN_IF1+LN_IG1</f>
        <v>112616555</v>
      </c>
      <c r="E277" s="361">
        <f aca="true" t="shared" si="28" ref="E277:E291">D277-C277</f>
        <v>11189483</v>
      </c>
      <c r="F277" s="415">
        <f aca="true" t="shared" si="29" ref="F277:F291">IF(C277=0,0,E277/C277)</f>
        <v>0.11032047735736668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816</v>
      </c>
      <c r="C278" s="361">
        <f>C16+C189+C222</f>
        <v>37060529</v>
      </c>
      <c r="D278" s="361">
        <f>LN_IA2+LN_IF2+LN_IG2</f>
        <v>43122689</v>
      </c>
      <c r="E278" s="361">
        <f t="shared" si="28"/>
        <v>6062160</v>
      </c>
      <c r="F278" s="415">
        <f t="shared" si="29"/>
        <v>0.16357456743264512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817</v>
      </c>
      <c r="C279" s="366">
        <f>IF(C277=0,0,C278/C277)</f>
        <v>0.3653908987927799</v>
      </c>
      <c r="D279" s="366">
        <f>IF(D277=0,0,LN_IIB2/D277)</f>
        <v>0.38291607304094855</v>
      </c>
      <c r="E279" s="367">
        <f t="shared" si="28"/>
        <v>0.01752517424816863</v>
      </c>
      <c r="F279" s="371">
        <f t="shared" si="29"/>
        <v>0.04796280998259753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818</v>
      </c>
      <c r="C280" s="369">
        <f>C18+C191+C224</f>
        <v>5135</v>
      </c>
      <c r="D280" s="369">
        <f>LN_IA4+LN_IF4+LN_IG3</f>
        <v>5277</v>
      </c>
      <c r="E280" s="369">
        <f t="shared" si="28"/>
        <v>142</v>
      </c>
      <c r="F280" s="415">
        <f t="shared" si="29"/>
        <v>0.02765335929892892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819</v>
      </c>
      <c r="C281" s="439">
        <f>IF(C280=0,0,C282/C280)</f>
        <v>1.3102415423563778</v>
      </c>
      <c r="D281" s="439">
        <f>IF(LN_IIB4=0,0,LN_IIB6/LN_IIB4)</f>
        <v>1.3718361512222856</v>
      </c>
      <c r="E281" s="439">
        <f t="shared" si="28"/>
        <v>0.06159460886590784</v>
      </c>
      <c r="F281" s="415">
        <f t="shared" si="29"/>
        <v>0.04701011750484895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820</v>
      </c>
      <c r="C282" s="376">
        <f>C20+C193+C226</f>
        <v>6728.09032</v>
      </c>
      <c r="D282" s="376">
        <f>LN_IA6+LN_IF6+LN_IG5</f>
        <v>7239.179370000001</v>
      </c>
      <c r="E282" s="376">
        <f t="shared" si="28"/>
        <v>511.0890500000005</v>
      </c>
      <c r="F282" s="415">
        <f t="shared" si="29"/>
        <v>0.0759634644738242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821</v>
      </c>
      <c r="C283" s="361">
        <f>C27+C203+C233</f>
        <v>109203177</v>
      </c>
      <c r="D283" s="361">
        <f>LN_IA11+LN_IF14+LN_IG9</f>
        <v>118729936</v>
      </c>
      <c r="E283" s="361">
        <f t="shared" si="28"/>
        <v>9526759</v>
      </c>
      <c r="F283" s="415">
        <f t="shared" si="29"/>
        <v>0.08723884470870294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822</v>
      </c>
      <c r="C284" s="366">
        <f>IF(C277=0,0,C283/C277)</f>
        <v>1.0766669573188508</v>
      </c>
      <c r="D284" s="366">
        <f>IF(D277=0,0,LN_IIB7/D277)</f>
        <v>1.0542849228517068</v>
      </c>
      <c r="E284" s="367">
        <f t="shared" si="28"/>
        <v>-0.02238203446714393</v>
      </c>
      <c r="F284" s="371">
        <f t="shared" si="29"/>
        <v>-0.020788261695037398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823</v>
      </c>
      <c r="C285" s="361">
        <f>C28+C204+C234</f>
        <v>30126509</v>
      </c>
      <c r="D285" s="361">
        <f>LN_IA12+LN_IF15+LN_IG10</f>
        <v>33553116</v>
      </c>
      <c r="E285" s="361">
        <f t="shared" si="28"/>
        <v>3426607</v>
      </c>
      <c r="F285" s="415">
        <f t="shared" si="29"/>
        <v>0.11374059304382064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824</v>
      </c>
      <c r="C286" s="366">
        <f>IF(C283=0,0,C285/C283)</f>
        <v>0.2758757558857468</v>
      </c>
      <c r="D286" s="366">
        <f>IF(LN_IIB7=0,0,LN_IIB9/LN_IIB7)</f>
        <v>0.28260030393682684</v>
      </c>
      <c r="E286" s="367">
        <f t="shared" si="28"/>
        <v>0.006724548051080026</v>
      </c>
      <c r="F286" s="371">
        <f t="shared" si="29"/>
        <v>0.024375277303689488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825</v>
      </c>
      <c r="C287" s="353">
        <f>C277+C283</f>
        <v>210630249</v>
      </c>
      <c r="D287" s="353">
        <f>D277+LN_IIB7</f>
        <v>231346491</v>
      </c>
      <c r="E287" s="353">
        <f t="shared" si="28"/>
        <v>20716242</v>
      </c>
      <c r="F287" s="415">
        <f t="shared" si="29"/>
        <v>0.09835359402722825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826</v>
      </c>
      <c r="C288" s="353">
        <f>C278+C285</f>
        <v>67187038</v>
      </c>
      <c r="D288" s="353">
        <f>LN_IIB2+LN_IIB9</f>
        <v>76675805</v>
      </c>
      <c r="E288" s="353">
        <f t="shared" si="28"/>
        <v>9488767</v>
      </c>
      <c r="F288" s="415">
        <f t="shared" si="29"/>
        <v>0.14122913113091845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827</v>
      </c>
      <c r="C289" s="366">
        <f>IF(C287=0,0,C288/C287)</f>
        <v>0.31898095510488617</v>
      </c>
      <c r="D289" s="366">
        <f>IF(LN_IIB11=0,0,LN_IIB12/LN_IIB11)</f>
        <v>0.3314327555545245</v>
      </c>
      <c r="E289" s="367">
        <f t="shared" si="28"/>
        <v>0.01245180044963834</v>
      </c>
      <c r="F289" s="371">
        <f t="shared" si="29"/>
        <v>0.0390361877421302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256</v>
      </c>
      <c r="C290" s="421">
        <f>C22+C198+C228</f>
        <v>28477</v>
      </c>
      <c r="D290" s="421">
        <f>LN_IA8+LN_IF11+LN_IG6</f>
        <v>31043</v>
      </c>
      <c r="E290" s="442">
        <f t="shared" si="28"/>
        <v>2566</v>
      </c>
      <c r="F290" s="371">
        <f t="shared" si="29"/>
        <v>0.0901078062998209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828</v>
      </c>
      <c r="C291" s="361">
        <f>C287-C288</f>
        <v>143443211</v>
      </c>
      <c r="D291" s="429">
        <f>LN_IIB11-LN_IIB12</f>
        <v>154670686</v>
      </c>
      <c r="E291" s="353">
        <f t="shared" si="28"/>
        <v>11227475</v>
      </c>
      <c r="F291" s="415">
        <f t="shared" si="29"/>
        <v>0.07827121912378272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153</v>
      </c>
      <c r="B293" s="358" t="s">
        <v>725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716</v>
      </c>
      <c r="C294" s="379">
        <f>IF(C18=0,0,C22/C18)</f>
        <v>5.85718194254446</v>
      </c>
      <c r="D294" s="379">
        <f>IF(LN_IA4=0,0,LN_IA8/LN_IA4)</f>
        <v>6.214588859416446</v>
      </c>
      <c r="E294" s="379">
        <f aca="true" t="shared" si="30" ref="E294:E300">D294-C294</f>
        <v>0.35740691687198556</v>
      </c>
      <c r="F294" s="415">
        <f aca="true" t="shared" si="31" ref="F294:F300">IF(C294=0,0,E294/C294)</f>
        <v>0.0610202859289568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737</v>
      </c>
      <c r="C295" s="379">
        <f>IF(C45=0,0,C51/C45)</f>
        <v>3.99687255668491</v>
      </c>
      <c r="D295" s="379">
        <f>IF(LN_IB4=0,0,(LN_IB10)/(LN_IB4))</f>
        <v>3.6605603448275863</v>
      </c>
      <c r="E295" s="379">
        <f t="shared" si="30"/>
        <v>-0.33631221185732363</v>
      </c>
      <c r="F295" s="415">
        <f t="shared" si="31"/>
        <v>-0.08414384173816841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752</v>
      </c>
      <c r="C296" s="379">
        <f>IF(C86=0,0,C93/C86)</f>
        <v>5.113636363636363</v>
      </c>
      <c r="D296" s="379">
        <f>IF(LN_IC4=0,0,LN_IC11/LN_IC4)</f>
        <v>4.6098901098901095</v>
      </c>
      <c r="E296" s="379">
        <f t="shared" si="30"/>
        <v>-0.5037462537462538</v>
      </c>
      <c r="F296" s="415">
        <f t="shared" si="31"/>
        <v>-0.09851037851037853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231</v>
      </c>
      <c r="C297" s="379">
        <f>IF(C121=0,0,C128/C121)</f>
        <v>4.530131004366813</v>
      </c>
      <c r="D297" s="379">
        <f>IF(LN_ID4=0,0,LN_ID11/LN_ID4)</f>
        <v>4.7495711835334475</v>
      </c>
      <c r="E297" s="379">
        <f t="shared" si="30"/>
        <v>0.21944017916663494</v>
      </c>
      <c r="F297" s="415">
        <f t="shared" si="31"/>
        <v>0.048440139800616344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829</v>
      </c>
      <c r="C298" s="379">
        <f>IF(C156=0,0,C163/C156)</f>
        <v>5.719626168224299</v>
      </c>
      <c r="D298" s="379">
        <f>IF(LN_IE4=0,0,LN_IE11/LN_IE4)</f>
        <v>6.1645962732919255</v>
      </c>
      <c r="E298" s="379">
        <f t="shared" si="30"/>
        <v>0.44497010506762624</v>
      </c>
      <c r="F298" s="415">
        <f t="shared" si="31"/>
        <v>0.07779706085332681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533</v>
      </c>
      <c r="C299" s="379">
        <f>IF(C224=0,0,C228/C224)</f>
        <v>3.2857142857142856</v>
      </c>
      <c r="D299" s="379">
        <f>IF(LN_IG3=0,0,LN_IG6/LN_IG3)</f>
        <v>4.7894736842105265</v>
      </c>
      <c r="E299" s="379">
        <f t="shared" si="30"/>
        <v>1.503759398496241</v>
      </c>
      <c r="F299" s="415">
        <f t="shared" si="31"/>
        <v>0.4576659038901603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830</v>
      </c>
      <c r="C300" s="379">
        <f>IF(C264=0,0,C274/C264)</f>
        <v>4.883303611234953</v>
      </c>
      <c r="D300" s="379">
        <f>IF(LN_IIA4=0,0,LN_IIA14/LN_IIA4)</f>
        <v>4.965068416954055</v>
      </c>
      <c r="E300" s="379">
        <f t="shared" si="30"/>
        <v>0.08176480571910183</v>
      </c>
      <c r="F300" s="415">
        <f t="shared" si="31"/>
        <v>0.016743748132101926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252</v>
      </c>
      <c r="B302" s="446" t="s">
        <v>831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825</v>
      </c>
      <c r="C304" s="353">
        <f>C35+C66+C214+C221+C233</f>
        <v>390427455</v>
      </c>
      <c r="D304" s="353">
        <f>LN_IIA11</f>
        <v>410211496</v>
      </c>
      <c r="E304" s="353">
        <f aca="true" t="shared" si="32" ref="E304:E316">D304-C304</f>
        <v>19784041</v>
      </c>
      <c r="F304" s="362">
        <f>IF(C304=0,0,E304/C304)</f>
        <v>0.050672770950495785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828</v>
      </c>
      <c r="C305" s="353">
        <f>C291</f>
        <v>143443211</v>
      </c>
      <c r="D305" s="353">
        <f>LN_IIB14</f>
        <v>154670686</v>
      </c>
      <c r="E305" s="353">
        <f t="shared" si="32"/>
        <v>11227475</v>
      </c>
      <c r="F305" s="362">
        <f>IF(C305=0,0,E305/C305)</f>
        <v>0.07827121912378272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832</v>
      </c>
      <c r="C306" s="353">
        <f>C250</f>
        <v>8167075</v>
      </c>
      <c r="D306" s="353">
        <f>LN_IH6</f>
        <v>9313734</v>
      </c>
      <c r="E306" s="353">
        <f t="shared" si="32"/>
        <v>1146659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833</v>
      </c>
      <c r="C307" s="353">
        <f>C73-C74</f>
        <v>95310491</v>
      </c>
      <c r="D307" s="353">
        <f>LN_IB32-LN_IB33</f>
        <v>96857807</v>
      </c>
      <c r="E307" s="353">
        <f t="shared" si="32"/>
        <v>1547316</v>
      </c>
      <c r="F307" s="362">
        <f aca="true" t="shared" si="33" ref="F307:F316">IF(C307=0,0,E307/C307)</f>
        <v>0.016234477272811448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834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835</v>
      </c>
      <c r="C309" s="353">
        <f>C305+C307+C308+C306</f>
        <v>246920777</v>
      </c>
      <c r="D309" s="353">
        <f>LN_III2+LN_III3+LN_III4+LN_III5</f>
        <v>260842227</v>
      </c>
      <c r="E309" s="353">
        <f t="shared" si="32"/>
        <v>13921450</v>
      </c>
      <c r="F309" s="362">
        <f t="shared" si="33"/>
        <v>0.05638022919391672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836</v>
      </c>
      <c r="C310" s="353">
        <f>C304-C309</f>
        <v>143506678</v>
      </c>
      <c r="D310" s="353">
        <f>LN_III1-LN_III6</f>
        <v>149369269</v>
      </c>
      <c r="E310" s="353">
        <f t="shared" si="32"/>
        <v>5862591</v>
      </c>
      <c r="F310" s="362">
        <f t="shared" si="33"/>
        <v>0.04085239155211996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837</v>
      </c>
      <c r="C311" s="353">
        <f>C245</f>
        <v>826439</v>
      </c>
      <c r="D311" s="353">
        <f>LN_IH3</f>
        <v>686857</v>
      </c>
      <c r="E311" s="353">
        <f t="shared" si="32"/>
        <v>-139582</v>
      </c>
      <c r="F311" s="362">
        <f t="shared" si="33"/>
        <v>-0.16889570797118722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838</v>
      </c>
      <c r="C312" s="353">
        <f>C310+C311</f>
        <v>144333117</v>
      </c>
      <c r="D312" s="353">
        <f>LN_III7+LN_III8</f>
        <v>150056126</v>
      </c>
      <c r="E312" s="353">
        <f t="shared" si="32"/>
        <v>5723009</v>
      </c>
      <c r="F312" s="362">
        <f t="shared" si="33"/>
        <v>0.03965139199481156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839</v>
      </c>
      <c r="C313" s="448">
        <f>IF(C304=0,0,C312/C304)</f>
        <v>0.3696797321796952</v>
      </c>
      <c r="D313" s="448">
        <f>IF(LN_III1=0,0,LN_III9/LN_III1)</f>
        <v>0.3658018545633348</v>
      </c>
      <c r="E313" s="448">
        <f t="shared" si="32"/>
        <v>-0.003877877616360381</v>
      </c>
      <c r="F313" s="362">
        <f t="shared" si="33"/>
        <v>-0.010489830193004493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797</v>
      </c>
      <c r="C314" s="353">
        <f>C306*C313</f>
        <v>3019202.098691484</v>
      </c>
      <c r="D314" s="353">
        <f>D313*LN_III5</f>
        <v>3406981.1701095863</v>
      </c>
      <c r="E314" s="353">
        <f t="shared" si="32"/>
        <v>387779.07141810236</v>
      </c>
      <c r="F314" s="362">
        <f t="shared" si="33"/>
        <v>0.1284375999825136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800</v>
      </c>
      <c r="C315" s="353">
        <f>(C214*C313)-C215</f>
        <v>4200926.008026011</v>
      </c>
      <c r="D315" s="353">
        <f>D313*LN_IH8-LN_IH9</f>
        <v>3258670.2961551286</v>
      </c>
      <c r="E315" s="353">
        <f t="shared" si="32"/>
        <v>-942255.7118708827</v>
      </c>
      <c r="F315" s="362">
        <f t="shared" si="33"/>
        <v>-0.22429714545570933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840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>
      <c r="A317" s="338">
        <v>14</v>
      </c>
      <c r="B317" s="360" t="s">
        <v>841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842</v>
      </c>
      <c r="C318" s="353">
        <f>C314+C315+C316</f>
        <v>7220128.106717495</v>
      </c>
      <c r="D318" s="353">
        <f>D314+D315+D316</f>
        <v>6665651.466264715</v>
      </c>
      <c r="E318" s="353">
        <f>D318-C318</f>
        <v>-554476.6404527798</v>
      </c>
      <c r="F318" s="362">
        <f>IF(C318=0,0,E318/C318)</f>
        <v>-0.07679595600760925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261</v>
      </c>
      <c r="B320" s="445" t="s">
        <v>843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231</v>
      </c>
      <c r="C322" s="353">
        <f>C141</f>
        <v>4570225.705602918</v>
      </c>
      <c r="D322" s="353">
        <f>LN_ID22</f>
        <v>7728633.771735106</v>
      </c>
      <c r="E322" s="353">
        <f>LN_IV2-C322</f>
        <v>3158408.066132188</v>
      </c>
      <c r="F322" s="362">
        <f>IF(C322=0,0,E322/C322)</f>
        <v>0.691083607153166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829</v>
      </c>
      <c r="C323" s="353">
        <f>C162+C176</f>
        <v>1796610.6329986462</v>
      </c>
      <c r="D323" s="353">
        <f>LN_IE10+LN_IE22</f>
        <v>2029617.6460602907</v>
      </c>
      <c r="E323" s="353">
        <f>LN_IV3-C323</f>
        <v>233007.0130616445</v>
      </c>
      <c r="F323" s="362">
        <f>IF(C323=0,0,E323/C323)</f>
        <v>0.12969254928250226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844</v>
      </c>
      <c r="C324" s="353">
        <f>C92+C106</f>
        <v>1812503.6835513576</v>
      </c>
      <c r="D324" s="353">
        <f>LN_IC10+LN_IC22</f>
        <v>1160699.7203293522</v>
      </c>
      <c r="E324" s="353">
        <f>LN_IV1-C324</f>
        <v>-651803.9632220054</v>
      </c>
      <c r="F324" s="362">
        <f>IF(C324=0,0,E324/C324)</f>
        <v>-0.35961524886111296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845</v>
      </c>
      <c r="C325" s="429">
        <f>C324+C322+C323</f>
        <v>8179340.022152922</v>
      </c>
      <c r="D325" s="429">
        <f>LN_IV1+LN_IV2+LN_IV3</f>
        <v>10918951.138124749</v>
      </c>
      <c r="E325" s="353">
        <f>LN_IV4-C325</f>
        <v>2739611.115971827</v>
      </c>
      <c r="F325" s="362">
        <f>IF(C325=0,0,E325/C325)</f>
        <v>0.3349428081669016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846</v>
      </c>
      <c r="B327" s="446" t="s">
        <v>847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848</v>
      </c>
      <c r="C329" s="431">
        <v>0</v>
      </c>
      <c r="D329" s="431">
        <v>0</v>
      </c>
      <c r="E329" s="431">
        <f aca="true" t="shared" si="34" ref="E329:E335">D329-C329</f>
        <v>0</v>
      </c>
      <c r="F329" s="462">
        <f aca="true" t="shared" si="35" ref="F329:F335">IF(C329=0,0,E329/C329)</f>
        <v>0</v>
      </c>
    </row>
    <row r="330" spans="1:6" s="333" customFormat="1" ht="11.25" customHeight="1">
      <c r="A330" s="364">
        <v>2</v>
      </c>
      <c r="B330" s="360" t="s">
        <v>849</v>
      </c>
      <c r="C330" s="429">
        <v>6287004</v>
      </c>
      <c r="D330" s="429">
        <v>7895004</v>
      </c>
      <c r="E330" s="431">
        <f t="shared" si="34"/>
        <v>1608000</v>
      </c>
      <c r="F330" s="463">
        <f t="shared" si="35"/>
        <v>0.2557657033461407</v>
      </c>
    </row>
    <row r="331" spans="1:6" s="333" customFormat="1" ht="11.25" customHeight="1">
      <c r="A331" s="339">
        <v>3</v>
      </c>
      <c r="B331" s="360" t="s">
        <v>850</v>
      </c>
      <c r="C331" s="429">
        <v>158787196</v>
      </c>
      <c r="D331" s="429">
        <v>167264862</v>
      </c>
      <c r="E331" s="431">
        <f t="shared" si="34"/>
        <v>8477666</v>
      </c>
      <c r="F331" s="462">
        <f t="shared" si="35"/>
        <v>0.053390110875186685</v>
      </c>
    </row>
    <row r="332" spans="1:6" s="333" customFormat="1" ht="11.25" customHeight="1">
      <c r="A332" s="364">
        <v>4</v>
      </c>
      <c r="B332" s="360" t="s">
        <v>851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6" s="333" customFormat="1" ht="11.25" customHeight="1">
      <c r="A333" s="364">
        <v>5</v>
      </c>
      <c r="B333" s="360" t="s">
        <v>852</v>
      </c>
      <c r="C333" s="429">
        <v>390427454</v>
      </c>
      <c r="D333" s="429">
        <v>410211495</v>
      </c>
      <c r="E333" s="431">
        <f t="shared" si="34"/>
        <v>19784041</v>
      </c>
      <c r="F333" s="462">
        <f t="shared" si="35"/>
        <v>0.050672771080283716</v>
      </c>
    </row>
    <row r="334" spans="1:6" s="333" customFormat="1" ht="11.25" customHeight="1">
      <c r="A334" s="339">
        <v>6</v>
      </c>
      <c r="B334" s="360" t="s">
        <v>853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6" s="333" customFormat="1" ht="11.25" customHeight="1">
      <c r="A335" s="364">
        <v>7</v>
      </c>
      <c r="B335" s="360" t="s">
        <v>854</v>
      </c>
      <c r="C335" s="429">
        <v>8167075</v>
      </c>
      <c r="D335" s="429">
        <v>9313734</v>
      </c>
      <c r="E335" s="429">
        <f t="shared" si="34"/>
        <v>1146659</v>
      </c>
      <c r="F335" s="462">
        <f t="shared" si="35"/>
        <v>0.14040020447957194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FILING&amp;RMANCHESTER MEMORIAL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1">
      <selection activeCell="B16" sqref="B16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117</v>
      </c>
      <c r="B2" s="710"/>
      <c r="C2" s="710"/>
      <c r="D2" s="710"/>
      <c r="E2" s="710"/>
    </row>
    <row r="3" spans="1:5" s="338" customFormat="1" ht="15.75" customHeight="1">
      <c r="A3" s="709" t="s">
        <v>707</v>
      </c>
      <c r="B3" s="709"/>
      <c r="C3" s="709"/>
      <c r="D3" s="709"/>
      <c r="E3" s="709"/>
    </row>
    <row r="4" spans="1:5" s="338" customFormat="1" ht="15.75" customHeight="1">
      <c r="A4" s="709" t="s">
        <v>119</v>
      </c>
      <c r="B4" s="709"/>
      <c r="C4" s="709"/>
      <c r="D4" s="709"/>
      <c r="E4" s="709"/>
    </row>
    <row r="5" spans="1:5" s="338" customFormat="1" ht="15.75" customHeight="1">
      <c r="A5" s="709" t="s">
        <v>855</v>
      </c>
      <c r="B5" s="709"/>
      <c r="C5" s="709"/>
      <c r="D5" s="709"/>
      <c r="E5" s="709"/>
    </row>
    <row r="6" spans="1:5" s="338" customFormat="1" ht="15.75" customHeight="1">
      <c r="A6" s="709" t="s">
        <v>856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125</v>
      </c>
      <c r="B9" s="493" t="s">
        <v>126</v>
      </c>
      <c r="C9" s="494" t="s">
        <v>857</v>
      </c>
      <c r="D9" s="494" t="s">
        <v>858</v>
      </c>
      <c r="E9" s="495" t="s">
        <v>859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129</v>
      </c>
      <c r="B11" s="501" t="s">
        <v>860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131</v>
      </c>
      <c r="B13" s="509" t="s">
        <v>861</v>
      </c>
      <c r="C13" s="510"/>
      <c r="D13" s="340"/>
      <c r="E13" s="511"/>
    </row>
    <row r="14" spans="1:5" s="506" customFormat="1" ht="12.75">
      <c r="A14" s="512">
        <v>1</v>
      </c>
      <c r="B14" s="511" t="s">
        <v>737</v>
      </c>
      <c r="C14" s="513">
        <v>47804272</v>
      </c>
      <c r="D14" s="513">
        <v>46820672</v>
      </c>
      <c r="E14" s="514">
        <f aca="true" t="shared" si="0" ref="E14:E22">D14-C14</f>
        <v>-983600</v>
      </c>
    </row>
    <row r="15" spans="1:5" s="506" customFormat="1" ht="12.75">
      <c r="A15" s="512">
        <v>2</v>
      </c>
      <c r="B15" s="511" t="s">
        <v>716</v>
      </c>
      <c r="C15" s="513">
        <v>82062854</v>
      </c>
      <c r="D15" s="515">
        <v>93259909</v>
      </c>
      <c r="E15" s="514">
        <f t="shared" si="0"/>
        <v>11197055</v>
      </c>
    </row>
    <row r="16" spans="1:5" s="506" customFormat="1" ht="12.75">
      <c r="A16" s="512">
        <v>3</v>
      </c>
      <c r="B16" s="511" t="s">
        <v>862</v>
      </c>
      <c r="C16" s="513">
        <v>19195982</v>
      </c>
      <c r="D16" s="515">
        <v>19031990</v>
      </c>
      <c r="E16" s="514">
        <f t="shared" si="0"/>
        <v>-163992</v>
      </c>
    </row>
    <row r="17" spans="1:5" s="506" customFormat="1" ht="12.75">
      <c r="A17" s="512">
        <v>4</v>
      </c>
      <c r="B17" s="511" t="s">
        <v>231</v>
      </c>
      <c r="C17" s="513">
        <v>14080149</v>
      </c>
      <c r="D17" s="515">
        <v>14360241</v>
      </c>
      <c r="E17" s="514">
        <f t="shared" si="0"/>
        <v>280092</v>
      </c>
    </row>
    <row r="18" spans="1:5" s="506" customFormat="1" ht="12.75">
      <c r="A18" s="512">
        <v>5</v>
      </c>
      <c r="B18" s="511" t="s">
        <v>829</v>
      </c>
      <c r="C18" s="513">
        <v>5115833</v>
      </c>
      <c r="D18" s="515">
        <v>4671749</v>
      </c>
      <c r="E18" s="514">
        <f t="shared" si="0"/>
        <v>-444084</v>
      </c>
    </row>
    <row r="19" spans="1:5" s="506" customFormat="1" ht="12.75">
      <c r="A19" s="512">
        <v>6</v>
      </c>
      <c r="B19" s="511" t="s">
        <v>533</v>
      </c>
      <c r="C19" s="513">
        <v>168236</v>
      </c>
      <c r="D19" s="515">
        <v>324656</v>
      </c>
      <c r="E19" s="514">
        <f t="shared" si="0"/>
        <v>156420</v>
      </c>
    </row>
    <row r="20" spans="1:5" s="506" customFormat="1" ht="12.75">
      <c r="A20" s="512">
        <v>7</v>
      </c>
      <c r="B20" s="511" t="s">
        <v>844</v>
      </c>
      <c r="C20" s="513">
        <v>2087042</v>
      </c>
      <c r="D20" s="515">
        <v>3370281</v>
      </c>
      <c r="E20" s="514">
        <f t="shared" si="0"/>
        <v>1283239</v>
      </c>
    </row>
    <row r="21" spans="1:5" s="506" customFormat="1" ht="12.75">
      <c r="A21" s="512"/>
      <c r="B21" s="516" t="s">
        <v>863</v>
      </c>
      <c r="C21" s="517">
        <f>SUM(C15+C16+C19)</f>
        <v>101427072</v>
      </c>
      <c r="D21" s="517">
        <f>SUM(D15+D16+D19)</f>
        <v>112616555</v>
      </c>
      <c r="E21" s="517">
        <f t="shared" si="0"/>
        <v>11189483</v>
      </c>
    </row>
    <row r="22" spans="1:5" s="506" customFormat="1" ht="12.75">
      <c r="A22" s="512"/>
      <c r="B22" s="516" t="s">
        <v>803</v>
      </c>
      <c r="C22" s="517">
        <f>SUM(C14+C21)</f>
        <v>149231344</v>
      </c>
      <c r="D22" s="517">
        <f>SUM(D14+D21)</f>
        <v>159437227</v>
      </c>
      <c r="E22" s="517">
        <f t="shared" si="0"/>
        <v>10205883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143</v>
      </c>
      <c r="B24" s="509" t="s">
        <v>864</v>
      </c>
      <c r="C24" s="511"/>
      <c r="D24" s="511"/>
      <c r="E24" s="511"/>
    </row>
    <row r="25" spans="1:5" s="506" customFormat="1" ht="12.75">
      <c r="A25" s="512">
        <v>1</v>
      </c>
      <c r="B25" s="511" t="s">
        <v>737</v>
      </c>
      <c r="C25" s="513">
        <v>131992934</v>
      </c>
      <c r="D25" s="513">
        <v>132044333</v>
      </c>
      <c r="E25" s="514">
        <f aca="true" t="shared" si="1" ref="E25:E33">D25-C25</f>
        <v>51399</v>
      </c>
    </row>
    <row r="26" spans="1:5" s="506" customFormat="1" ht="12.75">
      <c r="A26" s="512">
        <v>2</v>
      </c>
      <c r="B26" s="511" t="s">
        <v>716</v>
      </c>
      <c r="C26" s="513">
        <v>82301111</v>
      </c>
      <c r="D26" s="515">
        <v>86301464</v>
      </c>
      <c r="E26" s="514">
        <f t="shared" si="1"/>
        <v>4000353</v>
      </c>
    </row>
    <row r="27" spans="1:5" s="506" customFormat="1" ht="12.75">
      <c r="A27" s="512">
        <v>3</v>
      </c>
      <c r="B27" s="511" t="s">
        <v>862</v>
      </c>
      <c r="C27" s="513">
        <v>26361333</v>
      </c>
      <c r="D27" s="515">
        <v>31719771</v>
      </c>
      <c r="E27" s="514">
        <f t="shared" si="1"/>
        <v>5358438</v>
      </c>
    </row>
    <row r="28" spans="1:5" s="506" customFormat="1" ht="12.75">
      <c r="A28" s="512">
        <v>4</v>
      </c>
      <c r="B28" s="511" t="s">
        <v>231</v>
      </c>
      <c r="C28" s="513">
        <v>20632554</v>
      </c>
      <c r="D28" s="515">
        <v>25087435</v>
      </c>
      <c r="E28" s="514">
        <f t="shared" si="1"/>
        <v>4454881</v>
      </c>
    </row>
    <row r="29" spans="1:5" s="506" customFormat="1" ht="12.75">
      <c r="A29" s="512">
        <v>5</v>
      </c>
      <c r="B29" s="511" t="s">
        <v>829</v>
      </c>
      <c r="C29" s="513">
        <v>5728779</v>
      </c>
      <c r="D29" s="515">
        <v>6632336</v>
      </c>
      <c r="E29" s="514">
        <f t="shared" si="1"/>
        <v>903557</v>
      </c>
    </row>
    <row r="30" spans="1:5" s="506" customFormat="1" ht="12.75">
      <c r="A30" s="512">
        <v>6</v>
      </c>
      <c r="B30" s="511" t="s">
        <v>533</v>
      </c>
      <c r="C30" s="513">
        <v>540733</v>
      </c>
      <c r="D30" s="515">
        <v>708701</v>
      </c>
      <c r="E30" s="514">
        <f t="shared" si="1"/>
        <v>167968</v>
      </c>
    </row>
    <row r="31" spans="1:5" s="506" customFormat="1" ht="12.75">
      <c r="A31" s="512">
        <v>7</v>
      </c>
      <c r="B31" s="511" t="s">
        <v>844</v>
      </c>
      <c r="C31" s="514">
        <v>6233836</v>
      </c>
      <c r="D31" s="518">
        <v>9119384</v>
      </c>
      <c r="E31" s="514">
        <f t="shared" si="1"/>
        <v>2885548</v>
      </c>
    </row>
    <row r="32" spans="1:5" s="506" customFormat="1" ht="12.75">
      <c r="A32" s="512"/>
      <c r="B32" s="516" t="s">
        <v>865</v>
      </c>
      <c r="C32" s="517">
        <f>SUM(C26+C27+C30)</f>
        <v>109203177</v>
      </c>
      <c r="D32" s="517">
        <f>SUM(D26+D27+D30)</f>
        <v>118729936</v>
      </c>
      <c r="E32" s="517">
        <f t="shared" si="1"/>
        <v>9526759</v>
      </c>
    </row>
    <row r="33" spans="1:5" s="506" customFormat="1" ht="12.75">
      <c r="A33" s="512"/>
      <c r="B33" s="516" t="s">
        <v>809</v>
      </c>
      <c r="C33" s="517">
        <f>SUM(C25+C32)</f>
        <v>241196111</v>
      </c>
      <c r="D33" s="517">
        <f>SUM(D25+D32)</f>
        <v>250774269</v>
      </c>
      <c r="E33" s="517">
        <f t="shared" si="1"/>
        <v>9578158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153</v>
      </c>
      <c r="B35" s="509" t="s">
        <v>734</v>
      </c>
      <c r="C35" s="514"/>
      <c r="D35" s="514"/>
      <c r="E35" s="511"/>
    </row>
    <row r="36" spans="1:5" s="506" customFormat="1" ht="12.75">
      <c r="A36" s="512">
        <v>1</v>
      </c>
      <c r="B36" s="511" t="s">
        <v>866</v>
      </c>
      <c r="C36" s="514">
        <f aca="true" t="shared" si="2" ref="C36:D42">C14+C25</f>
        <v>179797206</v>
      </c>
      <c r="D36" s="514">
        <f t="shared" si="2"/>
        <v>178865005</v>
      </c>
      <c r="E36" s="514">
        <f aca="true" t="shared" si="3" ref="E36:E44">D36-C36</f>
        <v>-932201</v>
      </c>
    </row>
    <row r="37" spans="1:5" s="506" customFormat="1" ht="12.75">
      <c r="A37" s="512">
        <v>2</v>
      </c>
      <c r="B37" s="511" t="s">
        <v>867</v>
      </c>
      <c r="C37" s="514">
        <f t="shared" si="2"/>
        <v>164363965</v>
      </c>
      <c r="D37" s="514">
        <f t="shared" si="2"/>
        <v>179561373</v>
      </c>
      <c r="E37" s="514">
        <f t="shared" si="3"/>
        <v>15197408</v>
      </c>
    </row>
    <row r="38" spans="1:5" s="506" customFormat="1" ht="12.75">
      <c r="A38" s="512">
        <v>3</v>
      </c>
      <c r="B38" s="511" t="s">
        <v>868</v>
      </c>
      <c r="C38" s="514">
        <f t="shared" si="2"/>
        <v>45557315</v>
      </c>
      <c r="D38" s="514">
        <f t="shared" si="2"/>
        <v>50751761</v>
      </c>
      <c r="E38" s="514">
        <f t="shared" si="3"/>
        <v>5194446</v>
      </c>
    </row>
    <row r="39" spans="1:5" s="506" customFormat="1" ht="12.75">
      <c r="A39" s="512">
        <v>4</v>
      </c>
      <c r="B39" s="511" t="s">
        <v>869</v>
      </c>
      <c r="C39" s="514">
        <f t="shared" si="2"/>
        <v>34712703</v>
      </c>
      <c r="D39" s="514">
        <f t="shared" si="2"/>
        <v>39447676</v>
      </c>
      <c r="E39" s="514">
        <f t="shared" si="3"/>
        <v>4734973</v>
      </c>
    </row>
    <row r="40" spans="1:5" s="506" customFormat="1" ht="12.75">
      <c r="A40" s="512">
        <v>5</v>
      </c>
      <c r="B40" s="511" t="s">
        <v>870</v>
      </c>
      <c r="C40" s="514">
        <f t="shared" si="2"/>
        <v>10844612</v>
      </c>
      <c r="D40" s="514">
        <f t="shared" si="2"/>
        <v>11304085</v>
      </c>
      <c r="E40" s="514">
        <f t="shared" si="3"/>
        <v>459473</v>
      </c>
    </row>
    <row r="41" spans="1:5" s="506" customFormat="1" ht="12.75">
      <c r="A41" s="512">
        <v>6</v>
      </c>
      <c r="B41" s="511" t="s">
        <v>871</v>
      </c>
      <c r="C41" s="514">
        <f t="shared" si="2"/>
        <v>708969</v>
      </c>
      <c r="D41" s="514">
        <f t="shared" si="2"/>
        <v>1033357</v>
      </c>
      <c r="E41" s="514">
        <f t="shared" si="3"/>
        <v>324388</v>
      </c>
    </row>
    <row r="42" spans="1:5" s="506" customFormat="1" ht="12.75">
      <c r="A42" s="512">
        <v>7</v>
      </c>
      <c r="B42" s="511" t="s">
        <v>872</v>
      </c>
      <c r="C42" s="514">
        <f t="shared" si="2"/>
        <v>8320878</v>
      </c>
      <c r="D42" s="514">
        <f t="shared" si="2"/>
        <v>12489665</v>
      </c>
      <c r="E42" s="514">
        <f t="shared" si="3"/>
        <v>4168787</v>
      </c>
    </row>
    <row r="43" spans="1:5" s="506" customFormat="1" ht="12.75">
      <c r="A43" s="512"/>
      <c r="B43" s="516" t="s">
        <v>873</v>
      </c>
      <c r="C43" s="517">
        <f>SUM(C37+C38+C41)</f>
        <v>210630249</v>
      </c>
      <c r="D43" s="517">
        <f>SUM(D37+D38+D41)</f>
        <v>231346491</v>
      </c>
      <c r="E43" s="517">
        <f t="shared" si="3"/>
        <v>20716242</v>
      </c>
    </row>
    <row r="44" spans="1:5" s="506" customFormat="1" ht="12.75">
      <c r="A44" s="512"/>
      <c r="B44" s="516" t="s">
        <v>811</v>
      </c>
      <c r="C44" s="517">
        <f>SUM(C36+C43)</f>
        <v>390427455</v>
      </c>
      <c r="D44" s="517">
        <f>SUM(D36+D43)</f>
        <v>410211496</v>
      </c>
      <c r="E44" s="517">
        <f t="shared" si="3"/>
        <v>19784041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436</v>
      </c>
      <c r="B46" s="509" t="s">
        <v>874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737</v>
      </c>
      <c r="C47" s="513">
        <v>23251013</v>
      </c>
      <c r="D47" s="513">
        <v>24363470</v>
      </c>
      <c r="E47" s="514">
        <f aca="true" t="shared" si="4" ref="E47:E55">D47-C47</f>
        <v>1112457</v>
      </c>
    </row>
    <row r="48" spans="1:5" s="506" customFormat="1" ht="12.75">
      <c r="A48" s="512">
        <v>2</v>
      </c>
      <c r="B48" s="511" t="s">
        <v>716</v>
      </c>
      <c r="C48" s="513">
        <v>31495002</v>
      </c>
      <c r="D48" s="515">
        <v>35820579</v>
      </c>
      <c r="E48" s="514">
        <f t="shared" si="4"/>
        <v>4325577</v>
      </c>
    </row>
    <row r="49" spans="1:5" s="506" customFormat="1" ht="12.75">
      <c r="A49" s="512">
        <v>3</v>
      </c>
      <c r="B49" s="511" t="s">
        <v>862</v>
      </c>
      <c r="C49" s="513">
        <v>5506121</v>
      </c>
      <c r="D49" s="515">
        <v>7061043</v>
      </c>
      <c r="E49" s="514">
        <f t="shared" si="4"/>
        <v>1554922</v>
      </c>
    </row>
    <row r="50" spans="1:5" s="506" customFormat="1" ht="12.75">
      <c r="A50" s="512">
        <v>4</v>
      </c>
      <c r="B50" s="511" t="s">
        <v>231</v>
      </c>
      <c r="C50" s="513">
        <v>4457855</v>
      </c>
      <c r="D50" s="515">
        <v>5196447</v>
      </c>
      <c r="E50" s="514">
        <f t="shared" si="4"/>
        <v>738592</v>
      </c>
    </row>
    <row r="51" spans="1:5" s="506" customFormat="1" ht="12.75">
      <c r="A51" s="512">
        <v>5</v>
      </c>
      <c r="B51" s="511" t="s">
        <v>829</v>
      </c>
      <c r="C51" s="513">
        <v>1048266</v>
      </c>
      <c r="D51" s="515">
        <v>1864596</v>
      </c>
      <c r="E51" s="514">
        <f t="shared" si="4"/>
        <v>816330</v>
      </c>
    </row>
    <row r="52" spans="1:5" s="506" customFormat="1" ht="12.75">
      <c r="A52" s="512">
        <v>6</v>
      </c>
      <c r="B52" s="511" t="s">
        <v>533</v>
      </c>
      <c r="C52" s="513">
        <v>59406</v>
      </c>
      <c r="D52" s="515">
        <v>241067</v>
      </c>
      <c r="E52" s="514">
        <f t="shared" si="4"/>
        <v>181661</v>
      </c>
    </row>
    <row r="53" spans="1:5" s="506" customFormat="1" ht="12.75">
      <c r="A53" s="512">
        <v>7</v>
      </c>
      <c r="B53" s="511" t="s">
        <v>844</v>
      </c>
      <c r="C53" s="513">
        <v>644269</v>
      </c>
      <c r="D53" s="515">
        <v>954118</v>
      </c>
      <c r="E53" s="514">
        <f t="shared" si="4"/>
        <v>309849</v>
      </c>
    </row>
    <row r="54" spans="1:5" s="506" customFormat="1" ht="12.75">
      <c r="A54" s="512"/>
      <c r="B54" s="516" t="s">
        <v>875</v>
      </c>
      <c r="C54" s="517">
        <f>SUM(C48+C49+C52)</f>
        <v>37060529</v>
      </c>
      <c r="D54" s="517">
        <f>SUM(D48+D49+D52)</f>
        <v>43122689</v>
      </c>
      <c r="E54" s="517">
        <f t="shared" si="4"/>
        <v>6062160</v>
      </c>
    </row>
    <row r="55" spans="1:5" s="506" customFormat="1" ht="12.75">
      <c r="A55" s="512"/>
      <c r="B55" s="516" t="s">
        <v>804</v>
      </c>
      <c r="C55" s="517">
        <f>SUM(C47+C54)</f>
        <v>60311542</v>
      </c>
      <c r="D55" s="517">
        <f>SUM(D47+D54)</f>
        <v>67486159</v>
      </c>
      <c r="E55" s="517">
        <f t="shared" si="4"/>
        <v>7174617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457</v>
      </c>
      <c r="B57" s="509" t="s">
        <v>876</v>
      </c>
      <c r="C57" s="499"/>
      <c r="D57" s="515"/>
      <c r="E57" s="511"/>
    </row>
    <row r="58" spans="1:5" s="506" customFormat="1" ht="12.75">
      <c r="A58" s="512">
        <v>1</v>
      </c>
      <c r="B58" s="511" t="s">
        <v>737</v>
      </c>
      <c r="C58" s="513">
        <v>61235702</v>
      </c>
      <c r="D58" s="513">
        <v>57643727</v>
      </c>
      <c r="E58" s="514">
        <f aca="true" t="shared" si="5" ref="E58:E66">D58-C58</f>
        <v>-3591975</v>
      </c>
    </row>
    <row r="59" spans="1:5" s="506" customFormat="1" ht="12.75">
      <c r="A59" s="512">
        <v>2</v>
      </c>
      <c r="B59" s="511" t="s">
        <v>716</v>
      </c>
      <c r="C59" s="513">
        <v>22606018</v>
      </c>
      <c r="D59" s="515">
        <v>24805567</v>
      </c>
      <c r="E59" s="514">
        <f t="shared" si="5"/>
        <v>2199549</v>
      </c>
    </row>
    <row r="60" spans="1:5" s="506" customFormat="1" ht="12.75">
      <c r="A60" s="512">
        <v>3</v>
      </c>
      <c r="B60" s="511" t="s">
        <v>862</v>
      </c>
      <c r="C60" s="513">
        <f>C61+C62</f>
        <v>7134569</v>
      </c>
      <c r="D60" s="515">
        <f>D61+D62</f>
        <v>8245375</v>
      </c>
      <c r="E60" s="514">
        <f t="shared" si="5"/>
        <v>1110806</v>
      </c>
    </row>
    <row r="61" spans="1:5" s="506" customFormat="1" ht="12.75">
      <c r="A61" s="512">
        <v>4</v>
      </c>
      <c r="B61" s="511" t="s">
        <v>231</v>
      </c>
      <c r="C61" s="513">
        <v>5777117</v>
      </c>
      <c r="D61" s="515">
        <v>6755006</v>
      </c>
      <c r="E61" s="514">
        <f t="shared" si="5"/>
        <v>977889</v>
      </c>
    </row>
    <row r="62" spans="1:5" s="506" customFormat="1" ht="12.75">
      <c r="A62" s="512">
        <v>5</v>
      </c>
      <c r="B62" s="511" t="s">
        <v>829</v>
      </c>
      <c r="C62" s="513">
        <v>1357452</v>
      </c>
      <c r="D62" s="515">
        <v>1490369</v>
      </c>
      <c r="E62" s="514">
        <f t="shared" si="5"/>
        <v>132917</v>
      </c>
    </row>
    <row r="63" spans="1:5" s="506" customFormat="1" ht="12.75">
      <c r="A63" s="512">
        <v>6</v>
      </c>
      <c r="B63" s="511" t="s">
        <v>533</v>
      </c>
      <c r="C63" s="513">
        <v>385922</v>
      </c>
      <c r="D63" s="515">
        <v>502174</v>
      </c>
      <c r="E63" s="514">
        <f t="shared" si="5"/>
        <v>116252</v>
      </c>
    </row>
    <row r="64" spans="1:5" s="506" customFormat="1" ht="12.75">
      <c r="A64" s="512">
        <v>7</v>
      </c>
      <c r="B64" s="511" t="s">
        <v>844</v>
      </c>
      <c r="C64" s="513">
        <v>1759465</v>
      </c>
      <c r="D64" s="515">
        <v>2501320</v>
      </c>
      <c r="E64" s="514">
        <f t="shared" si="5"/>
        <v>741855</v>
      </c>
    </row>
    <row r="65" spans="1:5" s="506" customFormat="1" ht="12.75">
      <c r="A65" s="512"/>
      <c r="B65" s="516" t="s">
        <v>877</v>
      </c>
      <c r="C65" s="517">
        <f>SUM(C59+C60+C63)</f>
        <v>30126509</v>
      </c>
      <c r="D65" s="517">
        <f>SUM(D59+D60+D63)</f>
        <v>33553116</v>
      </c>
      <c r="E65" s="517">
        <f t="shared" si="5"/>
        <v>3426607</v>
      </c>
    </row>
    <row r="66" spans="1:5" s="506" customFormat="1" ht="12.75">
      <c r="A66" s="512"/>
      <c r="B66" s="516" t="s">
        <v>810</v>
      </c>
      <c r="C66" s="517">
        <f>SUM(C58+C65)</f>
        <v>91362211</v>
      </c>
      <c r="D66" s="517">
        <f>SUM(D58+D65)</f>
        <v>91196843</v>
      </c>
      <c r="E66" s="517">
        <f t="shared" si="5"/>
        <v>-165368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469</v>
      </c>
      <c r="B68" s="521" t="s">
        <v>735</v>
      </c>
      <c r="C68" s="511"/>
      <c r="D68" s="511"/>
      <c r="E68" s="511"/>
    </row>
    <row r="69" spans="1:5" s="506" customFormat="1" ht="12.75">
      <c r="A69" s="512">
        <v>1</v>
      </c>
      <c r="B69" s="511" t="s">
        <v>866</v>
      </c>
      <c r="C69" s="514">
        <f aca="true" t="shared" si="6" ref="C69:D75">C47+C58</f>
        <v>84486715</v>
      </c>
      <c r="D69" s="514">
        <f t="shared" si="6"/>
        <v>82007197</v>
      </c>
      <c r="E69" s="514">
        <f aca="true" t="shared" si="7" ref="E69:E77">D69-C69</f>
        <v>-2479518</v>
      </c>
    </row>
    <row r="70" spans="1:5" s="506" customFormat="1" ht="12.75">
      <c r="A70" s="512">
        <v>2</v>
      </c>
      <c r="B70" s="511" t="s">
        <v>867</v>
      </c>
      <c r="C70" s="514">
        <f t="shared" si="6"/>
        <v>54101020</v>
      </c>
      <c r="D70" s="514">
        <f t="shared" si="6"/>
        <v>60626146</v>
      </c>
      <c r="E70" s="514">
        <f t="shared" si="7"/>
        <v>6525126</v>
      </c>
    </row>
    <row r="71" spans="1:5" s="506" customFormat="1" ht="12.75">
      <c r="A71" s="512">
        <v>3</v>
      </c>
      <c r="B71" s="511" t="s">
        <v>868</v>
      </c>
      <c r="C71" s="514">
        <f t="shared" si="6"/>
        <v>12640690</v>
      </c>
      <c r="D71" s="514">
        <f t="shared" si="6"/>
        <v>15306418</v>
      </c>
      <c r="E71" s="514">
        <f t="shared" si="7"/>
        <v>2665728</v>
      </c>
    </row>
    <row r="72" spans="1:5" s="506" customFormat="1" ht="12.75">
      <c r="A72" s="512">
        <v>4</v>
      </c>
      <c r="B72" s="511" t="s">
        <v>869</v>
      </c>
      <c r="C72" s="514">
        <f t="shared" si="6"/>
        <v>10234972</v>
      </c>
      <c r="D72" s="514">
        <f t="shared" si="6"/>
        <v>11951453</v>
      </c>
      <c r="E72" s="514">
        <f t="shared" si="7"/>
        <v>1716481</v>
      </c>
    </row>
    <row r="73" spans="1:5" s="506" customFormat="1" ht="12.75">
      <c r="A73" s="512">
        <v>5</v>
      </c>
      <c r="B73" s="511" t="s">
        <v>870</v>
      </c>
      <c r="C73" s="514">
        <f t="shared" si="6"/>
        <v>2405718</v>
      </c>
      <c r="D73" s="514">
        <f t="shared" si="6"/>
        <v>3354965</v>
      </c>
      <c r="E73" s="514">
        <f t="shared" si="7"/>
        <v>949247</v>
      </c>
    </row>
    <row r="74" spans="1:5" s="506" customFormat="1" ht="12.75">
      <c r="A74" s="512">
        <v>6</v>
      </c>
      <c r="B74" s="511" t="s">
        <v>871</v>
      </c>
      <c r="C74" s="514">
        <f t="shared" si="6"/>
        <v>445328</v>
      </c>
      <c r="D74" s="514">
        <f t="shared" si="6"/>
        <v>743241</v>
      </c>
      <c r="E74" s="514">
        <f t="shared" si="7"/>
        <v>297913</v>
      </c>
    </row>
    <row r="75" spans="1:5" s="506" customFormat="1" ht="12.75">
      <c r="A75" s="512">
        <v>7</v>
      </c>
      <c r="B75" s="511" t="s">
        <v>872</v>
      </c>
      <c r="C75" s="514">
        <f t="shared" si="6"/>
        <v>2403734</v>
      </c>
      <c r="D75" s="514">
        <f t="shared" si="6"/>
        <v>3455438</v>
      </c>
      <c r="E75" s="514">
        <f t="shared" si="7"/>
        <v>1051704</v>
      </c>
    </row>
    <row r="76" spans="1:5" s="506" customFormat="1" ht="12.75">
      <c r="A76" s="512"/>
      <c r="B76" s="516" t="s">
        <v>878</v>
      </c>
      <c r="C76" s="517">
        <f>SUM(C70+C71+C74)</f>
        <v>67187038</v>
      </c>
      <c r="D76" s="517">
        <f>SUM(D70+D71+D74)</f>
        <v>76675805</v>
      </c>
      <c r="E76" s="517">
        <f t="shared" si="7"/>
        <v>9488767</v>
      </c>
    </row>
    <row r="77" spans="1:5" s="506" customFormat="1" ht="12.75">
      <c r="A77" s="512"/>
      <c r="B77" s="516" t="s">
        <v>812</v>
      </c>
      <c r="C77" s="517">
        <f>SUM(C69+C76)</f>
        <v>151673753</v>
      </c>
      <c r="D77" s="517">
        <f>SUM(D69+D76)</f>
        <v>158683002</v>
      </c>
      <c r="E77" s="517">
        <f t="shared" si="7"/>
        <v>7009249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161</v>
      </c>
      <c r="B79" s="501" t="s">
        <v>879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131</v>
      </c>
      <c r="B81" s="522" t="s">
        <v>880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737</v>
      </c>
      <c r="C83" s="523">
        <f aca="true" t="shared" si="8" ref="C83:D89">IF(C$44=0,0,C14/C$44)</f>
        <v>0.12244085652224432</v>
      </c>
      <c r="D83" s="523">
        <f t="shared" si="8"/>
        <v>0.11413788364429456</v>
      </c>
      <c r="E83" s="523">
        <f aca="true" t="shared" si="9" ref="E83:E91">D83-C83</f>
        <v>-0.00830297287794976</v>
      </c>
    </row>
    <row r="84" spans="1:5" s="506" customFormat="1" ht="12.75">
      <c r="A84" s="512">
        <v>2</v>
      </c>
      <c r="B84" s="511" t="s">
        <v>716</v>
      </c>
      <c r="C84" s="523">
        <f t="shared" si="8"/>
        <v>0.21018720110244296</v>
      </c>
      <c r="D84" s="523">
        <f t="shared" si="8"/>
        <v>0.22734591767754847</v>
      </c>
      <c r="E84" s="523">
        <f t="shared" si="9"/>
        <v>0.01715871657510551</v>
      </c>
    </row>
    <row r="85" spans="1:5" s="506" customFormat="1" ht="12.75">
      <c r="A85" s="512">
        <v>3</v>
      </c>
      <c r="B85" s="511" t="s">
        <v>862</v>
      </c>
      <c r="C85" s="523">
        <f t="shared" si="8"/>
        <v>0.049166578205930726</v>
      </c>
      <c r="D85" s="523">
        <f t="shared" si="8"/>
        <v>0.046395554940761585</v>
      </c>
      <c r="E85" s="523">
        <f t="shared" si="9"/>
        <v>-0.002771023265169141</v>
      </c>
    </row>
    <row r="86" spans="1:5" s="506" customFormat="1" ht="12.75">
      <c r="A86" s="512">
        <v>4</v>
      </c>
      <c r="B86" s="511" t="s">
        <v>231</v>
      </c>
      <c r="C86" s="523">
        <f t="shared" si="8"/>
        <v>0.03606341925928339</v>
      </c>
      <c r="D86" s="523">
        <f t="shared" si="8"/>
        <v>0.03500691994258493</v>
      </c>
      <c r="E86" s="523">
        <f t="shared" si="9"/>
        <v>-0.0010564993166984615</v>
      </c>
    </row>
    <row r="87" spans="1:5" s="506" customFormat="1" ht="12.75">
      <c r="A87" s="512">
        <v>5</v>
      </c>
      <c r="B87" s="511" t="s">
        <v>829</v>
      </c>
      <c r="C87" s="523">
        <f t="shared" si="8"/>
        <v>0.013103158946647335</v>
      </c>
      <c r="D87" s="523">
        <f t="shared" si="8"/>
        <v>0.011388634998176647</v>
      </c>
      <c r="E87" s="523">
        <f t="shared" si="9"/>
        <v>-0.0017145239484706882</v>
      </c>
    </row>
    <row r="88" spans="1:5" s="506" customFormat="1" ht="12.75">
      <c r="A88" s="512">
        <v>6</v>
      </c>
      <c r="B88" s="511" t="s">
        <v>533</v>
      </c>
      <c r="C88" s="523">
        <f t="shared" si="8"/>
        <v>0.000430902073728396</v>
      </c>
      <c r="D88" s="523">
        <f t="shared" si="8"/>
        <v>0.0007914356451872816</v>
      </c>
      <c r="E88" s="523">
        <f t="shared" si="9"/>
        <v>0.0003605335714588856</v>
      </c>
    </row>
    <row r="89" spans="1:5" s="506" customFormat="1" ht="12.75">
      <c r="A89" s="512">
        <v>7</v>
      </c>
      <c r="B89" s="511" t="s">
        <v>844</v>
      </c>
      <c r="C89" s="523">
        <f t="shared" si="8"/>
        <v>0.005345530836195933</v>
      </c>
      <c r="D89" s="523">
        <f t="shared" si="8"/>
        <v>0.008215959408412094</v>
      </c>
      <c r="E89" s="523">
        <f t="shared" si="9"/>
        <v>0.002870428572216161</v>
      </c>
    </row>
    <row r="90" spans="1:5" s="506" customFormat="1" ht="12.75">
      <c r="A90" s="512"/>
      <c r="B90" s="516" t="s">
        <v>881</v>
      </c>
      <c r="C90" s="524">
        <f>SUM(C84+C85+C88)</f>
        <v>0.2597846813821021</v>
      </c>
      <c r="D90" s="524">
        <f>SUM(D84+D85+D88)</f>
        <v>0.27453290826349735</v>
      </c>
      <c r="E90" s="525">
        <f t="shared" si="9"/>
        <v>0.014748226881395265</v>
      </c>
    </row>
    <row r="91" spans="1:5" s="506" customFormat="1" ht="12.75">
      <c r="A91" s="512"/>
      <c r="B91" s="516" t="s">
        <v>882</v>
      </c>
      <c r="C91" s="524">
        <f>SUM(C83+C90)</f>
        <v>0.38222553790434644</v>
      </c>
      <c r="D91" s="524">
        <f>SUM(D83+D90)</f>
        <v>0.3886707919077919</v>
      </c>
      <c r="E91" s="525">
        <f t="shared" si="9"/>
        <v>0.0064452540034454775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143</v>
      </c>
      <c r="B93" s="522" t="s">
        <v>883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737</v>
      </c>
      <c r="C95" s="523">
        <f aca="true" t="shared" si="10" ref="C95:D101">IF(C$44=0,0,C25/C$44)</f>
        <v>0.33807287963393867</v>
      </c>
      <c r="D95" s="523">
        <f t="shared" si="10"/>
        <v>0.32189330208337213</v>
      </c>
      <c r="E95" s="523">
        <f aca="true" t="shared" si="11" ref="E95:E103">D95-C95</f>
        <v>-0.016179577550566537</v>
      </c>
    </row>
    <row r="96" spans="1:5" s="506" customFormat="1" ht="12.75">
      <c r="A96" s="512">
        <v>2</v>
      </c>
      <c r="B96" s="511" t="s">
        <v>716</v>
      </c>
      <c r="C96" s="523">
        <f t="shared" si="10"/>
        <v>0.2107974476333894</v>
      </c>
      <c r="D96" s="523">
        <f t="shared" si="10"/>
        <v>0.21038285089894215</v>
      </c>
      <c r="E96" s="523">
        <f t="shared" si="11"/>
        <v>-0.0004145967344472423</v>
      </c>
    </row>
    <row r="97" spans="1:5" s="506" customFormat="1" ht="12.75">
      <c r="A97" s="512">
        <v>3</v>
      </c>
      <c r="B97" s="511" t="s">
        <v>862</v>
      </c>
      <c r="C97" s="523">
        <f t="shared" si="10"/>
        <v>0.06751915794446371</v>
      </c>
      <c r="D97" s="523">
        <f t="shared" si="10"/>
        <v>0.07732540728210113</v>
      </c>
      <c r="E97" s="523">
        <f t="shared" si="11"/>
        <v>0.009806249337637421</v>
      </c>
    </row>
    <row r="98" spans="1:5" s="506" customFormat="1" ht="12.75">
      <c r="A98" s="512">
        <v>4</v>
      </c>
      <c r="B98" s="511" t="s">
        <v>231</v>
      </c>
      <c r="C98" s="523">
        <f t="shared" si="10"/>
        <v>0.05284606329746969</v>
      </c>
      <c r="D98" s="523">
        <f t="shared" si="10"/>
        <v>0.061157318223963184</v>
      </c>
      <c r="E98" s="523">
        <f t="shared" si="11"/>
        <v>0.00831125492649349</v>
      </c>
    </row>
    <row r="99" spans="1:5" s="506" customFormat="1" ht="12.75">
      <c r="A99" s="512">
        <v>5</v>
      </c>
      <c r="B99" s="511" t="s">
        <v>829</v>
      </c>
      <c r="C99" s="523">
        <f t="shared" si="10"/>
        <v>0.014673094646994024</v>
      </c>
      <c r="D99" s="523">
        <f t="shared" si="10"/>
        <v>0.016168089058137953</v>
      </c>
      <c r="E99" s="523">
        <f t="shared" si="11"/>
        <v>0.0014949944111439292</v>
      </c>
    </row>
    <row r="100" spans="1:5" s="506" customFormat="1" ht="12.75">
      <c r="A100" s="512">
        <v>6</v>
      </c>
      <c r="B100" s="511" t="s">
        <v>533</v>
      </c>
      <c r="C100" s="523">
        <f t="shared" si="10"/>
        <v>0.0013849768838618175</v>
      </c>
      <c r="D100" s="523">
        <f t="shared" si="10"/>
        <v>0.001727647827792715</v>
      </c>
      <c r="E100" s="523">
        <f t="shared" si="11"/>
        <v>0.0003426709439308974</v>
      </c>
    </row>
    <row r="101" spans="1:5" s="506" customFormat="1" ht="12.75">
      <c r="A101" s="512">
        <v>7</v>
      </c>
      <c r="B101" s="511" t="s">
        <v>844</v>
      </c>
      <c r="C101" s="523">
        <f t="shared" si="10"/>
        <v>0.01596669476023401</v>
      </c>
      <c r="D101" s="523">
        <f t="shared" si="10"/>
        <v>0.022230932309122806</v>
      </c>
      <c r="E101" s="523">
        <f t="shared" si="11"/>
        <v>0.006264237548888794</v>
      </c>
    </row>
    <row r="102" spans="1:5" s="506" customFormat="1" ht="12.75">
      <c r="A102" s="512"/>
      <c r="B102" s="516" t="s">
        <v>884</v>
      </c>
      <c r="C102" s="524">
        <f>SUM(C96+C97+C100)</f>
        <v>0.2797015824617149</v>
      </c>
      <c r="D102" s="524">
        <f>SUM(D96+D97+D100)</f>
        <v>0.289435906008836</v>
      </c>
      <c r="E102" s="525">
        <f t="shared" si="11"/>
        <v>0.009734323547121115</v>
      </c>
    </row>
    <row r="103" spans="1:5" s="506" customFormat="1" ht="12.75">
      <c r="A103" s="512"/>
      <c r="B103" s="516" t="s">
        <v>885</v>
      </c>
      <c r="C103" s="524">
        <f>SUM(C95+C102)</f>
        <v>0.6177744620956536</v>
      </c>
      <c r="D103" s="524">
        <f>SUM(D95+D102)</f>
        <v>0.6113292080922081</v>
      </c>
      <c r="E103" s="525">
        <f t="shared" si="11"/>
        <v>-0.006445254003445422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886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153</v>
      </c>
      <c r="B107" s="522" t="s">
        <v>887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737</v>
      </c>
      <c r="C109" s="523">
        <f aca="true" t="shared" si="12" ref="C109:D115">IF(C$77=0,0,C47/C$77)</f>
        <v>0.15329621994650583</v>
      </c>
      <c r="D109" s="523">
        <f t="shared" si="12"/>
        <v>0.15353547445491358</v>
      </c>
      <c r="E109" s="523">
        <f aca="true" t="shared" si="13" ref="E109:E117">D109-C109</f>
        <v>0.00023925450840775464</v>
      </c>
    </row>
    <row r="110" spans="1:5" s="506" customFormat="1" ht="12.75">
      <c r="A110" s="512">
        <v>2</v>
      </c>
      <c r="B110" s="511" t="s">
        <v>716</v>
      </c>
      <c r="C110" s="523">
        <f t="shared" si="12"/>
        <v>0.20764965181549902</v>
      </c>
      <c r="D110" s="523">
        <f t="shared" si="12"/>
        <v>0.22573671123262465</v>
      </c>
      <c r="E110" s="523">
        <f t="shared" si="13"/>
        <v>0.018087059417125628</v>
      </c>
    </row>
    <row r="111" spans="1:5" s="506" customFormat="1" ht="12.75">
      <c r="A111" s="512">
        <v>3</v>
      </c>
      <c r="B111" s="511" t="s">
        <v>862</v>
      </c>
      <c r="C111" s="523">
        <f t="shared" si="12"/>
        <v>0.03630239834574411</v>
      </c>
      <c r="D111" s="523">
        <f t="shared" si="12"/>
        <v>0.04449779063292488</v>
      </c>
      <c r="E111" s="523">
        <f t="shared" si="13"/>
        <v>0.008195392287180775</v>
      </c>
    </row>
    <row r="112" spans="1:5" s="506" customFormat="1" ht="12.75">
      <c r="A112" s="512">
        <v>4</v>
      </c>
      <c r="B112" s="511" t="s">
        <v>231</v>
      </c>
      <c r="C112" s="523">
        <f t="shared" si="12"/>
        <v>0.02939107730788464</v>
      </c>
      <c r="D112" s="523">
        <f t="shared" si="12"/>
        <v>0.03274734492356025</v>
      </c>
      <c r="E112" s="523">
        <f t="shared" si="13"/>
        <v>0.0033562676156756073</v>
      </c>
    </row>
    <row r="113" spans="1:5" s="506" customFormat="1" ht="12.75">
      <c r="A113" s="512">
        <v>5</v>
      </c>
      <c r="B113" s="511" t="s">
        <v>829</v>
      </c>
      <c r="C113" s="523">
        <f t="shared" si="12"/>
        <v>0.0069113210378594645</v>
      </c>
      <c r="D113" s="523">
        <f t="shared" si="12"/>
        <v>0.011750445709364636</v>
      </c>
      <c r="E113" s="523">
        <f t="shared" si="13"/>
        <v>0.004839124671505172</v>
      </c>
    </row>
    <row r="114" spans="1:5" s="506" customFormat="1" ht="12.75">
      <c r="A114" s="512">
        <v>6</v>
      </c>
      <c r="B114" s="511" t="s">
        <v>533</v>
      </c>
      <c r="C114" s="523">
        <f t="shared" si="12"/>
        <v>0.0003916696120784985</v>
      </c>
      <c r="D114" s="523">
        <f t="shared" si="12"/>
        <v>0.0015191734272836609</v>
      </c>
      <c r="E114" s="523">
        <f t="shared" si="13"/>
        <v>0.0011275038152051625</v>
      </c>
    </row>
    <row r="115" spans="1:5" s="506" customFormat="1" ht="12.75">
      <c r="A115" s="512">
        <v>7</v>
      </c>
      <c r="B115" s="511" t="s">
        <v>844</v>
      </c>
      <c r="C115" s="523">
        <f t="shared" si="12"/>
        <v>0.004247729005558397</v>
      </c>
      <c r="D115" s="523">
        <f t="shared" si="12"/>
        <v>0.0060127297062353285</v>
      </c>
      <c r="E115" s="523">
        <f t="shared" si="13"/>
        <v>0.0017650007006769315</v>
      </c>
    </row>
    <row r="116" spans="1:5" s="506" customFormat="1" ht="12.75">
      <c r="A116" s="512"/>
      <c r="B116" s="516" t="s">
        <v>881</v>
      </c>
      <c r="C116" s="524">
        <f>SUM(C110+C111+C114)</f>
        <v>0.24434371977332164</v>
      </c>
      <c r="D116" s="524">
        <f>SUM(D110+D111+D114)</f>
        <v>0.2717536752928332</v>
      </c>
      <c r="E116" s="525">
        <f t="shared" si="13"/>
        <v>0.02740995551951153</v>
      </c>
    </row>
    <row r="117" spans="1:5" s="506" customFormat="1" ht="12.75">
      <c r="A117" s="512"/>
      <c r="B117" s="516" t="s">
        <v>882</v>
      </c>
      <c r="C117" s="524">
        <f>SUM(C109+C116)</f>
        <v>0.3976399397198275</v>
      </c>
      <c r="D117" s="524">
        <f>SUM(D109+D116)</f>
        <v>0.4252891497477468</v>
      </c>
      <c r="E117" s="525">
        <f t="shared" si="13"/>
        <v>0.027649210027919313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436</v>
      </c>
      <c r="B119" s="522" t="s">
        <v>888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737</v>
      </c>
      <c r="C121" s="523">
        <f aca="true" t="shared" si="14" ref="C121:D127">IF(C$77=0,0,C58/C$77)</f>
        <v>0.4037330176698403</v>
      </c>
      <c r="D121" s="523">
        <f t="shared" si="14"/>
        <v>0.3632634010793418</v>
      </c>
      <c r="E121" s="523">
        <f aca="true" t="shared" si="15" ref="E121:E129">D121-C121</f>
        <v>-0.040469616590498525</v>
      </c>
    </row>
    <row r="122" spans="1:5" s="506" customFormat="1" ht="12.75">
      <c r="A122" s="512">
        <v>2</v>
      </c>
      <c r="B122" s="511" t="s">
        <v>716</v>
      </c>
      <c r="C122" s="523">
        <f t="shared" si="14"/>
        <v>0.14904370435140482</v>
      </c>
      <c r="D122" s="523">
        <f t="shared" si="14"/>
        <v>0.15632151325193608</v>
      </c>
      <c r="E122" s="523">
        <f t="shared" si="15"/>
        <v>0.007277808900531257</v>
      </c>
    </row>
    <row r="123" spans="1:5" s="506" customFormat="1" ht="12.75">
      <c r="A123" s="512">
        <v>3</v>
      </c>
      <c r="B123" s="511" t="s">
        <v>862</v>
      </c>
      <c r="C123" s="523">
        <f t="shared" si="14"/>
        <v>0.047038916482801084</v>
      </c>
      <c r="D123" s="523">
        <f t="shared" si="14"/>
        <v>0.051961299547383155</v>
      </c>
      <c r="E123" s="523">
        <f t="shared" si="15"/>
        <v>0.004922383064582071</v>
      </c>
    </row>
    <row r="124" spans="1:5" s="506" customFormat="1" ht="12.75">
      <c r="A124" s="512">
        <v>4</v>
      </c>
      <c r="B124" s="511" t="s">
        <v>231</v>
      </c>
      <c r="C124" s="523">
        <f t="shared" si="14"/>
        <v>0.038089101678653654</v>
      </c>
      <c r="D124" s="523">
        <f t="shared" si="14"/>
        <v>0.04256918456836353</v>
      </c>
      <c r="E124" s="523">
        <f t="shared" si="15"/>
        <v>0.0044800828897098785</v>
      </c>
    </row>
    <row r="125" spans="1:5" s="506" customFormat="1" ht="12.75">
      <c r="A125" s="512">
        <v>5</v>
      </c>
      <c r="B125" s="511" t="s">
        <v>829</v>
      </c>
      <c r="C125" s="523">
        <f t="shared" si="14"/>
        <v>0.008949814804147426</v>
      </c>
      <c r="D125" s="523">
        <f t="shared" si="14"/>
        <v>0.009392114979019617</v>
      </c>
      <c r="E125" s="523">
        <f t="shared" si="15"/>
        <v>0.000442300174872191</v>
      </c>
    </row>
    <row r="126" spans="1:5" s="506" customFormat="1" ht="12.75">
      <c r="A126" s="512">
        <v>6</v>
      </c>
      <c r="B126" s="511" t="s">
        <v>533</v>
      </c>
      <c r="C126" s="523">
        <f t="shared" si="14"/>
        <v>0.0025444217761262885</v>
      </c>
      <c r="D126" s="523">
        <f t="shared" si="14"/>
        <v>0.003164636373592176</v>
      </c>
      <c r="E126" s="523">
        <f t="shared" si="15"/>
        <v>0.0006202145974658875</v>
      </c>
    </row>
    <row r="127" spans="1:5" s="506" customFormat="1" ht="12.75">
      <c r="A127" s="512">
        <v>7</v>
      </c>
      <c r="B127" s="511" t="s">
        <v>844</v>
      </c>
      <c r="C127" s="523">
        <f t="shared" si="14"/>
        <v>0.011600326128938077</v>
      </c>
      <c r="D127" s="523">
        <f t="shared" si="14"/>
        <v>0.015762998988385662</v>
      </c>
      <c r="E127" s="523">
        <f t="shared" si="15"/>
        <v>0.004162672859447585</v>
      </c>
    </row>
    <row r="128" spans="1:5" s="506" customFormat="1" ht="12.75">
      <c r="A128" s="512"/>
      <c r="B128" s="516" t="s">
        <v>884</v>
      </c>
      <c r="C128" s="524">
        <f>SUM(C122+C123+C126)</f>
        <v>0.1986270426103322</v>
      </c>
      <c r="D128" s="524">
        <f>SUM(D122+D123+D126)</f>
        <v>0.21144744917291142</v>
      </c>
      <c r="E128" s="525">
        <f t="shared" si="15"/>
        <v>0.012820406562579212</v>
      </c>
    </row>
    <row r="129" spans="1:5" s="506" customFormat="1" ht="12.75">
      <c r="A129" s="512"/>
      <c r="B129" s="516" t="s">
        <v>885</v>
      </c>
      <c r="C129" s="524">
        <f>SUM(C121+C128)</f>
        <v>0.6023600602801725</v>
      </c>
      <c r="D129" s="524">
        <f>SUM(D121+D128)</f>
        <v>0.5747108502522532</v>
      </c>
      <c r="E129" s="525">
        <f t="shared" si="15"/>
        <v>-0.027649210027919313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889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252</v>
      </c>
      <c r="B133" s="501" t="s">
        <v>890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131</v>
      </c>
      <c r="B135" s="509" t="s">
        <v>891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737</v>
      </c>
      <c r="C137" s="530">
        <v>3837</v>
      </c>
      <c r="D137" s="530">
        <v>3712</v>
      </c>
      <c r="E137" s="531">
        <f aca="true" t="shared" si="16" ref="E137:E145">D137-C137</f>
        <v>-125</v>
      </c>
    </row>
    <row r="138" spans="1:5" s="506" customFormat="1" ht="12.75">
      <c r="A138" s="512">
        <v>2</v>
      </c>
      <c r="B138" s="511" t="s">
        <v>716</v>
      </c>
      <c r="C138" s="530">
        <v>3655</v>
      </c>
      <c r="D138" s="530">
        <v>3770</v>
      </c>
      <c r="E138" s="531">
        <f t="shared" si="16"/>
        <v>115</v>
      </c>
    </row>
    <row r="139" spans="1:5" s="506" customFormat="1" ht="12.75">
      <c r="A139" s="512">
        <v>3</v>
      </c>
      <c r="B139" s="511" t="s">
        <v>862</v>
      </c>
      <c r="C139" s="530">
        <f>C140+C141</f>
        <v>1466</v>
      </c>
      <c r="D139" s="530">
        <f>D140+D141</f>
        <v>1488</v>
      </c>
      <c r="E139" s="531">
        <f t="shared" si="16"/>
        <v>22</v>
      </c>
    </row>
    <row r="140" spans="1:5" s="506" customFormat="1" ht="12.75">
      <c r="A140" s="512">
        <v>4</v>
      </c>
      <c r="B140" s="511" t="s">
        <v>231</v>
      </c>
      <c r="C140" s="530">
        <v>1145</v>
      </c>
      <c r="D140" s="530">
        <v>1166</v>
      </c>
      <c r="E140" s="531">
        <f t="shared" si="16"/>
        <v>21</v>
      </c>
    </row>
    <row r="141" spans="1:5" s="506" customFormat="1" ht="12.75">
      <c r="A141" s="512">
        <v>5</v>
      </c>
      <c r="B141" s="511" t="s">
        <v>829</v>
      </c>
      <c r="C141" s="530">
        <v>321</v>
      </c>
      <c r="D141" s="530">
        <v>322</v>
      </c>
      <c r="E141" s="531">
        <f t="shared" si="16"/>
        <v>1</v>
      </c>
    </row>
    <row r="142" spans="1:5" s="506" customFormat="1" ht="12.75">
      <c r="A142" s="512">
        <v>6</v>
      </c>
      <c r="B142" s="511" t="s">
        <v>533</v>
      </c>
      <c r="C142" s="530">
        <v>14</v>
      </c>
      <c r="D142" s="530">
        <v>19</v>
      </c>
      <c r="E142" s="531">
        <f t="shared" si="16"/>
        <v>5</v>
      </c>
    </row>
    <row r="143" spans="1:5" s="506" customFormat="1" ht="12.75">
      <c r="A143" s="512">
        <v>7</v>
      </c>
      <c r="B143" s="511" t="s">
        <v>844</v>
      </c>
      <c r="C143" s="530">
        <v>176</v>
      </c>
      <c r="D143" s="530">
        <v>182</v>
      </c>
      <c r="E143" s="531">
        <f t="shared" si="16"/>
        <v>6</v>
      </c>
    </row>
    <row r="144" spans="1:5" s="506" customFormat="1" ht="12.75">
      <c r="A144" s="512"/>
      <c r="B144" s="516" t="s">
        <v>892</v>
      </c>
      <c r="C144" s="532">
        <f>SUM(C138+C139+C142)</f>
        <v>5135</v>
      </c>
      <c r="D144" s="532">
        <f>SUM(D138+D139+D142)</f>
        <v>5277</v>
      </c>
      <c r="E144" s="533">
        <f t="shared" si="16"/>
        <v>142</v>
      </c>
    </row>
    <row r="145" spans="1:5" s="506" customFormat="1" ht="12.75">
      <c r="A145" s="512"/>
      <c r="B145" s="516" t="s">
        <v>806</v>
      </c>
      <c r="C145" s="532">
        <f>SUM(C137+C144)</f>
        <v>8972</v>
      </c>
      <c r="D145" s="532">
        <f>SUM(D137+D144)</f>
        <v>8989</v>
      </c>
      <c r="E145" s="533">
        <f t="shared" si="16"/>
        <v>17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143</v>
      </c>
      <c r="B147" s="509" t="s">
        <v>256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737</v>
      </c>
      <c r="C149" s="534">
        <v>15336</v>
      </c>
      <c r="D149" s="534">
        <v>13588</v>
      </c>
      <c r="E149" s="531">
        <f aca="true" t="shared" si="17" ref="E149:E157">D149-C149</f>
        <v>-1748</v>
      </c>
    </row>
    <row r="150" spans="1:5" s="506" customFormat="1" ht="12.75">
      <c r="A150" s="512">
        <v>2</v>
      </c>
      <c r="B150" s="511" t="s">
        <v>716</v>
      </c>
      <c r="C150" s="534">
        <v>21408</v>
      </c>
      <c r="D150" s="534">
        <v>23429</v>
      </c>
      <c r="E150" s="531">
        <f t="shared" si="17"/>
        <v>2021</v>
      </c>
    </row>
    <row r="151" spans="1:5" s="506" customFormat="1" ht="12.75">
      <c r="A151" s="512">
        <v>3</v>
      </c>
      <c r="B151" s="511" t="s">
        <v>862</v>
      </c>
      <c r="C151" s="534">
        <f>C152+C153</f>
        <v>7023</v>
      </c>
      <c r="D151" s="534">
        <f>D152+D153</f>
        <v>7523</v>
      </c>
      <c r="E151" s="531">
        <f t="shared" si="17"/>
        <v>500</v>
      </c>
    </row>
    <row r="152" spans="1:5" s="506" customFormat="1" ht="12.75">
      <c r="A152" s="512">
        <v>4</v>
      </c>
      <c r="B152" s="511" t="s">
        <v>231</v>
      </c>
      <c r="C152" s="534">
        <v>5187</v>
      </c>
      <c r="D152" s="534">
        <v>5538</v>
      </c>
      <c r="E152" s="531">
        <f t="shared" si="17"/>
        <v>351</v>
      </c>
    </row>
    <row r="153" spans="1:5" s="506" customFormat="1" ht="12.75">
      <c r="A153" s="512">
        <v>5</v>
      </c>
      <c r="B153" s="511" t="s">
        <v>829</v>
      </c>
      <c r="C153" s="535">
        <v>1836</v>
      </c>
      <c r="D153" s="534">
        <v>1985</v>
      </c>
      <c r="E153" s="531">
        <f t="shared" si="17"/>
        <v>149</v>
      </c>
    </row>
    <row r="154" spans="1:5" s="506" customFormat="1" ht="12.75">
      <c r="A154" s="512">
        <v>6</v>
      </c>
      <c r="B154" s="511" t="s">
        <v>533</v>
      </c>
      <c r="C154" s="534">
        <v>46</v>
      </c>
      <c r="D154" s="534">
        <v>91</v>
      </c>
      <c r="E154" s="531">
        <f t="shared" si="17"/>
        <v>45</v>
      </c>
    </row>
    <row r="155" spans="1:5" s="506" customFormat="1" ht="12.75">
      <c r="A155" s="512">
        <v>7</v>
      </c>
      <c r="B155" s="511" t="s">
        <v>844</v>
      </c>
      <c r="C155" s="534">
        <v>900</v>
      </c>
      <c r="D155" s="534">
        <v>839</v>
      </c>
      <c r="E155" s="531">
        <f t="shared" si="17"/>
        <v>-61</v>
      </c>
    </row>
    <row r="156" spans="1:5" s="506" customFormat="1" ht="12.75">
      <c r="A156" s="512"/>
      <c r="B156" s="516" t="s">
        <v>893</v>
      </c>
      <c r="C156" s="532">
        <f>SUM(C150+C151+C154)</f>
        <v>28477</v>
      </c>
      <c r="D156" s="532">
        <f>SUM(D150+D151+D154)</f>
        <v>31043</v>
      </c>
      <c r="E156" s="533">
        <f t="shared" si="17"/>
        <v>2566</v>
      </c>
    </row>
    <row r="157" spans="1:5" s="506" customFormat="1" ht="12.75">
      <c r="A157" s="512"/>
      <c r="B157" s="516" t="s">
        <v>894</v>
      </c>
      <c r="C157" s="532">
        <f>SUM(C149+C156)</f>
        <v>43813</v>
      </c>
      <c r="D157" s="532">
        <f>SUM(D149+D156)</f>
        <v>44631</v>
      </c>
      <c r="E157" s="533">
        <f t="shared" si="17"/>
        <v>818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153</v>
      </c>
      <c r="B159" s="509" t="s">
        <v>895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737</v>
      </c>
      <c r="C161" s="536">
        <f aca="true" t="shared" si="18" ref="C161:D169">IF(C137=0,0,C149/C137)</f>
        <v>3.99687255668491</v>
      </c>
      <c r="D161" s="536">
        <f t="shared" si="18"/>
        <v>3.6605603448275863</v>
      </c>
      <c r="E161" s="537">
        <f aca="true" t="shared" si="19" ref="E161:E169">D161-C161</f>
        <v>-0.33631221185732363</v>
      </c>
    </row>
    <row r="162" spans="1:5" s="506" customFormat="1" ht="12.75">
      <c r="A162" s="512">
        <v>2</v>
      </c>
      <c r="B162" s="511" t="s">
        <v>716</v>
      </c>
      <c r="C162" s="536">
        <f t="shared" si="18"/>
        <v>5.85718194254446</v>
      </c>
      <c r="D162" s="536">
        <f t="shared" si="18"/>
        <v>6.214588859416446</v>
      </c>
      <c r="E162" s="537">
        <f t="shared" si="19"/>
        <v>0.35740691687198556</v>
      </c>
    </row>
    <row r="163" spans="1:5" s="506" customFormat="1" ht="12.75">
      <c r="A163" s="512">
        <v>3</v>
      </c>
      <c r="B163" s="511" t="s">
        <v>862</v>
      </c>
      <c r="C163" s="536">
        <f t="shared" si="18"/>
        <v>4.7905866302864935</v>
      </c>
      <c r="D163" s="536">
        <f t="shared" si="18"/>
        <v>5.055779569892473</v>
      </c>
      <c r="E163" s="537">
        <f t="shared" si="19"/>
        <v>0.26519293960597956</v>
      </c>
    </row>
    <row r="164" spans="1:5" s="506" customFormat="1" ht="12.75">
      <c r="A164" s="512">
        <v>4</v>
      </c>
      <c r="B164" s="511" t="s">
        <v>231</v>
      </c>
      <c r="C164" s="536">
        <f t="shared" si="18"/>
        <v>4.530131004366813</v>
      </c>
      <c r="D164" s="536">
        <f t="shared" si="18"/>
        <v>4.7495711835334475</v>
      </c>
      <c r="E164" s="537">
        <f t="shared" si="19"/>
        <v>0.21944017916663494</v>
      </c>
    </row>
    <row r="165" spans="1:5" s="506" customFormat="1" ht="12.75">
      <c r="A165" s="512">
        <v>5</v>
      </c>
      <c r="B165" s="511" t="s">
        <v>829</v>
      </c>
      <c r="C165" s="536">
        <f t="shared" si="18"/>
        <v>5.719626168224299</v>
      </c>
      <c r="D165" s="536">
        <f t="shared" si="18"/>
        <v>6.1645962732919255</v>
      </c>
      <c r="E165" s="537">
        <f t="shared" si="19"/>
        <v>0.44497010506762624</v>
      </c>
    </row>
    <row r="166" spans="1:5" s="506" customFormat="1" ht="12.75">
      <c r="A166" s="512">
        <v>6</v>
      </c>
      <c r="B166" s="511" t="s">
        <v>533</v>
      </c>
      <c r="C166" s="536">
        <f t="shared" si="18"/>
        <v>3.2857142857142856</v>
      </c>
      <c r="D166" s="536">
        <f t="shared" si="18"/>
        <v>4.7894736842105265</v>
      </c>
      <c r="E166" s="537">
        <f t="shared" si="19"/>
        <v>1.503759398496241</v>
      </c>
    </row>
    <row r="167" spans="1:5" s="506" customFormat="1" ht="12.75">
      <c r="A167" s="512">
        <v>7</v>
      </c>
      <c r="B167" s="511" t="s">
        <v>844</v>
      </c>
      <c r="C167" s="536">
        <f t="shared" si="18"/>
        <v>5.113636363636363</v>
      </c>
      <c r="D167" s="536">
        <f t="shared" si="18"/>
        <v>4.6098901098901095</v>
      </c>
      <c r="E167" s="537">
        <f t="shared" si="19"/>
        <v>-0.5037462537462538</v>
      </c>
    </row>
    <row r="168" spans="1:5" s="506" customFormat="1" ht="12.75">
      <c r="A168" s="512"/>
      <c r="B168" s="516" t="s">
        <v>896</v>
      </c>
      <c r="C168" s="538">
        <f t="shared" si="18"/>
        <v>5.545666991236612</v>
      </c>
      <c r="D168" s="538">
        <f t="shared" si="18"/>
        <v>5.882698502937275</v>
      </c>
      <c r="E168" s="539">
        <f t="shared" si="19"/>
        <v>0.3370315117006637</v>
      </c>
    </row>
    <row r="169" spans="1:5" s="506" customFormat="1" ht="12.75">
      <c r="A169" s="512"/>
      <c r="B169" s="516" t="s">
        <v>830</v>
      </c>
      <c r="C169" s="538">
        <f t="shared" si="18"/>
        <v>4.883303611234953</v>
      </c>
      <c r="D169" s="538">
        <f t="shared" si="18"/>
        <v>4.965068416954055</v>
      </c>
      <c r="E169" s="539">
        <f t="shared" si="19"/>
        <v>0.08176480571910183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436</v>
      </c>
      <c r="B171" s="509" t="s">
        <v>897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737</v>
      </c>
      <c r="C173" s="541">
        <f aca="true" t="shared" si="20" ref="C173:D181">IF(C137=0,0,C203/C137)</f>
        <v>1.03192</v>
      </c>
      <c r="D173" s="541">
        <f t="shared" si="20"/>
        <v>1.03265</v>
      </c>
      <c r="E173" s="542">
        <f aca="true" t="shared" si="21" ref="E173:E181">D173-C173</f>
        <v>0.0007300000000001194</v>
      </c>
    </row>
    <row r="174" spans="1:5" s="506" customFormat="1" ht="12.75">
      <c r="A174" s="512">
        <v>2</v>
      </c>
      <c r="B174" s="511" t="s">
        <v>716</v>
      </c>
      <c r="C174" s="541">
        <f t="shared" si="20"/>
        <v>1.4483599999999999</v>
      </c>
      <c r="D174" s="541">
        <f t="shared" si="20"/>
        <v>1.53069</v>
      </c>
      <c r="E174" s="542">
        <f t="shared" si="21"/>
        <v>0.08233000000000024</v>
      </c>
    </row>
    <row r="175" spans="1:5" s="506" customFormat="1" ht="12.75">
      <c r="A175" s="512">
        <v>0</v>
      </c>
      <c r="B175" s="511" t="s">
        <v>862</v>
      </c>
      <c r="C175" s="541">
        <f t="shared" si="20"/>
        <v>0.9687262346521147</v>
      </c>
      <c r="D175" s="541">
        <f t="shared" si="20"/>
        <v>0.9701061559139784</v>
      </c>
      <c r="E175" s="542">
        <f t="shared" si="21"/>
        <v>0.0013799212618637036</v>
      </c>
    </row>
    <row r="176" spans="1:5" s="506" customFormat="1" ht="12.75">
      <c r="A176" s="512">
        <v>4</v>
      </c>
      <c r="B176" s="511" t="s">
        <v>231</v>
      </c>
      <c r="C176" s="541">
        <f t="shared" si="20"/>
        <v>0.94884</v>
      </c>
      <c r="D176" s="541">
        <f t="shared" si="20"/>
        <v>0.94313</v>
      </c>
      <c r="E176" s="542">
        <f t="shared" si="21"/>
        <v>-0.005709999999999993</v>
      </c>
    </row>
    <row r="177" spans="1:5" s="506" customFormat="1" ht="12.75">
      <c r="A177" s="512">
        <v>5</v>
      </c>
      <c r="B177" s="511" t="s">
        <v>829</v>
      </c>
      <c r="C177" s="541">
        <f t="shared" si="20"/>
        <v>1.03966</v>
      </c>
      <c r="D177" s="541">
        <f t="shared" si="20"/>
        <v>1.06779</v>
      </c>
      <c r="E177" s="542">
        <f t="shared" si="21"/>
        <v>0.02812999999999999</v>
      </c>
    </row>
    <row r="178" spans="1:5" s="506" customFormat="1" ht="12.75">
      <c r="A178" s="512">
        <v>6</v>
      </c>
      <c r="B178" s="511" t="s">
        <v>533</v>
      </c>
      <c r="C178" s="541">
        <f t="shared" si="20"/>
        <v>1.01299</v>
      </c>
      <c r="D178" s="541">
        <f t="shared" si="20"/>
        <v>1.31369</v>
      </c>
      <c r="E178" s="542">
        <f t="shared" si="21"/>
        <v>0.30069999999999997</v>
      </c>
    </row>
    <row r="179" spans="1:5" s="506" customFormat="1" ht="12.75">
      <c r="A179" s="512">
        <v>7</v>
      </c>
      <c r="B179" s="511" t="s">
        <v>844</v>
      </c>
      <c r="C179" s="541">
        <f t="shared" si="20"/>
        <v>0.9304000000000001</v>
      </c>
      <c r="D179" s="541">
        <f t="shared" si="20"/>
        <v>0.9866300000000001</v>
      </c>
      <c r="E179" s="542">
        <f t="shared" si="21"/>
        <v>0.05623</v>
      </c>
    </row>
    <row r="180" spans="1:5" s="506" customFormat="1" ht="12.75">
      <c r="A180" s="512"/>
      <c r="B180" s="516" t="s">
        <v>898</v>
      </c>
      <c r="C180" s="543">
        <f t="shared" si="20"/>
        <v>1.3102415423563778</v>
      </c>
      <c r="D180" s="543">
        <f t="shared" si="20"/>
        <v>1.3718361512222856</v>
      </c>
      <c r="E180" s="544">
        <f t="shared" si="21"/>
        <v>0.06159460886590784</v>
      </c>
    </row>
    <row r="181" spans="1:5" s="506" customFormat="1" ht="12.75">
      <c r="A181" s="512"/>
      <c r="B181" s="516" t="s">
        <v>807</v>
      </c>
      <c r="C181" s="543">
        <f t="shared" si="20"/>
        <v>1.1912134819438254</v>
      </c>
      <c r="D181" s="543">
        <f t="shared" si="20"/>
        <v>1.2317695149627323</v>
      </c>
      <c r="E181" s="544">
        <f t="shared" si="21"/>
        <v>0.04055603301890698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457</v>
      </c>
      <c r="B183" s="509" t="s">
        <v>899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900</v>
      </c>
      <c r="C185" s="513">
        <v>179797206</v>
      </c>
      <c r="D185" s="513">
        <v>178865005</v>
      </c>
      <c r="E185" s="514">
        <f>D185-C185</f>
        <v>-932201</v>
      </c>
    </row>
    <row r="186" spans="1:5" s="506" customFormat="1" ht="25.5">
      <c r="A186" s="512">
        <v>2</v>
      </c>
      <c r="B186" s="511" t="s">
        <v>901</v>
      </c>
      <c r="C186" s="513">
        <v>84486715</v>
      </c>
      <c r="D186" s="513">
        <v>82007198</v>
      </c>
      <c r="E186" s="514">
        <f>D186-C186</f>
        <v>-2479517</v>
      </c>
    </row>
    <row r="187" spans="1:5" s="506" customFormat="1" ht="12.75">
      <c r="A187" s="512"/>
      <c r="B187" s="511" t="s">
        <v>749</v>
      </c>
      <c r="C187" s="510"/>
      <c r="D187" s="510"/>
      <c r="E187" s="511"/>
    </row>
    <row r="188" spans="1:5" s="506" customFormat="1" ht="12.75">
      <c r="A188" s="512">
        <v>3</v>
      </c>
      <c r="B188" s="511" t="s">
        <v>833</v>
      </c>
      <c r="C188" s="546">
        <f>+C185-C186</f>
        <v>95310491</v>
      </c>
      <c r="D188" s="546">
        <f>+D185-D186</f>
        <v>96857807</v>
      </c>
      <c r="E188" s="514">
        <f aca="true" t="shared" si="22" ref="E188:E197">D188-C188</f>
        <v>1547316</v>
      </c>
    </row>
    <row r="189" spans="1:5" s="506" customFormat="1" ht="12.75">
      <c r="A189" s="512">
        <v>4</v>
      </c>
      <c r="B189" s="511" t="s">
        <v>751</v>
      </c>
      <c r="C189" s="547">
        <f>IF(C185=0,0,+C188/C185)</f>
        <v>0.5300999560582715</v>
      </c>
      <c r="D189" s="547">
        <f>IF(D185=0,0,+D188/D185)</f>
        <v>0.5415134559160971</v>
      </c>
      <c r="E189" s="523">
        <f t="shared" si="22"/>
        <v>0.011413499857825582</v>
      </c>
    </row>
    <row r="190" spans="1:5" s="506" customFormat="1" ht="12.75">
      <c r="A190" s="512">
        <v>5</v>
      </c>
      <c r="B190" s="511" t="s">
        <v>848</v>
      </c>
      <c r="C190" s="513">
        <v>0</v>
      </c>
      <c r="D190" s="513">
        <v>0</v>
      </c>
      <c r="E190" s="546">
        <f t="shared" si="22"/>
        <v>0</v>
      </c>
    </row>
    <row r="191" spans="1:5" s="506" customFormat="1" ht="12.75">
      <c r="A191" s="512">
        <v>6</v>
      </c>
      <c r="B191" s="511" t="s">
        <v>834</v>
      </c>
      <c r="C191" s="513">
        <v>0</v>
      </c>
      <c r="D191" s="513">
        <v>0</v>
      </c>
      <c r="E191" s="546">
        <f t="shared" si="22"/>
        <v>0</v>
      </c>
    </row>
    <row r="192" spans="1:5" ht="29.25">
      <c r="A192" s="512">
        <v>7</v>
      </c>
      <c r="B192" s="548" t="s">
        <v>902</v>
      </c>
      <c r="C192" s="513">
        <v>826439</v>
      </c>
      <c r="D192" s="513">
        <v>686857</v>
      </c>
      <c r="E192" s="546">
        <f t="shared" si="22"/>
        <v>-139582</v>
      </c>
    </row>
    <row r="193" spans="1:5" s="506" customFormat="1" ht="12.75">
      <c r="A193" s="512">
        <v>8</v>
      </c>
      <c r="B193" s="511" t="s">
        <v>903</v>
      </c>
      <c r="C193" s="513">
        <v>1880071</v>
      </c>
      <c r="D193" s="513">
        <v>1418730</v>
      </c>
      <c r="E193" s="546">
        <f t="shared" si="22"/>
        <v>-461341</v>
      </c>
    </row>
    <row r="194" spans="1:5" s="506" customFormat="1" ht="12.75">
      <c r="A194" s="512">
        <v>9</v>
      </c>
      <c r="B194" s="511" t="s">
        <v>904</v>
      </c>
      <c r="C194" s="513">
        <v>6287004</v>
      </c>
      <c r="D194" s="513">
        <v>7895004</v>
      </c>
      <c r="E194" s="546">
        <f t="shared" si="22"/>
        <v>1608000</v>
      </c>
    </row>
    <row r="195" spans="1:5" s="506" customFormat="1" ht="12.75">
      <c r="A195" s="512">
        <v>10</v>
      </c>
      <c r="B195" s="511" t="s">
        <v>905</v>
      </c>
      <c r="C195" s="513">
        <f>+C193+C194</f>
        <v>8167075</v>
      </c>
      <c r="D195" s="513">
        <f>+D193+D194</f>
        <v>9313734</v>
      </c>
      <c r="E195" s="549">
        <f t="shared" si="22"/>
        <v>1146659</v>
      </c>
    </row>
    <row r="196" spans="1:5" s="506" customFormat="1" ht="12.75">
      <c r="A196" s="512">
        <v>11</v>
      </c>
      <c r="B196" s="511" t="s">
        <v>906</v>
      </c>
      <c r="C196" s="513">
        <v>179797206</v>
      </c>
      <c r="D196" s="513">
        <v>178865005</v>
      </c>
      <c r="E196" s="546">
        <f t="shared" si="22"/>
        <v>-932201</v>
      </c>
    </row>
    <row r="197" spans="1:5" s="506" customFormat="1" ht="12.75">
      <c r="A197" s="512">
        <v>12</v>
      </c>
      <c r="B197" s="511" t="s">
        <v>791</v>
      </c>
      <c r="C197" s="513">
        <v>155638490</v>
      </c>
      <c r="D197" s="513">
        <v>170017184</v>
      </c>
      <c r="E197" s="546">
        <f t="shared" si="22"/>
        <v>14378694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261</v>
      </c>
      <c r="B199" s="550" t="s">
        <v>907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131</v>
      </c>
      <c r="B201" s="509" t="s">
        <v>908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737</v>
      </c>
      <c r="C203" s="553">
        <v>3959.4770399999998</v>
      </c>
      <c r="D203" s="553">
        <v>3833.1968</v>
      </c>
      <c r="E203" s="554">
        <f aca="true" t="shared" si="23" ref="E203:E211">D203-C203</f>
        <v>-126.2802399999996</v>
      </c>
    </row>
    <row r="204" spans="1:5" s="506" customFormat="1" ht="12.75">
      <c r="A204" s="512">
        <v>2</v>
      </c>
      <c r="B204" s="511" t="s">
        <v>716</v>
      </c>
      <c r="C204" s="553">
        <v>5293.7558</v>
      </c>
      <c r="D204" s="553">
        <v>5770.701300000001</v>
      </c>
      <c r="E204" s="554">
        <f t="shared" si="23"/>
        <v>476.9455000000007</v>
      </c>
    </row>
    <row r="205" spans="1:5" s="506" customFormat="1" ht="12.75">
      <c r="A205" s="512">
        <v>3</v>
      </c>
      <c r="B205" s="511" t="s">
        <v>862</v>
      </c>
      <c r="C205" s="553">
        <f>C206+C207</f>
        <v>1420.1526600000002</v>
      </c>
      <c r="D205" s="553">
        <f>D206+D207</f>
        <v>1443.51796</v>
      </c>
      <c r="E205" s="554">
        <f t="shared" si="23"/>
        <v>23.365299999999706</v>
      </c>
    </row>
    <row r="206" spans="1:5" s="506" customFormat="1" ht="12.75">
      <c r="A206" s="512">
        <v>4</v>
      </c>
      <c r="B206" s="511" t="s">
        <v>231</v>
      </c>
      <c r="C206" s="553">
        <v>1086.4218</v>
      </c>
      <c r="D206" s="553">
        <v>1099.68958</v>
      </c>
      <c r="E206" s="554">
        <f t="shared" si="23"/>
        <v>13.267779999999902</v>
      </c>
    </row>
    <row r="207" spans="1:5" s="506" customFormat="1" ht="12.75">
      <c r="A207" s="512">
        <v>5</v>
      </c>
      <c r="B207" s="511" t="s">
        <v>829</v>
      </c>
      <c r="C207" s="553">
        <v>333.73086</v>
      </c>
      <c r="D207" s="553">
        <v>343.82838</v>
      </c>
      <c r="E207" s="554">
        <f t="shared" si="23"/>
        <v>10.097519999999975</v>
      </c>
    </row>
    <row r="208" spans="1:5" s="506" customFormat="1" ht="12.75">
      <c r="A208" s="512">
        <v>6</v>
      </c>
      <c r="B208" s="511" t="s">
        <v>533</v>
      </c>
      <c r="C208" s="553">
        <v>14.18186</v>
      </c>
      <c r="D208" s="553">
        <v>24.96011</v>
      </c>
      <c r="E208" s="554">
        <f t="shared" si="23"/>
        <v>10.77825</v>
      </c>
    </row>
    <row r="209" spans="1:5" s="506" customFormat="1" ht="12.75">
      <c r="A209" s="512">
        <v>7</v>
      </c>
      <c r="B209" s="511" t="s">
        <v>844</v>
      </c>
      <c r="C209" s="553">
        <v>163.7504</v>
      </c>
      <c r="D209" s="553">
        <v>179.56666</v>
      </c>
      <c r="E209" s="554">
        <f t="shared" si="23"/>
        <v>15.81626</v>
      </c>
    </row>
    <row r="210" spans="1:5" s="506" customFormat="1" ht="12.75">
      <c r="A210" s="512"/>
      <c r="B210" s="516" t="s">
        <v>909</v>
      </c>
      <c r="C210" s="555">
        <f>C204+C205+C208</f>
        <v>6728.09032</v>
      </c>
      <c r="D210" s="555">
        <f>D204+D205+D208</f>
        <v>7239.179370000001</v>
      </c>
      <c r="E210" s="556">
        <f t="shared" si="23"/>
        <v>511.0890500000005</v>
      </c>
    </row>
    <row r="211" spans="1:5" s="506" customFormat="1" ht="12.75">
      <c r="A211" s="512"/>
      <c r="B211" s="516" t="s">
        <v>808</v>
      </c>
      <c r="C211" s="555">
        <f>C210+C203</f>
        <v>10687.567360000001</v>
      </c>
      <c r="D211" s="555">
        <f>D210+D203</f>
        <v>11072.376170000001</v>
      </c>
      <c r="E211" s="556">
        <f t="shared" si="23"/>
        <v>384.80881000000045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143</v>
      </c>
      <c r="B213" s="509" t="s">
        <v>910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737</v>
      </c>
      <c r="C215" s="557">
        <f>IF(C14*C137=0,0,C25/C14*C137)</f>
        <v>10594.385534372326</v>
      </c>
      <c r="D215" s="557">
        <f>IF(D14*D137=0,0,D25/D14*D137)</f>
        <v>10468.635821715672</v>
      </c>
      <c r="E215" s="557">
        <f aca="true" t="shared" si="24" ref="E215:E223">D215-C215</f>
        <v>-125.74971265665408</v>
      </c>
    </row>
    <row r="216" spans="1:5" s="506" customFormat="1" ht="12.75">
      <c r="A216" s="512">
        <v>2</v>
      </c>
      <c r="B216" s="511" t="s">
        <v>716</v>
      </c>
      <c r="C216" s="557">
        <f>IF(C15*C138=0,0,C26/C15*C138)</f>
        <v>3665.611735914035</v>
      </c>
      <c r="D216" s="557">
        <f>IF(D15*D138=0,0,D26/D15*D138)</f>
        <v>3488.707235174334</v>
      </c>
      <c r="E216" s="557">
        <f t="shared" si="24"/>
        <v>-176.90450073970078</v>
      </c>
    </row>
    <row r="217" spans="1:5" s="506" customFormat="1" ht="12.75">
      <c r="A217" s="512">
        <v>3</v>
      </c>
      <c r="B217" s="511" t="s">
        <v>862</v>
      </c>
      <c r="C217" s="557">
        <f>C218+C219</f>
        <v>2037.3027796402405</v>
      </c>
      <c r="D217" s="557">
        <f>D218+D219</f>
        <v>2494.142963417954</v>
      </c>
      <c r="E217" s="557">
        <f t="shared" si="24"/>
        <v>456.8401837777135</v>
      </c>
    </row>
    <row r="218" spans="1:5" s="506" customFormat="1" ht="12.75">
      <c r="A218" s="512">
        <v>4</v>
      </c>
      <c r="B218" s="511" t="s">
        <v>231</v>
      </c>
      <c r="C218" s="557">
        <f aca="true" t="shared" si="25" ref="C218:D221">IF(C17*C140=0,0,C28/C17*C140)</f>
        <v>1677.8426371766377</v>
      </c>
      <c r="D218" s="557">
        <f t="shared" si="25"/>
        <v>2037.0096302701327</v>
      </c>
      <c r="E218" s="557">
        <f t="shared" si="24"/>
        <v>359.16699309349497</v>
      </c>
    </row>
    <row r="219" spans="1:5" s="506" customFormat="1" ht="12.75">
      <c r="A219" s="512">
        <v>5</v>
      </c>
      <c r="B219" s="511" t="s">
        <v>829</v>
      </c>
      <c r="C219" s="557">
        <f t="shared" si="25"/>
        <v>359.4601424636027</v>
      </c>
      <c r="D219" s="557">
        <f t="shared" si="25"/>
        <v>457.1333331478211</v>
      </c>
      <c r="E219" s="557">
        <f t="shared" si="24"/>
        <v>97.67319068421835</v>
      </c>
    </row>
    <row r="220" spans="1:5" s="506" customFormat="1" ht="12.75">
      <c r="A220" s="512">
        <v>6</v>
      </c>
      <c r="B220" s="511" t="s">
        <v>533</v>
      </c>
      <c r="C220" s="557">
        <f t="shared" si="25"/>
        <v>44.997872036900546</v>
      </c>
      <c r="D220" s="557">
        <f t="shared" si="25"/>
        <v>41.47565115075649</v>
      </c>
      <c r="E220" s="557">
        <f t="shared" si="24"/>
        <v>-3.522220886144055</v>
      </c>
    </row>
    <row r="221" spans="1:5" s="506" customFormat="1" ht="12.75">
      <c r="A221" s="512">
        <v>7</v>
      </c>
      <c r="B221" s="511" t="s">
        <v>844</v>
      </c>
      <c r="C221" s="557">
        <f t="shared" si="25"/>
        <v>525.6986375933019</v>
      </c>
      <c r="D221" s="557">
        <f t="shared" si="25"/>
        <v>492.45979430201817</v>
      </c>
      <c r="E221" s="557">
        <f t="shared" si="24"/>
        <v>-33.23884329128373</v>
      </c>
    </row>
    <row r="222" spans="1:5" s="506" customFormat="1" ht="12.75">
      <c r="A222" s="512"/>
      <c r="B222" s="516" t="s">
        <v>911</v>
      </c>
      <c r="C222" s="558">
        <f>C216+C218+C219+C220</f>
        <v>5747.912387591176</v>
      </c>
      <c r="D222" s="558">
        <f>D216+D218+D219+D220</f>
        <v>6024.325849743044</v>
      </c>
      <c r="E222" s="558">
        <f t="shared" si="24"/>
        <v>276.41346215186786</v>
      </c>
    </row>
    <row r="223" spans="1:5" s="506" customFormat="1" ht="12.75">
      <c r="A223" s="512"/>
      <c r="B223" s="516" t="s">
        <v>912</v>
      </c>
      <c r="C223" s="558">
        <f>C215+C222</f>
        <v>16342.297921963502</v>
      </c>
      <c r="D223" s="558">
        <f>D215+D222</f>
        <v>16492.961671458717</v>
      </c>
      <c r="E223" s="558">
        <f t="shared" si="24"/>
        <v>150.6637494952156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153</v>
      </c>
      <c r="B225" s="509" t="s">
        <v>913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737</v>
      </c>
      <c r="C227" s="560">
        <f aca="true" t="shared" si="26" ref="C227:D235">IF(C203=0,0,C47/C203)</f>
        <v>5872.243421318084</v>
      </c>
      <c r="D227" s="560">
        <f t="shared" si="26"/>
        <v>6355.91420717037</v>
      </c>
      <c r="E227" s="560">
        <f aca="true" t="shared" si="27" ref="E227:E235">D227-C227</f>
        <v>483.6707858522859</v>
      </c>
    </row>
    <row r="228" spans="1:5" s="506" customFormat="1" ht="12.75">
      <c r="A228" s="512">
        <v>2</v>
      </c>
      <c r="B228" s="511" t="s">
        <v>716</v>
      </c>
      <c r="C228" s="560">
        <f t="shared" si="26"/>
        <v>5949.46257248965</v>
      </c>
      <c r="D228" s="560">
        <f t="shared" si="26"/>
        <v>6207.318164258475</v>
      </c>
      <c r="E228" s="560">
        <f t="shared" si="27"/>
        <v>257.85559176882543</v>
      </c>
    </row>
    <row r="229" spans="1:5" s="506" customFormat="1" ht="12.75">
      <c r="A229" s="512">
        <v>3</v>
      </c>
      <c r="B229" s="511" t="s">
        <v>862</v>
      </c>
      <c r="C229" s="560">
        <f t="shared" si="26"/>
        <v>3877.1331808793</v>
      </c>
      <c r="D229" s="560">
        <f t="shared" si="26"/>
        <v>4891.5518861989085</v>
      </c>
      <c r="E229" s="560">
        <f t="shared" si="27"/>
        <v>1014.4187053196083</v>
      </c>
    </row>
    <row r="230" spans="1:5" s="506" customFormat="1" ht="12.75">
      <c r="A230" s="512">
        <v>4</v>
      </c>
      <c r="B230" s="511" t="s">
        <v>231</v>
      </c>
      <c r="C230" s="560">
        <f t="shared" si="26"/>
        <v>4103.2451668403555</v>
      </c>
      <c r="D230" s="560">
        <f t="shared" si="26"/>
        <v>4725.376228444395</v>
      </c>
      <c r="E230" s="560">
        <f t="shared" si="27"/>
        <v>622.1310616040391</v>
      </c>
    </row>
    <row r="231" spans="1:5" s="506" customFormat="1" ht="12.75">
      <c r="A231" s="512">
        <v>5</v>
      </c>
      <c r="B231" s="511" t="s">
        <v>829</v>
      </c>
      <c r="C231" s="560">
        <f t="shared" si="26"/>
        <v>3141.052044153184</v>
      </c>
      <c r="D231" s="560">
        <f t="shared" si="26"/>
        <v>5423.042740101908</v>
      </c>
      <c r="E231" s="560">
        <f t="shared" si="27"/>
        <v>2281.990695948724</v>
      </c>
    </row>
    <row r="232" spans="1:5" s="506" customFormat="1" ht="12.75">
      <c r="A232" s="512">
        <v>6</v>
      </c>
      <c r="B232" s="511" t="s">
        <v>533</v>
      </c>
      <c r="C232" s="560">
        <f t="shared" si="26"/>
        <v>4188.872263581787</v>
      </c>
      <c r="D232" s="560">
        <f t="shared" si="26"/>
        <v>9658.090449120617</v>
      </c>
      <c r="E232" s="560">
        <f t="shared" si="27"/>
        <v>5469.21818553883</v>
      </c>
    </row>
    <row r="233" spans="1:5" s="506" customFormat="1" ht="12.75">
      <c r="A233" s="512">
        <v>7</v>
      </c>
      <c r="B233" s="511" t="s">
        <v>844</v>
      </c>
      <c r="C233" s="560">
        <f t="shared" si="26"/>
        <v>3934.457564683811</v>
      </c>
      <c r="D233" s="560">
        <f t="shared" si="26"/>
        <v>5313.447384943284</v>
      </c>
      <c r="E233" s="560">
        <f t="shared" si="27"/>
        <v>1378.9898202594732</v>
      </c>
    </row>
    <row r="234" spans="1:5" ht="12.75">
      <c r="A234" s="512"/>
      <c r="B234" s="516" t="s">
        <v>914</v>
      </c>
      <c r="C234" s="561">
        <f t="shared" si="26"/>
        <v>5508.328104608441</v>
      </c>
      <c r="D234" s="561">
        <f t="shared" si="26"/>
        <v>5956.847702752804</v>
      </c>
      <c r="E234" s="561">
        <f t="shared" si="27"/>
        <v>448.51959814436304</v>
      </c>
    </row>
    <row r="235" spans="1:5" s="506" customFormat="1" ht="12.75">
      <c r="A235" s="512"/>
      <c r="B235" s="516" t="s">
        <v>915</v>
      </c>
      <c r="C235" s="561">
        <f t="shared" si="26"/>
        <v>5643.149649351075</v>
      </c>
      <c r="D235" s="561">
        <f t="shared" si="26"/>
        <v>6095.002370209392</v>
      </c>
      <c r="E235" s="561">
        <f t="shared" si="27"/>
        <v>451.8527208583173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436</v>
      </c>
      <c r="B237" s="509" t="s">
        <v>916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737</v>
      </c>
      <c r="C239" s="560">
        <f aca="true" t="shared" si="28" ref="C239:D247">IF(C215=0,0,C58/C215)</f>
        <v>5780.014499314515</v>
      </c>
      <c r="D239" s="560">
        <f t="shared" si="28"/>
        <v>5506.326514905258</v>
      </c>
      <c r="E239" s="562">
        <f aca="true" t="shared" si="29" ref="E239:E247">D239-C239</f>
        <v>-273.6879844092573</v>
      </c>
    </row>
    <row r="240" spans="1:5" s="506" customFormat="1" ht="12.75">
      <c r="A240" s="512">
        <v>2</v>
      </c>
      <c r="B240" s="511" t="s">
        <v>716</v>
      </c>
      <c r="C240" s="560">
        <f t="shared" si="28"/>
        <v>6167.051948932911</v>
      </c>
      <c r="D240" s="560">
        <f t="shared" si="28"/>
        <v>7110.2460962908635</v>
      </c>
      <c r="E240" s="562">
        <f t="shared" si="29"/>
        <v>943.1941473579527</v>
      </c>
    </row>
    <row r="241" spans="1:5" ht="12.75">
      <c r="A241" s="512">
        <v>3</v>
      </c>
      <c r="B241" s="511" t="s">
        <v>862</v>
      </c>
      <c r="C241" s="560">
        <f t="shared" si="28"/>
        <v>3501.9679309817</v>
      </c>
      <c r="D241" s="560">
        <f t="shared" si="28"/>
        <v>3305.8950994134684</v>
      </c>
      <c r="E241" s="562">
        <f t="shared" si="29"/>
        <v>-196.07283156823178</v>
      </c>
    </row>
    <row r="242" spans="1:5" ht="12.75">
      <c r="A242" s="512">
        <v>4</v>
      </c>
      <c r="B242" s="511" t="s">
        <v>231</v>
      </c>
      <c r="C242" s="560">
        <f t="shared" si="28"/>
        <v>3443.181661971202</v>
      </c>
      <c r="D242" s="560">
        <f t="shared" si="28"/>
        <v>3316.138470638552</v>
      </c>
      <c r="E242" s="562">
        <f t="shared" si="29"/>
        <v>-127.04319133265017</v>
      </c>
    </row>
    <row r="243" spans="1:5" ht="12.75">
      <c r="A243" s="512">
        <v>5</v>
      </c>
      <c r="B243" s="511" t="s">
        <v>829</v>
      </c>
      <c r="C243" s="560">
        <f t="shared" si="28"/>
        <v>3776.3630501466496</v>
      </c>
      <c r="D243" s="560">
        <f t="shared" si="28"/>
        <v>3260.2501107003422</v>
      </c>
      <c r="E243" s="562">
        <f t="shared" si="29"/>
        <v>-516.1129394463073</v>
      </c>
    </row>
    <row r="244" spans="1:5" ht="12.75">
      <c r="A244" s="512">
        <v>6</v>
      </c>
      <c r="B244" s="511" t="s">
        <v>533</v>
      </c>
      <c r="C244" s="560">
        <f t="shared" si="28"/>
        <v>8576.45000820315</v>
      </c>
      <c r="D244" s="560">
        <f t="shared" si="28"/>
        <v>12107.682123535284</v>
      </c>
      <c r="E244" s="562">
        <f t="shared" si="29"/>
        <v>3531.2321153321336</v>
      </c>
    </row>
    <row r="245" spans="1:5" ht="12.75">
      <c r="A245" s="512">
        <v>7</v>
      </c>
      <c r="B245" s="511" t="s">
        <v>844</v>
      </c>
      <c r="C245" s="560">
        <f t="shared" si="28"/>
        <v>3346.9080461288568</v>
      </c>
      <c r="D245" s="560">
        <f t="shared" si="28"/>
        <v>5079.236983285539</v>
      </c>
      <c r="E245" s="562">
        <f t="shared" si="29"/>
        <v>1732.3289371566825</v>
      </c>
    </row>
    <row r="246" spans="1:5" ht="25.5">
      <c r="A246" s="512"/>
      <c r="B246" s="516" t="s">
        <v>917</v>
      </c>
      <c r="C246" s="561">
        <f t="shared" si="28"/>
        <v>5241.295790283498</v>
      </c>
      <c r="D246" s="561">
        <f t="shared" si="28"/>
        <v>5569.605103852598</v>
      </c>
      <c r="E246" s="563">
        <f t="shared" si="29"/>
        <v>328.3093135691006</v>
      </c>
    </row>
    <row r="247" spans="1:5" ht="12.75">
      <c r="A247" s="512"/>
      <c r="B247" s="516" t="s">
        <v>918</v>
      </c>
      <c r="C247" s="561">
        <f t="shared" si="28"/>
        <v>5590.536375989832</v>
      </c>
      <c r="D247" s="561">
        <f t="shared" si="28"/>
        <v>5529.440061563795</v>
      </c>
      <c r="E247" s="563">
        <f t="shared" si="29"/>
        <v>-61.09631442603677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846</v>
      </c>
      <c r="B249" s="550" t="s">
        <v>843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231</v>
      </c>
      <c r="C251" s="546">
        <f>((IF((IF(C15=0,0,C26/C15)*C138)=0,0,C59/(IF(C15=0,0,C26/C15)*C138)))-(IF((IF(C17=0,0,C28/C17)*C140)=0,0,C61/(IF(C17=0,0,C28/C17)*C140))))*(IF(C17=0,0,C28/C17)*C140)</f>
        <v>4570225.705602918</v>
      </c>
      <c r="D251" s="546">
        <f>((IF((IF(D15=0,0,D26/D15)*D138)=0,0,D59/(IF(D15=0,0,D26/D15)*D138)))-(IF((IF(D17=0,0,D28/D17)*D140)=0,0,D61/(IF(D17=0,0,D28/D17)*D140))))*(IF(D17=0,0,D28/D17)*D140)</f>
        <v>7728633.771735106</v>
      </c>
      <c r="E251" s="546">
        <f>D251-C251</f>
        <v>3158408.066132188</v>
      </c>
    </row>
    <row r="252" spans="1:5" ht="12.75">
      <c r="A252" s="512">
        <v>2</v>
      </c>
      <c r="B252" s="511" t="s">
        <v>829</v>
      </c>
      <c r="C252" s="546">
        <f>IF(C231=0,0,(C228-C231)*C207)+IF(C243=0,0,(C240-C243)*C219)</f>
        <v>1796610.6329986462</v>
      </c>
      <c r="D252" s="546">
        <f>IF(D231=0,0,(D228-D231)*D207)+IF(D243=0,0,(D240-D243)*D219)</f>
        <v>2029617.6460602907</v>
      </c>
      <c r="E252" s="546">
        <f>D252-C252</f>
        <v>233007.0130616445</v>
      </c>
    </row>
    <row r="253" spans="1:5" ht="12.75">
      <c r="A253" s="512">
        <v>3</v>
      </c>
      <c r="B253" s="511" t="s">
        <v>844</v>
      </c>
      <c r="C253" s="546">
        <f>IF(C233=0,0,(C228-C233)*C209+IF(C221=0,0,(C240-C245)*C221))</f>
        <v>1812503.6835513576</v>
      </c>
      <c r="D253" s="546">
        <f>IF(D233=0,0,(D228-D233)*D209+IF(D221=0,0,(D240-D245)*D221))</f>
        <v>1160699.7203293522</v>
      </c>
      <c r="E253" s="546">
        <f>D253-C253</f>
        <v>-651803.9632220054</v>
      </c>
    </row>
    <row r="254" spans="1:5" ht="15" customHeight="1">
      <c r="A254" s="512"/>
      <c r="B254" s="516" t="s">
        <v>845</v>
      </c>
      <c r="C254" s="564">
        <f>+C251+C252+C253</f>
        <v>8179340.022152921</v>
      </c>
      <c r="D254" s="564">
        <f>+D251+D252+D253</f>
        <v>10918951.138124749</v>
      </c>
      <c r="E254" s="564">
        <f>D254-C254</f>
        <v>2739611.115971828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919</v>
      </c>
      <c r="B256" s="550" t="s">
        <v>920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811</v>
      </c>
      <c r="C258" s="546">
        <f>+C44</f>
        <v>390427455</v>
      </c>
      <c r="D258" s="549">
        <f>+D44</f>
        <v>410211496</v>
      </c>
      <c r="E258" s="546">
        <f aca="true" t="shared" si="30" ref="E258:E271">D258-C258</f>
        <v>19784041</v>
      </c>
    </row>
    <row r="259" spans="1:5" ht="12.75">
      <c r="A259" s="512">
        <v>2</v>
      </c>
      <c r="B259" s="511" t="s">
        <v>828</v>
      </c>
      <c r="C259" s="546">
        <f>+(C43-C76)</f>
        <v>143443211</v>
      </c>
      <c r="D259" s="549">
        <f>+(D43-D76)</f>
        <v>154670686</v>
      </c>
      <c r="E259" s="546">
        <f t="shared" si="30"/>
        <v>11227475</v>
      </c>
    </row>
    <row r="260" spans="1:5" ht="12.75">
      <c r="A260" s="512">
        <v>3</v>
      </c>
      <c r="B260" s="511" t="s">
        <v>832</v>
      </c>
      <c r="C260" s="546">
        <f>C195</f>
        <v>8167075</v>
      </c>
      <c r="D260" s="546">
        <f>D195</f>
        <v>9313734</v>
      </c>
      <c r="E260" s="546">
        <f t="shared" si="30"/>
        <v>1146659</v>
      </c>
    </row>
    <row r="261" spans="1:5" ht="12.75">
      <c r="A261" s="512">
        <v>4</v>
      </c>
      <c r="B261" s="511" t="s">
        <v>833</v>
      </c>
      <c r="C261" s="546">
        <f>C188</f>
        <v>95310491</v>
      </c>
      <c r="D261" s="546">
        <f>D188</f>
        <v>96857807</v>
      </c>
      <c r="E261" s="546">
        <f t="shared" si="30"/>
        <v>1547316</v>
      </c>
    </row>
    <row r="262" spans="1:5" ht="12.75">
      <c r="A262" s="512">
        <v>5</v>
      </c>
      <c r="B262" s="511" t="s">
        <v>834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ht="12.75">
      <c r="A263" s="512">
        <v>6</v>
      </c>
      <c r="B263" s="511" t="s">
        <v>835</v>
      </c>
      <c r="C263" s="546">
        <f>+C259+C260+C261+C262</f>
        <v>246920777</v>
      </c>
      <c r="D263" s="546">
        <f>+D259+D260+D261+D262</f>
        <v>260842227</v>
      </c>
      <c r="E263" s="546">
        <f t="shared" si="30"/>
        <v>13921450</v>
      </c>
    </row>
    <row r="264" spans="1:5" ht="12.75">
      <c r="A264" s="512">
        <v>7</v>
      </c>
      <c r="B264" s="511" t="s">
        <v>735</v>
      </c>
      <c r="C264" s="546">
        <f>+C258-C263</f>
        <v>143506678</v>
      </c>
      <c r="D264" s="546">
        <f>+D258-D263</f>
        <v>149369269</v>
      </c>
      <c r="E264" s="546">
        <f t="shared" si="30"/>
        <v>5862591</v>
      </c>
    </row>
    <row r="265" spans="1:5" ht="12.75">
      <c r="A265" s="512">
        <v>8</v>
      </c>
      <c r="B265" s="511" t="s">
        <v>921</v>
      </c>
      <c r="C265" s="565">
        <f>C192</f>
        <v>826439</v>
      </c>
      <c r="D265" s="565">
        <f>D192</f>
        <v>686857</v>
      </c>
      <c r="E265" s="546">
        <f t="shared" si="30"/>
        <v>-139582</v>
      </c>
    </row>
    <row r="266" spans="1:5" ht="12.75">
      <c r="A266" s="512">
        <v>9</v>
      </c>
      <c r="B266" s="511" t="s">
        <v>922</v>
      </c>
      <c r="C266" s="546">
        <f>+C264+C265</f>
        <v>144333117</v>
      </c>
      <c r="D266" s="546">
        <f>+D264+D265</f>
        <v>150056126</v>
      </c>
      <c r="E266" s="565">
        <f t="shared" si="30"/>
        <v>5723009</v>
      </c>
    </row>
    <row r="267" spans="1:5" ht="12.75">
      <c r="A267" s="512">
        <v>10</v>
      </c>
      <c r="B267" s="511" t="s">
        <v>923</v>
      </c>
      <c r="C267" s="566">
        <f>IF(C258=0,0,C266/C258)</f>
        <v>0.3696797321796952</v>
      </c>
      <c r="D267" s="566">
        <f>IF(D258=0,0,D266/D258)</f>
        <v>0.3658018545633348</v>
      </c>
      <c r="E267" s="567">
        <f t="shared" si="30"/>
        <v>-0.003877877616360381</v>
      </c>
    </row>
    <row r="268" spans="1:5" ht="12.75">
      <c r="A268" s="512">
        <v>11</v>
      </c>
      <c r="B268" s="511" t="s">
        <v>797</v>
      </c>
      <c r="C268" s="546">
        <f>+C260*C267</f>
        <v>3019202.098691484</v>
      </c>
      <c r="D268" s="568">
        <f>+D260*D267</f>
        <v>3406981.1701095863</v>
      </c>
      <c r="E268" s="546">
        <f t="shared" si="30"/>
        <v>387779.07141810236</v>
      </c>
    </row>
    <row r="269" spans="1:5" ht="12.75">
      <c r="A269" s="512">
        <v>12</v>
      </c>
      <c r="B269" s="511" t="s">
        <v>924</v>
      </c>
      <c r="C269" s="546">
        <f>((C17+C18+C28+C29)*C267)-(C50+C51+C61+C62)</f>
        <v>4200926.008026011</v>
      </c>
      <c r="D269" s="568">
        <f>((D17+D18+D28+D29)*D267)-(D50+D51+D61+D62)</f>
        <v>3258670.2961551286</v>
      </c>
      <c r="E269" s="546">
        <f t="shared" si="30"/>
        <v>-942255.7118708827</v>
      </c>
    </row>
    <row r="270" spans="1:5" s="569" customFormat="1" ht="12.75">
      <c r="A270" s="570">
        <v>13</v>
      </c>
      <c r="B270" s="571" t="s">
        <v>925</v>
      </c>
      <c r="C270" s="572">
        <v>0</v>
      </c>
      <c r="D270" s="572">
        <v>0</v>
      </c>
      <c r="E270" s="546">
        <f t="shared" si="30"/>
        <v>0</v>
      </c>
    </row>
    <row r="271" spans="1:5" ht="12.75">
      <c r="A271" s="512">
        <v>14</v>
      </c>
      <c r="B271" s="511" t="s">
        <v>926</v>
      </c>
      <c r="C271" s="546">
        <f>+C268+C269+C270</f>
        <v>7220128.106717495</v>
      </c>
      <c r="D271" s="546">
        <f>+D268+D269+D270</f>
        <v>6665651.466264715</v>
      </c>
      <c r="E271" s="549">
        <f t="shared" si="30"/>
        <v>-554476.6404527798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927</v>
      </c>
      <c r="B273" s="550" t="s">
        <v>928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131</v>
      </c>
      <c r="B275" s="509" t="s">
        <v>929</v>
      </c>
      <c r="C275" s="340"/>
      <c r="D275" s="340"/>
      <c r="E275" s="520"/>
    </row>
    <row r="276" spans="1:5" ht="12.75">
      <c r="A276" s="512">
        <v>1</v>
      </c>
      <c r="B276" s="511" t="s">
        <v>737</v>
      </c>
      <c r="C276" s="547">
        <f aca="true" t="shared" si="31" ref="C276:D284">IF(C14=0,0,+C47/C14)</f>
        <v>0.4863793972220725</v>
      </c>
      <c r="D276" s="547">
        <f t="shared" si="31"/>
        <v>0.5203571191801775</v>
      </c>
      <c r="E276" s="574">
        <f aca="true" t="shared" si="32" ref="E276:E284">D276-C276</f>
        <v>0.033977721958104945</v>
      </c>
    </row>
    <row r="277" spans="1:5" ht="12.75">
      <c r="A277" s="512">
        <v>2</v>
      </c>
      <c r="B277" s="511" t="s">
        <v>716</v>
      </c>
      <c r="C277" s="547">
        <f t="shared" si="31"/>
        <v>0.38379120960136237</v>
      </c>
      <c r="D277" s="547">
        <f t="shared" si="31"/>
        <v>0.38409408055502176</v>
      </c>
      <c r="E277" s="574">
        <f t="shared" si="32"/>
        <v>0.0003028709536593843</v>
      </c>
    </row>
    <row r="278" spans="1:5" ht="12.75">
      <c r="A278" s="512">
        <v>3</v>
      </c>
      <c r="B278" s="511" t="s">
        <v>862</v>
      </c>
      <c r="C278" s="547">
        <f t="shared" si="31"/>
        <v>0.2868371620686037</v>
      </c>
      <c r="D278" s="547">
        <f t="shared" si="31"/>
        <v>0.37100917980726134</v>
      </c>
      <c r="E278" s="574">
        <f t="shared" si="32"/>
        <v>0.08417201773865762</v>
      </c>
    </row>
    <row r="279" spans="1:5" ht="12.75">
      <c r="A279" s="512">
        <v>4</v>
      </c>
      <c r="B279" s="511" t="s">
        <v>231</v>
      </c>
      <c r="C279" s="547">
        <f t="shared" si="31"/>
        <v>0.3166056694428447</v>
      </c>
      <c r="D279" s="547">
        <f t="shared" si="31"/>
        <v>0.3618634951878593</v>
      </c>
      <c r="E279" s="574">
        <f t="shared" si="32"/>
        <v>0.045257825745014635</v>
      </c>
    </row>
    <row r="280" spans="1:5" ht="12.75">
      <c r="A280" s="512">
        <v>5</v>
      </c>
      <c r="B280" s="511" t="s">
        <v>829</v>
      </c>
      <c r="C280" s="547">
        <f t="shared" si="31"/>
        <v>0.20490621957362565</v>
      </c>
      <c r="D280" s="547">
        <f t="shared" si="31"/>
        <v>0.39912161376820543</v>
      </c>
      <c r="E280" s="574">
        <f t="shared" si="32"/>
        <v>0.19421539419457978</v>
      </c>
    </row>
    <row r="281" spans="1:5" ht="12.75">
      <c r="A281" s="512">
        <v>6</v>
      </c>
      <c r="B281" s="511" t="s">
        <v>533</v>
      </c>
      <c r="C281" s="547">
        <f t="shared" si="31"/>
        <v>0.35311110582752797</v>
      </c>
      <c r="D281" s="547">
        <f t="shared" si="31"/>
        <v>0.7425305554186585</v>
      </c>
      <c r="E281" s="574">
        <f t="shared" si="32"/>
        <v>0.38941944959113056</v>
      </c>
    </row>
    <row r="282" spans="1:5" ht="12.75">
      <c r="A282" s="512">
        <v>7</v>
      </c>
      <c r="B282" s="511" t="s">
        <v>844</v>
      </c>
      <c r="C282" s="547">
        <f t="shared" si="31"/>
        <v>0.3086995853461502</v>
      </c>
      <c r="D282" s="547">
        <f t="shared" si="31"/>
        <v>0.2830974627931618</v>
      </c>
      <c r="E282" s="574">
        <f t="shared" si="32"/>
        <v>-0.025602122552988438</v>
      </c>
    </row>
    <row r="283" spans="1:5" ht="29.25" customHeight="1">
      <c r="A283" s="512"/>
      <c r="B283" s="516" t="s">
        <v>930</v>
      </c>
      <c r="C283" s="575">
        <f t="shared" si="31"/>
        <v>0.3653908987927799</v>
      </c>
      <c r="D283" s="575">
        <f t="shared" si="31"/>
        <v>0.38291607304094855</v>
      </c>
      <c r="E283" s="576">
        <f t="shared" si="32"/>
        <v>0.01752517424816863</v>
      </c>
    </row>
    <row r="284" spans="1:5" ht="12.75">
      <c r="A284" s="512"/>
      <c r="B284" s="516" t="s">
        <v>931</v>
      </c>
      <c r="C284" s="575">
        <f t="shared" si="31"/>
        <v>0.40414795165283773</v>
      </c>
      <c r="D284" s="575">
        <f t="shared" si="31"/>
        <v>0.42327730022549875</v>
      </c>
      <c r="E284" s="576">
        <f t="shared" si="32"/>
        <v>0.01912934857266102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143</v>
      </c>
      <c r="B286" s="509" t="s">
        <v>932</v>
      </c>
      <c r="C286" s="520"/>
      <c r="D286" s="520"/>
      <c r="E286" s="520"/>
    </row>
    <row r="287" spans="1:5" ht="12.75">
      <c r="A287" s="512">
        <v>1</v>
      </c>
      <c r="B287" s="511" t="s">
        <v>737</v>
      </c>
      <c r="C287" s="547">
        <f aca="true" t="shared" si="33" ref="C287:D295">IF(C25=0,0,+C58/C25)</f>
        <v>0.4639316677360926</v>
      </c>
      <c r="D287" s="547">
        <f t="shared" si="33"/>
        <v>0.43654828412817986</v>
      </c>
      <c r="E287" s="574">
        <f aca="true" t="shared" si="34" ref="E287:E295">D287-C287</f>
        <v>-0.02738338360791276</v>
      </c>
    </row>
    <row r="288" spans="1:5" ht="12.75">
      <c r="A288" s="512">
        <v>2</v>
      </c>
      <c r="B288" s="511" t="s">
        <v>716</v>
      </c>
      <c r="C288" s="547">
        <f t="shared" si="33"/>
        <v>0.2746745180633102</v>
      </c>
      <c r="D288" s="547">
        <f t="shared" si="33"/>
        <v>0.28742927234699056</v>
      </c>
      <c r="E288" s="574">
        <f t="shared" si="34"/>
        <v>0.012754754283680336</v>
      </c>
    </row>
    <row r="289" spans="1:5" ht="12.75">
      <c r="A289" s="512">
        <v>3</v>
      </c>
      <c r="B289" s="511" t="s">
        <v>862</v>
      </c>
      <c r="C289" s="547">
        <f t="shared" si="33"/>
        <v>0.270645228752279</v>
      </c>
      <c r="D289" s="547">
        <f t="shared" si="33"/>
        <v>0.2599443419689253</v>
      </c>
      <c r="E289" s="574">
        <f t="shared" si="34"/>
        <v>-0.01070088678335368</v>
      </c>
    </row>
    <row r="290" spans="1:5" ht="12.75">
      <c r="A290" s="512">
        <v>4</v>
      </c>
      <c r="B290" s="511" t="s">
        <v>231</v>
      </c>
      <c r="C290" s="547">
        <f t="shared" si="33"/>
        <v>0.2800000911181427</v>
      </c>
      <c r="D290" s="547">
        <f t="shared" si="33"/>
        <v>0.269258535198995</v>
      </c>
      <c r="E290" s="574">
        <f t="shared" si="34"/>
        <v>-0.010741555919147716</v>
      </c>
    </row>
    <row r="291" spans="1:5" ht="12.75">
      <c r="A291" s="512">
        <v>5</v>
      </c>
      <c r="B291" s="511" t="s">
        <v>829</v>
      </c>
      <c r="C291" s="547">
        <f t="shared" si="33"/>
        <v>0.23695310990352395</v>
      </c>
      <c r="D291" s="547">
        <f t="shared" si="33"/>
        <v>0.2247125296426478</v>
      </c>
      <c r="E291" s="574">
        <f t="shared" si="34"/>
        <v>-0.012240580260876155</v>
      </c>
    </row>
    <row r="292" spans="1:5" ht="12.75">
      <c r="A292" s="512">
        <v>6</v>
      </c>
      <c r="B292" s="511" t="s">
        <v>533</v>
      </c>
      <c r="C292" s="547">
        <f t="shared" si="33"/>
        <v>0.7137015865501088</v>
      </c>
      <c r="D292" s="547">
        <f t="shared" si="33"/>
        <v>0.7085837327730594</v>
      </c>
      <c r="E292" s="574">
        <f t="shared" si="34"/>
        <v>-0.00511785377704943</v>
      </c>
    </row>
    <row r="293" spans="1:5" ht="12.75">
      <c r="A293" s="512">
        <v>7</v>
      </c>
      <c r="B293" s="511" t="s">
        <v>844</v>
      </c>
      <c r="C293" s="547">
        <f t="shared" si="33"/>
        <v>0.28224435163196465</v>
      </c>
      <c r="D293" s="547">
        <f t="shared" si="33"/>
        <v>0.27428607019947837</v>
      </c>
      <c r="E293" s="574">
        <f t="shared" si="34"/>
        <v>-0.00795828143248628</v>
      </c>
    </row>
    <row r="294" spans="1:5" ht="29.25" customHeight="1">
      <c r="A294" s="512"/>
      <c r="B294" s="516" t="s">
        <v>933</v>
      </c>
      <c r="C294" s="575">
        <f t="shared" si="33"/>
        <v>0.2758757558857468</v>
      </c>
      <c r="D294" s="575">
        <f t="shared" si="33"/>
        <v>0.28260030393682684</v>
      </c>
      <c r="E294" s="576">
        <f t="shared" si="34"/>
        <v>0.006724548051080026</v>
      </c>
    </row>
    <row r="295" spans="1:5" ht="12.75">
      <c r="A295" s="512"/>
      <c r="B295" s="516" t="s">
        <v>934</v>
      </c>
      <c r="C295" s="575">
        <f t="shared" si="33"/>
        <v>0.37878807672815257</v>
      </c>
      <c r="D295" s="575">
        <f t="shared" si="33"/>
        <v>0.3636610859784821</v>
      </c>
      <c r="E295" s="576">
        <f t="shared" si="34"/>
        <v>-0.015126990749670444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935</v>
      </c>
      <c r="B297" s="501" t="s">
        <v>936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131</v>
      </c>
      <c r="B299" s="509" t="s">
        <v>937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735</v>
      </c>
      <c r="C301" s="514">
        <f>+C48+C47+C50+C51+C52+C59+C58+C61+C62+C63</f>
        <v>151673753</v>
      </c>
      <c r="D301" s="514">
        <f>+D48+D47+D50+D51+D52+D59+D58+D61+D62+D63</f>
        <v>158683002</v>
      </c>
      <c r="E301" s="514">
        <f>D301-C301</f>
        <v>7009249</v>
      </c>
    </row>
    <row r="302" spans="1:5" ht="25.5">
      <c r="A302" s="512">
        <v>2</v>
      </c>
      <c r="B302" s="511" t="s">
        <v>938</v>
      </c>
      <c r="C302" s="546">
        <f>C265</f>
        <v>826439</v>
      </c>
      <c r="D302" s="546">
        <f>D265</f>
        <v>686857</v>
      </c>
      <c r="E302" s="514">
        <f>D302-C302</f>
        <v>-139582</v>
      </c>
    </row>
    <row r="303" spans="1:5" ht="12.75">
      <c r="A303" s="512"/>
      <c r="B303" s="516" t="s">
        <v>939</v>
      </c>
      <c r="C303" s="517">
        <f>+C301+C302</f>
        <v>152500192</v>
      </c>
      <c r="D303" s="517">
        <f>+D301+D302</f>
        <v>159369859</v>
      </c>
      <c r="E303" s="517">
        <f>D303-C303</f>
        <v>6869667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940</v>
      </c>
      <c r="C305" s="513">
        <v>6287004</v>
      </c>
      <c r="D305" s="578">
        <v>7895004</v>
      </c>
      <c r="E305" s="579">
        <f>D305-C305</f>
        <v>1608000</v>
      </c>
    </row>
    <row r="306" spans="1:5" ht="12.75">
      <c r="A306" s="512">
        <v>4</v>
      </c>
      <c r="B306" s="516" t="s">
        <v>941</v>
      </c>
      <c r="C306" s="580">
        <f>+C303+C305+C194+C190-C191</f>
        <v>165074200</v>
      </c>
      <c r="D306" s="580">
        <f>+D303+D305</f>
        <v>167264863</v>
      </c>
      <c r="E306" s="580">
        <f>D306-C306</f>
        <v>2190663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942</v>
      </c>
      <c r="C308" s="513">
        <v>158787196</v>
      </c>
      <c r="D308" s="513">
        <v>167264862</v>
      </c>
      <c r="E308" s="514">
        <f>D308-C308</f>
        <v>8477666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943</v>
      </c>
      <c r="C310" s="581">
        <f>C306-C308</f>
        <v>6287004</v>
      </c>
      <c r="D310" s="582">
        <f>D306-D308</f>
        <v>1</v>
      </c>
      <c r="E310" s="580">
        <f>D310-C310</f>
        <v>-6287003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143</v>
      </c>
      <c r="B312" s="509" t="s">
        <v>944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945</v>
      </c>
      <c r="C314" s="514">
        <f>+C14+C15+C16+C19+C25+C26+C27+C30</f>
        <v>390427455</v>
      </c>
      <c r="D314" s="514">
        <f>+D14+D15+D16+D19+D25+D26+D27+D30</f>
        <v>410211496</v>
      </c>
      <c r="E314" s="514">
        <f>D314-C314</f>
        <v>19784041</v>
      </c>
    </row>
    <row r="315" spans="1:5" ht="12.75">
      <c r="A315" s="512">
        <v>2</v>
      </c>
      <c r="B315" s="583" t="s">
        <v>946</v>
      </c>
      <c r="C315" s="513">
        <v>0</v>
      </c>
      <c r="D315" s="513">
        <v>0</v>
      </c>
      <c r="E315" s="514">
        <f>D315-C315</f>
        <v>0</v>
      </c>
    </row>
    <row r="316" spans="1:5" ht="12.75">
      <c r="A316" s="512"/>
      <c r="B316" s="516" t="s">
        <v>947</v>
      </c>
      <c r="C316" s="581">
        <f>C314+C315</f>
        <v>390427455</v>
      </c>
      <c r="D316" s="581">
        <f>D314+D315</f>
        <v>410211496</v>
      </c>
      <c r="E316" s="517">
        <f>D316-C316</f>
        <v>19784041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948</v>
      </c>
      <c r="C318" s="513">
        <v>390427454</v>
      </c>
      <c r="D318" s="513">
        <v>410211495</v>
      </c>
      <c r="E318" s="514">
        <f>D318-C318</f>
        <v>19784041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943</v>
      </c>
      <c r="C320" s="581">
        <f>C316-C318</f>
        <v>1</v>
      </c>
      <c r="D320" s="581">
        <f>D316-D318</f>
        <v>1</v>
      </c>
      <c r="E320" s="517">
        <f>D320-C320</f>
        <v>0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153</v>
      </c>
      <c r="B322" s="509" t="s">
        <v>949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950</v>
      </c>
      <c r="C324" s="513">
        <f>+C193+C194</f>
        <v>8167075</v>
      </c>
      <c r="D324" s="513">
        <f>+D193+D194</f>
        <v>9313734</v>
      </c>
      <c r="E324" s="514">
        <f>D324-C324</f>
        <v>1146659</v>
      </c>
    </row>
    <row r="325" spans="1:5" ht="12.75">
      <c r="A325" s="512">
        <v>2</v>
      </c>
      <c r="B325" s="511" t="s">
        <v>951</v>
      </c>
      <c r="C325" s="513">
        <v>0</v>
      </c>
      <c r="D325" s="513">
        <v>0</v>
      </c>
      <c r="E325" s="514">
        <f>D325-C325</f>
        <v>0</v>
      </c>
    </row>
    <row r="326" spans="1:5" ht="12.75">
      <c r="A326" s="512"/>
      <c r="B326" s="516" t="s">
        <v>952</v>
      </c>
      <c r="C326" s="581">
        <f>C324+C325</f>
        <v>8167075</v>
      </c>
      <c r="D326" s="581">
        <f>D324+D325</f>
        <v>9313734</v>
      </c>
      <c r="E326" s="517">
        <f>D326-C326</f>
        <v>1146659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953</v>
      </c>
      <c r="C328" s="513">
        <v>8167075</v>
      </c>
      <c r="D328" s="513">
        <v>9313734</v>
      </c>
      <c r="E328" s="514">
        <f>D328-C328</f>
        <v>1146659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954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FILING&amp;RMANCHESTER MEMORIAL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117</v>
      </c>
      <c r="B2" s="705"/>
      <c r="C2" s="705"/>
      <c r="D2" s="585"/>
    </row>
    <row r="3" spans="1:4" s="338" customFormat="1" ht="15.75" customHeight="1">
      <c r="A3" s="695" t="s">
        <v>707</v>
      </c>
      <c r="B3" s="696"/>
      <c r="C3" s="697"/>
      <c r="D3" s="585"/>
    </row>
    <row r="4" spans="1:4" s="338" customFormat="1" ht="15.75" customHeight="1">
      <c r="A4" s="695" t="s">
        <v>119</v>
      </c>
      <c r="B4" s="696"/>
      <c r="C4" s="697"/>
      <c r="D4" s="585"/>
    </row>
    <row r="5" spans="1:4" s="338" customFormat="1" ht="15.75" customHeight="1">
      <c r="A5" s="695" t="s">
        <v>955</v>
      </c>
      <c r="B5" s="696"/>
      <c r="C5" s="697"/>
      <c r="D5" s="585"/>
    </row>
    <row r="6" spans="1:4" s="338" customFormat="1" ht="15.75" customHeight="1">
      <c r="A6" s="695" t="s">
        <v>956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125</v>
      </c>
      <c r="B9" s="493" t="s">
        <v>126</v>
      </c>
      <c r="C9" s="494" t="s">
        <v>957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129</v>
      </c>
      <c r="B11" s="501" t="s">
        <v>958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131</v>
      </c>
      <c r="B13" s="509" t="s">
        <v>861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737</v>
      </c>
      <c r="C14" s="513">
        <v>46820672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716</v>
      </c>
      <c r="C15" s="515">
        <v>93259909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862</v>
      </c>
      <c r="C16" s="515">
        <v>19031990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231</v>
      </c>
      <c r="C17" s="515">
        <v>14360241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829</v>
      </c>
      <c r="C18" s="515">
        <v>4671749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533</v>
      </c>
      <c r="C19" s="515">
        <v>324656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844</v>
      </c>
      <c r="C20" s="515">
        <v>3370281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863</v>
      </c>
      <c r="C21" s="517">
        <f>SUM(C15+C16+C19)</f>
        <v>112616555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803</v>
      </c>
      <c r="C22" s="517">
        <f>SUM(C14+C21)</f>
        <v>159437227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143</v>
      </c>
      <c r="B24" s="509" t="s">
        <v>864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737</v>
      </c>
      <c r="C25" s="513">
        <v>132044333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716</v>
      </c>
      <c r="C26" s="515">
        <v>86301464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862</v>
      </c>
      <c r="C27" s="515">
        <v>31719771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231</v>
      </c>
      <c r="C28" s="515">
        <v>25087435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829</v>
      </c>
      <c r="C29" s="515">
        <v>6632336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533</v>
      </c>
      <c r="C30" s="515">
        <v>708701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844</v>
      </c>
      <c r="C31" s="518">
        <v>9119384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865</v>
      </c>
      <c r="C32" s="517">
        <f>SUM(C26+C27+C30)</f>
        <v>118729936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809</v>
      </c>
      <c r="C33" s="517">
        <f>SUM(C25+C32)</f>
        <v>250774269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153</v>
      </c>
      <c r="B35" s="509" t="s">
        <v>734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959</v>
      </c>
      <c r="C36" s="514">
        <f>SUM(C14+C25)</f>
        <v>178865005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960</v>
      </c>
      <c r="C37" s="518">
        <f>SUM(C21+C32)</f>
        <v>231346491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734</v>
      </c>
      <c r="C38" s="517">
        <f>SUM(+C36+C37)</f>
        <v>410211496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436</v>
      </c>
      <c r="B40" s="509" t="s">
        <v>874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737</v>
      </c>
      <c r="C41" s="513">
        <v>24363470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716</v>
      </c>
      <c r="C42" s="515">
        <v>35820579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862</v>
      </c>
      <c r="C43" s="515">
        <v>7061043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231</v>
      </c>
      <c r="C44" s="515">
        <v>5196447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829</v>
      </c>
      <c r="C45" s="515">
        <v>1864596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533</v>
      </c>
      <c r="C46" s="515">
        <v>241067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844</v>
      </c>
      <c r="C47" s="515">
        <v>954118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875</v>
      </c>
      <c r="C48" s="517">
        <f>SUM(C42+C43+C46)</f>
        <v>43122689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804</v>
      </c>
      <c r="C49" s="517">
        <f>SUM(C41+C48)</f>
        <v>67486159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457</v>
      </c>
      <c r="B51" s="509" t="s">
        <v>876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737</v>
      </c>
      <c r="C52" s="513">
        <v>57643727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716</v>
      </c>
      <c r="C53" s="515">
        <v>24805567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862</v>
      </c>
      <c r="C54" s="515">
        <v>8245375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231</v>
      </c>
      <c r="C55" s="515">
        <v>6755006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829</v>
      </c>
      <c r="C56" s="515">
        <v>1490369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533</v>
      </c>
      <c r="C57" s="515">
        <v>502174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844</v>
      </c>
      <c r="C58" s="515">
        <v>2501320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877</v>
      </c>
      <c r="C59" s="517">
        <f>SUM(C53+C54+C57)</f>
        <v>33553116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810</v>
      </c>
      <c r="C60" s="517">
        <f>SUM(C52+C59)</f>
        <v>91196843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469</v>
      </c>
      <c r="B62" s="521" t="s">
        <v>735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961</v>
      </c>
      <c r="C63" s="514">
        <f>SUM(C41+C52)</f>
        <v>82007197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962</v>
      </c>
      <c r="C64" s="518">
        <f>SUM(C48+C59)</f>
        <v>76675805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735</v>
      </c>
      <c r="C65" s="517">
        <f>SUM(+C63+C64)</f>
        <v>158683002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161</v>
      </c>
      <c r="B67" s="501" t="s">
        <v>963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131</v>
      </c>
      <c r="B69" s="509" t="s">
        <v>964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737</v>
      </c>
      <c r="C70" s="530">
        <v>3712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716</v>
      </c>
      <c r="C71" s="530">
        <v>3770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862</v>
      </c>
      <c r="C72" s="530">
        <v>1488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231</v>
      </c>
      <c r="C73" s="530">
        <v>1166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829</v>
      </c>
      <c r="C74" s="530">
        <v>322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533</v>
      </c>
      <c r="C75" s="545">
        <v>19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844</v>
      </c>
      <c r="C76" s="545">
        <v>182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892</v>
      </c>
      <c r="C77" s="532">
        <f>SUM(C71+C72+C75)</f>
        <v>5277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806</v>
      </c>
      <c r="C78" s="596">
        <f>SUM(C70+C77)</f>
        <v>8989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143</v>
      </c>
      <c r="B80" s="509" t="s">
        <v>897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737</v>
      </c>
      <c r="C81" s="541">
        <v>1.03265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716</v>
      </c>
      <c r="C82" s="541">
        <v>1.53069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862</v>
      </c>
      <c r="C83" s="541">
        <f>((C73*C84)+(C74*C85))/(C73+C74)</f>
        <v>0.9701061559139784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231</v>
      </c>
      <c r="C84" s="541">
        <v>0.94313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829</v>
      </c>
      <c r="C85" s="541">
        <v>1.06779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533</v>
      </c>
      <c r="C86" s="541">
        <v>1.31369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844</v>
      </c>
      <c r="C87" s="541">
        <v>0.98663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898</v>
      </c>
      <c r="C88" s="543">
        <f>((C71*C82)+(C73*C84)+(C74*C85)+(C75*C86))/(C71+C73+C74+C75)</f>
        <v>1.3718361512222856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807</v>
      </c>
      <c r="C89" s="543">
        <f>((C70*C81)+(C71*C82)+(C73*C84)+(C74*C85)+(C75*C86))/(C70+C71+C73+C74+C75)</f>
        <v>1.2317695149627323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153</v>
      </c>
      <c r="B91" s="509" t="s">
        <v>899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900</v>
      </c>
      <c r="C92" s="513">
        <v>178865005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901</v>
      </c>
      <c r="C93" s="546">
        <v>82007198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749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833</v>
      </c>
      <c r="C95" s="513">
        <f>+C92-C93</f>
        <v>96857807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751</v>
      </c>
      <c r="C96" s="597">
        <f>(+C92-C93)/C92</f>
        <v>0.5415134559160971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848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834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965</v>
      </c>
      <c r="C101" s="513">
        <v>686857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903</v>
      </c>
      <c r="C103" s="513">
        <v>1418730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904</v>
      </c>
      <c r="C104" s="513">
        <v>7895004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905</v>
      </c>
      <c r="C105" s="578">
        <f>+C103+C104</f>
        <v>9313734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906</v>
      </c>
      <c r="C107" s="513">
        <v>10065754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791</v>
      </c>
      <c r="C108" s="513">
        <v>170017184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252</v>
      </c>
      <c r="B110" s="501" t="s">
        <v>936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131</v>
      </c>
      <c r="B112" s="509" t="s">
        <v>937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735</v>
      </c>
      <c r="C114" s="514">
        <f>+C65</f>
        <v>158683002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938</v>
      </c>
      <c r="C115" s="546">
        <f>+C101</f>
        <v>686857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939</v>
      </c>
      <c r="C116" s="517">
        <f>+C114+C115</f>
        <v>159369859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940</v>
      </c>
      <c r="C118" s="578">
        <v>7895004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941</v>
      </c>
      <c r="C119" s="580">
        <f>+C116+C118</f>
        <v>167264863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942</v>
      </c>
      <c r="C121" s="513">
        <v>167264862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943</v>
      </c>
      <c r="C123" s="582">
        <f>C119-C121</f>
        <v>1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143</v>
      </c>
      <c r="B125" s="509" t="s">
        <v>944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945</v>
      </c>
      <c r="C127" s="514">
        <f>+C38</f>
        <v>410211496</v>
      </c>
      <c r="D127" s="588"/>
      <c r="AR127" s="507"/>
    </row>
    <row r="128" spans="1:44" s="506" customFormat="1" ht="12.75">
      <c r="A128" s="512">
        <v>2</v>
      </c>
      <c r="B128" s="583" t="s">
        <v>946</v>
      </c>
      <c r="C128" s="513">
        <v>0</v>
      </c>
      <c r="D128" s="588"/>
      <c r="AR128" s="507"/>
    </row>
    <row r="129" spans="1:44" s="506" customFormat="1" ht="12.75">
      <c r="A129" s="512"/>
      <c r="B129" s="516" t="s">
        <v>947</v>
      </c>
      <c r="C129" s="581">
        <f>C127+C128</f>
        <v>410211496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948</v>
      </c>
      <c r="C131" s="513">
        <v>410211495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943</v>
      </c>
      <c r="C133" s="581">
        <f>C129-C131</f>
        <v>1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153</v>
      </c>
      <c r="B135" s="509" t="s">
        <v>949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950</v>
      </c>
      <c r="C137" s="513">
        <f>C105</f>
        <v>9313734</v>
      </c>
      <c r="D137" s="588"/>
      <c r="AR137" s="507"/>
    </row>
    <row r="138" spans="1:44" s="506" customFormat="1" ht="12.75">
      <c r="A138" s="512">
        <v>2</v>
      </c>
      <c r="B138" s="511" t="s">
        <v>966</v>
      </c>
      <c r="C138" s="513">
        <v>0</v>
      </c>
      <c r="D138" s="588"/>
      <c r="AR138" s="507"/>
    </row>
    <row r="139" spans="1:44" s="506" customFormat="1" ht="12.75">
      <c r="A139" s="512"/>
      <c r="B139" s="516" t="s">
        <v>952</v>
      </c>
      <c r="C139" s="581">
        <f>C137+C138</f>
        <v>9313734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967</v>
      </c>
      <c r="C141" s="513">
        <v>9313734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954</v>
      </c>
      <c r="C143" s="581">
        <f>C139-C141</f>
        <v>0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FILING&amp;RMANCHESTER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1">
      <selection activeCell="B43" sqref="B43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117</v>
      </c>
      <c r="B2" s="715"/>
      <c r="C2" s="715"/>
      <c r="D2" s="715"/>
      <c r="E2" s="715"/>
      <c r="F2" s="716"/>
    </row>
    <row r="3" spans="1:6" ht="15.75" customHeight="1">
      <c r="A3" s="714" t="s">
        <v>707</v>
      </c>
      <c r="B3" s="715"/>
      <c r="C3" s="715"/>
      <c r="D3" s="715"/>
      <c r="E3" s="715"/>
      <c r="F3" s="716"/>
    </row>
    <row r="4" spans="1:6" ht="15.75" customHeight="1">
      <c r="A4" s="714" t="s">
        <v>708</v>
      </c>
      <c r="B4" s="715"/>
      <c r="C4" s="715"/>
      <c r="D4" s="715"/>
      <c r="E4" s="715"/>
      <c r="F4" s="716"/>
    </row>
    <row r="5" spans="1:6" ht="15.75" customHeight="1">
      <c r="A5" s="714" t="s">
        <v>968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711</v>
      </c>
      <c r="D8" s="35" t="s">
        <v>711</v>
      </c>
      <c r="E8" s="35" t="s">
        <v>123</v>
      </c>
      <c r="F8" s="35" t="s">
        <v>124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125</v>
      </c>
      <c r="B9" s="606" t="s">
        <v>126</v>
      </c>
      <c r="C9" s="607" t="s">
        <v>713</v>
      </c>
      <c r="D9" s="607" t="s">
        <v>714</v>
      </c>
      <c r="E9" s="605" t="s">
        <v>128</v>
      </c>
      <c r="F9" s="605" t="s">
        <v>128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131</v>
      </c>
      <c r="B11" s="606" t="s">
        <v>969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970</v>
      </c>
      <c r="C12" s="49">
        <v>667</v>
      </c>
      <c r="D12" s="49">
        <v>731</v>
      </c>
      <c r="E12" s="49">
        <f>+D12-C12</f>
        <v>64</v>
      </c>
      <c r="F12" s="70">
        <f>IF(C12=0,0,+E12/C12)</f>
        <v>0.095952023988006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971</v>
      </c>
      <c r="C13" s="49">
        <v>615</v>
      </c>
      <c r="D13" s="49">
        <v>686</v>
      </c>
      <c r="E13" s="49">
        <f>+D13-C13</f>
        <v>71</v>
      </c>
      <c r="F13" s="70">
        <f>IF(C13=0,0,+E13/C13)</f>
        <v>0.11544715447154472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972</v>
      </c>
      <c r="C15" s="51">
        <v>1880071</v>
      </c>
      <c r="D15" s="51">
        <v>1418730</v>
      </c>
      <c r="E15" s="51">
        <f>+D15-C15</f>
        <v>-461341</v>
      </c>
      <c r="F15" s="70">
        <f>IF(C15=0,0,+E15/C15)</f>
        <v>-0.2453848817411683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973</v>
      </c>
      <c r="C16" s="27">
        <f>IF(C13=0,0,+C15/+C13)</f>
        <v>3057.0260162601626</v>
      </c>
      <c r="D16" s="27">
        <f>IF(D13=0,0,+D15/+D13)</f>
        <v>2068.1195335276966</v>
      </c>
      <c r="E16" s="27">
        <f>+D16-C16</f>
        <v>-988.906482732466</v>
      </c>
      <c r="F16" s="28">
        <f>IF(C16=0,0,+E16/C16)</f>
        <v>-0.32348644645891916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974</v>
      </c>
      <c r="C18" s="210">
        <v>0.432905</v>
      </c>
      <c r="D18" s="210">
        <v>0.386067</v>
      </c>
      <c r="E18" s="210">
        <f>+D18-C18</f>
        <v>-0.04683799999999999</v>
      </c>
      <c r="F18" s="70">
        <f>IF(C18=0,0,+E18/C18)</f>
        <v>-0.10819463854656332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975</v>
      </c>
      <c r="C19" s="27">
        <f>+C15*C18</f>
        <v>813892.136255</v>
      </c>
      <c r="D19" s="27">
        <f>+D15*D18</f>
        <v>547724.83491</v>
      </c>
      <c r="E19" s="27">
        <f>+D19-C19</f>
        <v>-266167.30134500004</v>
      </c>
      <c r="F19" s="28">
        <f>IF(C19=0,0,+E19/C19)</f>
        <v>-0.3270301917029548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976</v>
      </c>
      <c r="C20" s="27">
        <f>IF(C13=0,0,+C19/C13)</f>
        <v>1323.4018475691057</v>
      </c>
      <c r="D20" s="27">
        <f>IF(D13=0,0,+D19/D13)</f>
        <v>798.4327039504373</v>
      </c>
      <c r="E20" s="27">
        <f>+D20-C20</f>
        <v>-524.9691436186685</v>
      </c>
      <c r="F20" s="28">
        <f>IF(C20=0,0,+E20/C20)</f>
        <v>-0.3966815858561475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977</v>
      </c>
      <c r="C22" s="51">
        <v>802877</v>
      </c>
      <c r="D22" s="51">
        <v>639114</v>
      </c>
      <c r="E22" s="51">
        <f>+D22-C22</f>
        <v>-163763</v>
      </c>
      <c r="F22" s="70">
        <f>IF(C22=0,0,+E22/C22)</f>
        <v>-0.2039702220888131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978</v>
      </c>
      <c r="C23" s="49">
        <v>829352</v>
      </c>
      <c r="D23" s="49">
        <v>577155</v>
      </c>
      <c r="E23" s="49">
        <f>+D23-C23</f>
        <v>-252197</v>
      </c>
      <c r="F23" s="70">
        <f>IF(C23=0,0,+E23/C23)</f>
        <v>-0.3040892166414261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0</v>
      </c>
      <c r="C24" s="49">
        <v>247842</v>
      </c>
      <c r="D24" s="49">
        <v>202461</v>
      </c>
      <c r="E24" s="49">
        <f>+D24-C24</f>
        <v>-45381</v>
      </c>
      <c r="F24" s="70">
        <f>IF(C24=0,0,+E24/C24)</f>
        <v>-0.18310455854939842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972</v>
      </c>
      <c r="C25" s="27">
        <f>+C22+C23+C24</f>
        <v>1880071</v>
      </c>
      <c r="D25" s="27">
        <f>+D22+D23+D24</f>
        <v>1418730</v>
      </c>
      <c r="E25" s="27">
        <f>+E22+E23+E24</f>
        <v>-461341</v>
      </c>
      <c r="F25" s="28">
        <f>IF(C25=0,0,+E25/C25)</f>
        <v>-0.2453848817411683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1</v>
      </c>
      <c r="C27" s="49">
        <v>511</v>
      </c>
      <c r="D27" s="49">
        <v>490</v>
      </c>
      <c r="E27" s="49">
        <f>+D27-C27</f>
        <v>-21</v>
      </c>
      <c r="F27" s="70">
        <f>IF(C27=0,0,+E27/C27)</f>
        <v>-0.0410958904109589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2</v>
      </c>
      <c r="C28" s="49">
        <v>96</v>
      </c>
      <c r="D28" s="49">
        <v>135</v>
      </c>
      <c r="E28" s="49">
        <f>+D28-C28</f>
        <v>39</v>
      </c>
      <c r="F28" s="70">
        <f>IF(C28=0,0,+E28/C28)</f>
        <v>0.40625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3</v>
      </c>
      <c r="C29" s="49">
        <v>382</v>
      </c>
      <c r="D29" s="49">
        <v>515</v>
      </c>
      <c r="E29" s="49">
        <f>+D29-C29</f>
        <v>133</v>
      </c>
      <c r="F29" s="70">
        <f>IF(C29=0,0,+E29/C29)</f>
        <v>0.3481675392670157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4</v>
      </c>
      <c r="C30" s="49">
        <v>880</v>
      </c>
      <c r="D30" s="49">
        <v>965</v>
      </c>
      <c r="E30" s="49">
        <f>+D30-C30</f>
        <v>85</v>
      </c>
      <c r="F30" s="70">
        <f>IF(C30=0,0,+E30/C30)</f>
        <v>0.09659090909090909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143</v>
      </c>
      <c r="B32" s="606" t="s">
        <v>5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6</v>
      </c>
      <c r="C33" s="51">
        <v>1639896</v>
      </c>
      <c r="D33" s="51">
        <v>2066626</v>
      </c>
      <c r="E33" s="51">
        <f>+D33-C33</f>
        <v>426730</v>
      </c>
      <c r="F33" s="70">
        <f>IF(C33=0,0,+E33/C33)</f>
        <v>0.26021772112377856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7</v>
      </c>
      <c r="C34" s="49">
        <v>3577895</v>
      </c>
      <c r="D34" s="49">
        <v>4314788</v>
      </c>
      <c r="E34" s="49">
        <f>+D34-C34</f>
        <v>736893</v>
      </c>
      <c r="F34" s="70">
        <f>IF(C34=0,0,+E34/C34)</f>
        <v>0.20595713401315577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8</v>
      </c>
      <c r="C35" s="49">
        <v>1069213</v>
      </c>
      <c r="D35" s="49">
        <v>1513590</v>
      </c>
      <c r="E35" s="49">
        <f>+D35-C35</f>
        <v>444377</v>
      </c>
      <c r="F35" s="70">
        <f>IF(C35=0,0,+E35/C35)</f>
        <v>0.41561129541073666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9</v>
      </c>
      <c r="C36" s="27">
        <f>+C33+C34+C35</f>
        <v>6287004</v>
      </c>
      <c r="D36" s="27">
        <f>+D33+D34+D35</f>
        <v>7895004</v>
      </c>
      <c r="E36" s="27">
        <f>+E33+E34+E35</f>
        <v>1608000</v>
      </c>
      <c r="F36" s="28">
        <f>IF(C36=0,0,+E36/C36)</f>
        <v>0.2557657033461407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153</v>
      </c>
      <c r="B38" s="606" t="s">
        <v>10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11</v>
      </c>
      <c r="C39" s="51">
        <f>+C25</f>
        <v>1880071</v>
      </c>
      <c r="D39" s="51">
        <f>+D25</f>
        <v>1418730</v>
      </c>
      <c r="E39" s="51">
        <f>+D39-C39</f>
        <v>-461341</v>
      </c>
      <c r="F39" s="70">
        <f>IF(C39=0,0,+E39/C39)</f>
        <v>-0.2453848817411683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12</v>
      </c>
      <c r="C40" s="49">
        <f>+C36</f>
        <v>6287004</v>
      </c>
      <c r="D40" s="49">
        <f>+D36</f>
        <v>7895004</v>
      </c>
      <c r="E40" s="49">
        <f>+D40-C40</f>
        <v>1608000</v>
      </c>
      <c r="F40" s="70">
        <f>IF(C40=0,0,+E40/C40)</f>
        <v>0.2557657033461407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13</v>
      </c>
      <c r="C41" s="27">
        <f>+C39+C40</f>
        <v>8167075</v>
      </c>
      <c r="D41" s="27">
        <f>+D39+D40</f>
        <v>9313734</v>
      </c>
      <c r="E41" s="27">
        <f>+E39+E40</f>
        <v>1146659</v>
      </c>
      <c r="F41" s="28">
        <f>IF(C41=0,0,+E41/C41)</f>
        <v>0.14040020447957194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14</v>
      </c>
      <c r="C43" s="51">
        <f aca="true" t="shared" si="0" ref="C43:D45">+C22+C33</f>
        <v>2442773</v>
      </c>
      <c r="D43" s="51">
        <f t="shared" si="0"/>
        <v>2705740</v>
      </c>
      <c r="E43" s="51">
        <f>+D43-C43</f>
        <v>262967</v>
      </c>
      <c r="F43" s="70">
        <f>IF(C43=0,0,+E43/C43)</f>
        <v>0.10765101792102663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15</v>
      </c>
      <c r="C44" s="49">
        <f t="shared" si="0"/>
        <v>4407247</v>
      </c>
      <c r="D44" s="49">
        <f t="shared" si="0"/>
        <v>4891943</v>
      </c>
      <c r="E44" s="49">
        <f>+D44-C44</f>
        <v>484696</v>
      </c>
      <c r="F44" s="70">
        <f>IF(C44=0,0,+E44/C44)</f>
        <v>0.10997704462672503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16</v>
      </c>
      <c r="C45" s="49">
        <f t="shared" si="0"/>
        <v>1317055</v>
      </c>
      <c r="D45" s="49">
        <f t="shared" si="0"/>
        <v>1716051</v>
      </c>
      <c r="E45" s="49">
        <f>+D45-C45</f>
        <v>398996</v>
      </c>
      <c r="F45" s="70">
        <f>IF(C45=0,0,+E45/C45)</f>
        <v>0.3029455869344864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13</v>
      </c>
      <c r="C46" s="27">
        <f>+C43+C44+C45</f>
        <v>8167075</v>
      </c>
      <c r="D46" s="27">
        <f>+D43+D44+D45</f>
        <v>9313734</v>
      </c>
      <c r="E46" s="27">
        <f>+E43+E44+E45</f>
        <v>1146659</v>
      </c>
      <c r="F46" s="28">
        <f>IF(C46=0,0,+E46/C46)</f>
        <v>0.14040020447957194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17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64" r:id="rId1"/>
  <headerFooter alignWithMargins="0">
    <oddHeader>&amp;LOFFICE OF HEALTH CARE ACCESS&amp;CTWELVE MONTHS ACTUAL FILING&amp;RMANCHESTER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117</v>
      </c>
      <c r="B2" s="715"/>
      <c r="C2" s="715"/>
      <c r="D2" s="715"/>
      <c r="E2" s="715"/>
      <c r="F2" s="716"/>
    </row>
    <row r="3" spans="1:6" ht="15.75" customHeight="1">
      <c r="A3" s="714" t="s">
        <v>707</v>
      </c>
      <c r="B3" s="715"/>
      <c r="C3" s="715"/>
      <c r="D3" s="715"/>
      <c r="E3" s="715"/>
      <c r="F3" s="716"/>
    </row>
    <row r="4" spans="1:6" ht="15.75" customHeight="1">
      <c r="A4" s="714" t="s">
        <v>708</v>
      </c>
      <c r="B4" s="715"/>
      <c r="C4" s="715"/>
      <c r="D4" s="715"/>
      <c r="E4" s="715"/>
      <c r="F4" s="716"/>
    </row>
    <row r="5" spans="1:6" ht="15.75" customHeight="1">
      <c r="A5" s="714" t="s">
        <v>18</v>
      </c>
      <c r="B5" s="715"/>
      <c r="C5" s="715"/>
      <c r="D5" s="715"/>
      <c r="E5" s="715"/>
      <c r="F5" s="716"/>
    </row>
    <row r="6" spans="1:6" ht="15.75" customHeight="1">
      <c r="A6" s="714" t="s">
        <v>19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713</v>
      </c>
      <c r="D9" s="35" t="s">
        <v>714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20</v>
      </c>
      <c r="D10" s="35" t="s">
        <v>20</v>
      </c>
      <c r="E10" s="35" t="s">
        <v>123</v>
      </c>
      <c r="F10" s="35" t="s">
        <v>124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125</v>
      </c>
      <c r="B11" s="606" t="s">
        <v>126</v>
      </c>
      <c r="C11" s="605" t="s">
        <v>21</v>
      </c>
      <c r="D11" s="605" t="s">
        <v>21</v>
      </c>
      <c r="E11" s="605" t="s">
        <v>128</v>
      </c>
      <c r="F11" s="605" t="s">
        <v>128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22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440</v>
      </c>
      <c r="C15" s="51">
        <v>179797206</v>
      </c>
      <c r="D15" s="51">
        <v>178865005</v>
      </c>
      <c r="E15" s="51">
        <f>+D15-C15</f>
        <v>-932201</v>
      </c>
      <c r="F15" s="70">
        <f>+E15/C15</f>
        <v>-0.005184735740554278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619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23</v>
      </c>
      <c r="C17" s="51">
        <v>95310491</v>
      </c>
      <c r="D17" s="51">
        <v>96857807</v>
      </c>
      <c r="E17" s="51">
        <f>+D17-C17</f>
        <v>1547316</v>
      </c>
      <c r="F17" s="70">
        <f>+E17/C17</f>
        <v>0.016234477272811448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24</v>
      </c>
      <c r="C19" s="27">
        <f>+C15-C17</f>
        <v>84486715</v>
      </c>
      <c r="D19" s="27">
        <f>+D15-D17</f>
        <v>82007198</v>
      </c>
      <c r="E19" s="27">
        <f>+D19-C19</f>
        <v>-2479517</v>
      </c>
      <c r="F19" s="28">
        <f>+E19/C19</f>
        <v>-0.029348010512658704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25</v>
      </c>
      <c r="C21" s="628">
        <f>+C17/C15</f>
        <v>0.5300999560582715</v>
      </c>
      <c r="D21" s="628">
        <f>+D17/D15</f>
        <v>0.5415134559160971</v>
      </c>
      <c r="E21" s="628">
        <f>+D21-C21</f>
        <v>0.011413499857825582</v>
      </c>
      <c r="F21" s="28">
        <f>+E21/C21</f>
        <v>0.021530844753684428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619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619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619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619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26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FILING&amp;R&amp;12MANCHESTER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5" width="18.28125" style="0" customWidth="1"/>
  </cols>
  <sheetData>
    <row r="1" spans="1:6" ht="25.5" customHeight="1">
      <c r="A1" s="718" t="s">
        <v>117</v>
      </c>
      <c r="B1" s="718"/>
      <c r="C1" s="718"/>
      <c r="D1" s="718"/>
      <c r="E1" s="718"/>
      <c r="F1" s="630"/>
    </row>
    <row r="2" spans="1:6" ht="25.5" customHeight="1">
      <c r="A2" s="718" t="s">
        <v>118</v>
      </c>
      <c r="B2" s="718"/>
      <c r="C2" s="718"/>
      <c r="D2" s="718"/>
      <c r="E2" s="718"/>
      <c r="F2" s="630"/>
    </row>
    <row r="3" spans="1:6" ht="25.5" customHeight="1">
      <c r="A3" s="718" t="s">
        <v>119</v>
      </c>
      <c r="B3" s="718"/>
      <c r="C3" s="718"/>
      <c r="D3" s="718"/>
      <c r="E3" s="718"/>
      <c r="F3" s="630"/>
    </row>
    <row r="4" spans="1:6" ht="25.5" customHeight="1">
      <c r="A4" s="718" t="s">
        <v>27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28</v>
      </c>
      <c r="B6" s="632" t="s">
        <v>29</v>
      </c>
      <c r="C6" s="632" t="s">
        <v>30</v>
      </c>
      <c r="D6" s="632" t="s">
        <v>31</v>
      </c>
      <c r="E6" s="632" t="s">
        <v>32</v>
      </c>
    </row>
    <row r="7" spans="1:5" ht="37.5" customHeight="1">
      <c r="A7" s="633" t="s">
        <v>125</v>
      </c>
      <c r="B7" s="634" t="s">
        <v>33</v>
      </c>
      <c r="C7" s="631" t="s">
        <v>34</v>
      </c>
      <c r="D7" s="631" t="s">
        <v>35</v>
      </c>
      <c r="E7" s="631" t="s">
        <v>36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131</v>
      </c>
      <c r="B9" s="637" t="s">
        <v>37</v>
      </c>
      <c r="C9" s="638"/>
      <c r="D9" s="638"/>
      <c r="E9" s="638"/>
    </row>
    <row r="10" spans="1:5" ht="25.5" customHeight="1">
      <c r="A10" s="639">
        <v>1</v>
      </c>
      <c r="B10" s="640" t="s">
        <v>38</v>
      </c>
      <c r="C10" s="641">
        <v>141978889</v>
      </c>
      <c r="D10" s="641">
        <v>149231344</v>
      </c>
      <c r="E10" s="641">
        <v>159437227</v>
      </c>
    </row>
    <row r="11" spans="1:5" ht="25.5" customHeight="1">
      <c r="A11" s="639">
        <v>2</v>
      </c>
      <c r="B11" s="640" t="s">
        <v>39</v>
      </c>
      <c r="C11" s="641">
        <v>200238411</v>
      </c>
      <c r="D11" s="641">
        <v>241196111</v>
      </c>
      <c r="E11" s="641">
        <v>250774269</v>
      </c>
    </row>
    <row r="12" spans="1:5" ht="25.5" customHeight="1">
      <c r="A12" s="639">
        <v>3</v>
      </c>
      <c r="B12" s="640" t="s">
        <v>188</v>
      </c>
      <c r="C12" s="641">
        <f>+C11+C10</f>
        <v>342217300</v>
      </c>
      <c r="D12" s="641">
        <f>+D11+D10</f>
        <v>390427455</v>
      </c>
      <c r="E12" s="641">
        <f>+E11+E10</f>
        <v>410211496</v>
      </c>
    </row>
    <row r="13" spans="1:5" ht="25.5" customHeight="1">
      <c r="A13" s="639">
        <v>4</v>
      </c>
      <c r="B13" s="640" t="s">
        <v>599</v>
      </c>
      <c r="C13" s="641">
        <v>149979081</v>
      </c>
      <c r="D13" s="641">
        <v>158787196</v>
      </c>
      <c r="E13" s="641">
        <v>167264862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143</v>
      </c>
      <c r="B15" s="642" t="s">
        <v>439</v>
      </c>
      <c r="C15" s="641"/>
      <c r="D15" s="641"/>
      <c r="E15" s="641"/>
    </row>
    <row r="16" spans="1:5" ht="25.5" customHeight="1">
      <c r="A16" s="639">
        <v>1</v>
      </c>
      <c r="B16" s="640" t="s">
        <v>40</v>
      </c>
      <c r="C16" s="641">
        <v>159620350</v>
      </c>
      <c r="D16" s="641">
        <v>161925493</v>
      </c>
      <c r="E16" s="641">
        <v>170017184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153</v>
      </c>
      <c r="B18" s="642" t="s">
        <v>41</v>
      </c>
      <c r="C18" s="643"/>
      <c r="D18" s="643"/>
      <c r="E18" s="641"/>
    </row>
    <row r="19" spans="1:5" ht="25.5" customHeight="1">
      <c r="A19" s="639">
        <v>1</v>
      </c>
      <c r="B19" s="640" t="s">
        <v>487</v>
      </c>
      <c r="C19" s="644">
        <v>44817</v>
      </c>
      <c r="D19" s="644">
        <v>43813</v>
      </c>
      <c r="E19" s="644">
        <v>44631</v>
      </c>
    </row>
    <row r="20" spans="1:5" ht="25.5" customHeight="1">
      <c r="A20" s="639">
        <v>2</v>
      </c>
      <c r="B20" s="640" t="s">
        <v>488</v>
      </c>
      <c r="C20" s="645">
        <v>9085</v>
      </c>
      <c r="D20" s="645">
        <v>8972</v>
      </c>
      <c r="E20" s="645">
        <v>8989</v>
      </c>
    </row>
    <row r="21" spans="1:5" ht="25.5" customHeight="1">
      <c r="A21" s="639">
        <v>3</v>
      </c>
      <c r="B21" s="640" t="s">
        <v>42</v>
      </c>
      <c r="C21" s="646">
        <f>IF(C20=0,0,+C19/C20)</f>
        <v>4.933076499724821</v>
      </c>
      <c r="D21" s="646">
        <f>IF(D20=0,0,+D19/D20)</f>
        <v>4.883303611234953</v>
      </c>
      <c r="E21" s="646">
        <f>IF(E20=0,0,+E19/E20)</f>
        <v>4.965068416954055</v>
      </c>
    </row>
    <row r="22" spans="1:5" ht="25.5" customHeight="1">
      <c r="A22" s="639">
        <v>4</v>
      </c>
      <c r="B22" s="640" t="s">
        <v>43</v>
      </c>
      <c r="C22" s="645">
        <f>IF(C10=0,0,C19*(C12/C10))</f>
        <v>108024.17769376967</v>
      </c>
      <c r="D22" s="645">
        <f>IF(D10=0,0,D19*(D12/D10))</f>
        <v>114626.04053150523</v>
      </c>
      <c r="E22" s="645">
        <f>IF(E10=0,0,E19*(E12/E10))</f>
        <v>114829.82752814685</v>
      </c>
    </row>
    <row r="23" spans="1:5" ht="25.5" customHeight="1">
      <c r="A23" s="639">
        <v>0</v>
      </c>
      <c r="B23" s="640" t="s">
        <v>44</v>
      </c>
      <c r="C23" s="645">
        <f>IF(C10=0,0,C20*(C12/C10))</f>
        <v>21897.932801122286</v>
      </c>
      <c r="D23" s="645">
        <f>IF(D10=0,0,D20*(D12/D10))</f>
        <v>23473.052191100018</v>
      </c>
      <c r="E23" s="645">
        <f>IF(E10=0,0,E20*(E12/E10))</f>
        <v>23127.541835282922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436</v>
      </c>
      <c r="B25" s="642" t="s">
        <v>45</v>
      </c>
      <c r="C25" s="645"/>
      <c r="D25" s="645"/>
      <c r="E25" s="645"/>
    </row>
    <row r="26" spans="1:5" ht="25.5" customHeight="1">
      <c r="A26" s="639">
        <v>1</v>
      </c>
      <c r="B26" s="640" t="s">
        <v>537</v>
      </c>
      <c r="C26" s="647">
        <v>1.1230162377545405</v>
      </c>
      <c r="D26" s="647">
        <v>1.1912134819438254</v>
      </c>
      <c r="E26" s="647">
        <v>1.2317695149627321</v>
      </c>
    </row>
    <row r="27" spans="1:5" ht="25.5" customHeight="1">
      <c r="A27" s="639">
        <v>2</v>
      </c>
      <c r="B27" s="640" t="s">
        <v>46</v>
      </c>
      <c r="C27" s="645">
        <f>C19*C26</f>
        <v>50330.218727445244</v>
      </c>
      <c r="D27" s="645">
        <f>D19*D26</f>
        <v>52190.63628440482</v>
      </c>
      <c r="E27" s="645">
        <f>E19*E26</f>
        <v>54975.105222301696</v>
      </c>
    </row>
    <row r="28" spans="1:5" ht="25.5" customHeight="1">
      <c r="A28" s="639">
        <v>3</v>
      </c>
      <c r="B28" s="640" t="s">
        <v>47</v>
      </c>
      <c r="C28" s="645">
        <f>C20*C26</f>
        <v>10202.60252</v>
      </c>
      <c r="D28" s="645">
        <f>D20*D26</f>
        <v>10687.567360000001</v>
      </c>
      <c r="E28" s="645">
        <f>E20*E26</f>
        <v>11072.37617</v>
      </c>
    </row>
    <row r="29" spans="1:5" ht="25.5" customHeight="1">
      <c r="A29" s="639">
        <v>4</v>
      </c>
      <c r="B29" s="640" t="s">
        <v>48</v>
      </c>
      <c r="C29" s="645">
        <f>C22*C26</f>
        <v>121312.90562018518</v>
      </c>
      <c r="D29" s="645">
        <f>D22*D26</f>
        <v>136544.08486296842</v>
      </c>
      <c r="E29" s="645">
        <f>E22*E26</f>
        <v>141443.88095759964</v>
      </c>
    </row>
    <row r="30" spans="1:5" ht="25.5" customHeight="1">
      <c r="A30" s="639">
        <v>5</v>
      </c>
      <c r="B30" s="640" t="s">
        <v>49</v>
      </c>
      <c r="C30" s="645">
        <f>C23*C26</f>
        <v>24591.734108918095</v>
      </c>
      <c r="D30" s="645">
        <f>D23*D26</f>
        <v>27961.416232409392</v>
      </c>
      <c r="E30" s="645">
        <f>E23*E26</f>
        <v>28487.80098872674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457</v>
      </c>
      <c r="B32" s="634" t="s">
        <v>50</v>
      </c>
      <c r="C32" s="648"/>
      <c r="D32" s="648"/>
      <c r="E32" s="645"/>
    </row>
    <row r="33" spans="1:5" ht="25.5" customHeight="1">
      <c r="A33" s="639">
        <v>1</v>
      </c>
      <c r="B33" s="640" t="s">
        <v>51</v>
      </c>
      <c r="C33" s="641">
        <f>IF(C19=0,0,C12/C19)</f>
        <v>7635.881473547984</v>
      </c>
      <c r="D33" s="641">
        <f>IF(D19=0,0,D12/D19)</f>
        <v>8911.22395179513</v>
      </c>
      <c r="E33" s="641">
        <f>IF(E19=0,0,E12/E19)</f>
        <v>9191.178687459389</v>
      </c>
    </row>
    <row r="34" spans="1:5" ht="25.5" customHeight="1">
      <c r="A34" s="639">
        <v>2</v>
      </c>
      <c r="B34" s="640" t="s">
        <v>52</v>
      </c>
      <c r="C34" s="641">
        <f>IF(C20=0,0,C12/C20)</f>
        <v>37668.3874518437</v>
      </c>
      <c r="D34" s="641">
        <f>IF(D20=0,0,D12/D20)</f>
        <v>43516.212104324564</v>
      </c>
      <c r="E34" s="641">
        <f>IF(E20=0,0,E12/E20)</f>
        <v>45634.831015685835</v>
      </c>
    </row>
    <row r="35" spans="1:5" ht="25.5" customHeight="1">
      <c r="A35" s="639">
        <v>3</v>
      </c>
      <c r="B35" s="640" t="s">
        <v>53</v>
      </c>
      <c r="C35" s="641">
        <f>IF(C22=0,0,C12/C22)</f>
        <v>3167.9694981814937</v>
      </c>
      <c r="D35" s="641">
        <f>IF(D22=0,0,D12/D22)</f>
        <v>3406.0973683609886</v>
      </c>
      <c r="E35" s="641">
        <f>IF(E22=0,0,E12/E22)</f>
        <v>3572.3426990208604</v>
      </c>
    </row>
    <row r="36" spans="1:5" ht="25.5" customHeight="1">
      <c r="A36" s="639">
        <v>4</v>
      </c>
      <c r="B36" s="640" t="s">
        <v>54</v>
      </c>
      <c r="C36" s="641">
        <f>IF(C23=0,0,C12/C23)</f>
        <v>15627.83588332416</v>
      </c>
      <c r="D36" s="641">
        <f>IF(D23=0,0,D12/D23)</f>
        <v>16633.007579135083</v>
      </c>
      <c r="E36" s="641">
        <f>IF(E23=0,0,E12/E23)</f>
        <v>17736.92590944488</v>
      </c>
    </row>
    <row r="37" spans="1:5" ht="25.5" customHeight="1">
      <c r="A37" s="639">
        <v>5</v>
      </c>
      <c r="B37" s="640" t="s">
        <v>55</v>
      </c>
      <c r="C37" s="641">
        <f>IF(C29=0,0,C12/C29)</f>
        <v>2820.947188186536</v>
      </c>
      <c r="D37" s="641">
        <f>IF(D29=0,0,D12/D29)</f>
        <v>2859.3509223912656</v>
      </c>
      <c r="E37" s="641">
        <f>IF(E29=0,0,E12/E29)</f>
        <v>2900.1713840344096</v>
      </c>
    </row>
    <row r="38" spans="1:5" ht="25.5" customHeight="1">
      <c r="A38" s="639">
        <v>6</v>
      </c>
      <c r="B38" s="640" t="s">
        <v>56</v>
      </c>
      <c r="C38" s="641">
        <f>IF(C30=0,0,C12/C30)</f>
        <v>13915.948281007813</v>
      </c>
      <c r="D38" s="641">
        <f>IF(D30=0,0,D12/D30)</f>
        <v>13963.078685101262</v>
      </c>
      <c r="E38" s="641">
        <f>IF(E30=0,0,E12/E30)</f>
        <v>14399.549342623177</v>
      </c>
    </row>
    <row r="39" spans="1:5" ht="25.5" customHeight="1">
      <c r="A39" s="639">
        <v>7</v>
      </c>
      <c r="B39" s="640" t="s">
        <v>57</v>
      </c>
      <c r="C39" s="641">
        <f>IF(C22=0,0,C10/C22)</f>
        <v>1314.3251078706307</v>
      </c>
      <c r="D39" s="641">
        <f>IF(D22=0,0,D10/D22)</f>
        <v>1301.8973987763577</v>
      </c>
      <c r="E39" s="641">
        <f>IF(E22=0,0,E10/E22)</f>
        <v>1388.4652657944564</v>
      </c>
    </row>
    <row r="40" spans="1:5" ht="25.5" customHeight="1">
      <c r="A40" s="639">
        <v>8</v>
      </c>
      <c r="B40" s="640" t="s">
        <v>58</v>
      </c>
      <c r="C40" s="641">
        <f>IF(C23=0,0,C10/C23)</f>
        <v>6483.666302634899</v>
      </c>
      <c r="D40" s="641">
        <f>IF(D23=0,0,D10/D23)</f>
        <v>6357.560268901978</v>
      </c>
      <c r="E40" s="641">
        <f>IF(E23=0,0,E10/E23)</f>
        <v>6893.825039233772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469</v>
      </c>
      <c r="B42" s="634" t="s">
        <v>59</v>
      </c>
      <c r="C42" s="641"/>
      <c r="D42" s="641"/>
      <c r="E42" s="641"/>
    </row>
    <row r="43" spans="1:5" ht="25.5" customHeight="1">
      <c r="A43" s="639">
        <v>1</v>
      </c>
      <c r="B43" s="640" t="s">
        <v>60</v>
      </c>
      <c r="C43" s="641">
        <f>IF(C19=0,0,C13/C19)</f>
        <v>3346.4774750652655</v>
      </c>
      <c r="D43" s="641">
        <f>IF(D19=0,0,D13/D19)</f>
        <v>3624.2027708670944</v>
      </c>
      <c r="E43" s="641">
        <f>IF(E19=0,0,E13/E19)</f>
        <v>3747.7283054379245</v>
      </c>
    </row>
    <row r="44" spans="1:5" ht="25.5" customHeight="1">
      <c r="A44" s="639">
        <v>2</v>
      </c>
      <c r="B44" s="640" t="s">
        <v>61</v>
      </c>
      <c r="C44" s="641">
        <f>IF(C20=0,0,C13/C20)</f>
        <v>16508.429389102916</v>
      </c>
      <c r="D44" s="641">
        <f>IF(D20=0,0,D13/D20)</f>
        <v>17698.082478823006</v>
      </c>
      <c r="E44" s="641">
        <f>IF(E20=0,0,E13/E20)</f>
        <v>18607.727444654578</v>
      </c>
    </row>
    <row r="45" spans="1:5" ht="25.5" customHeight="1">
      <c r="A45" s="639">
        <v>3</v>
      </c>
      <c r="B45" s="640" t="s">
        <v>62</v>
      </c>
      <c r="C45" s="641">
        <f>IF(C22=0,0,C13/C22)</f>
        <v>1388.384380255737</v>
      </c>
      <c r="D45" s="641">
        <f>IF(D22=0,0,D13/D22)</f>
        <v>1385.2628535690978</v>
      </c>
      <c r="E45" s="641">
        <f>IF(E22=0,0,E13/E22)</f>
        <v>1456.6325283298052</v>
      </c>
    </row>
    <row r="46" spans="1:5" ht="25.5" customHeight="1">
      <c r="A46" s="639">
        <v>4</v>
      </c>
      <c r="B46" s="640" t="s">
        <v>63</v>
      </c>
      <c r="C46" s="641">
        <f>IF(C23=0,0,C13/C23)</f>
        <v>6849.006358824586</v>
      </c>
      <c r="D46" s="641">
        <f>IF(D23=0,0,D13/D23)</f>
        <v>6764.659095343611</v>
      </c>
      <c r="E46" s="641">
        <f>IF(E23=0,0,E13/E23)</f>
        <v>7232.280161518248</v>
      </c>
    </row>
    <row r="47" spans="1:5" ht="25.5" customHeight="1">
      <c r="A47" s="639">
        <v>5</v>
      </c>
      <c r="B47" s="640" t="s">
        <v>64</v>
      </c>
      <c r="C47" s="641">
        <f>IF(C29=0,0,C13/C29)</f>
        <v>1236.2994706397096</v>
      </c>
      <c r="D47" s="641">
        <f>IF(D29=0,0,D13/D29)</f>
        <v>1162.9005837884088</v>
      </c>
      <c r="E47" s="641">
        <f>IF(E29=0,0,E13/E29)</f>
        <v>1182.5528320319538</v>
      </c>
    </row>
    <row r="48" spans="1:5" ht="25.5" customHeight="1">
      <c r="A48" s="639">
        <v>6</v>
      </c>
      <c r="B48" s="640" t="s">
        <v>65</v>
      </c>
      <c r="C48" s="641">
        <f>IF(C30=0,0,C13/C30)</f>
        <v>6098.759865234989</v>
      </c>
      <c r="D48" s="641">
        <f>IF(D30=0,0,D13/D30)</f>
        <v>5678.796620321172</v>
      </c>
      <c r="E48" s="641">
        <f>IF(E30=0,0,E13/E30)</f>
        <v>5871.455717701428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481</v>
      </c>
      <c r="B50" s="634" t="s">
        <v>66</v>
      </c>
      <c r="C50" s="648"/>
      <c r="D50" s="648"/>
      <c r="E50" s="641"/>
    </row>
    <row r="51" spans="1:5" ht="25.5" customHeight="1">
      <c r="A51" s="639">
        <v>1</v>
      </c>
      <c r="B51" s="640" t="s">
        <v>67</v>
      </c>
      <c r="C51" s="641">
        <f>IF(C19=0,0,C16/C19)</f>
        <v>3561.6027400316843</v>
      </c>
      <c r="D51" s="641">
        <f>IF(D19=0,0,D16/D19)</f>
        <v>3695.8321274507566</v>
      </c>
      <c r="E51" s="641">
        <f>IF(E19=0,0,E16/E19)</f>
        <v>3809.3966973628194</v>
      </c>
    </row>
    <row r="52" spans="1:5" ht="25.5" customHeight="1">
      <c r="A52" s="639">
        <v>2</v>
      </c>
      <c r="B52" s="640" t="s">
        <v>68</v>
      </c>
      <c r="C52" s="641">
        <f>IF(C20=0,0,C16/C20)</f>
        <v>17569.658778205834</v>
      </c>
      <c r="D52" s="641">
        <f>IF(D20=0,0,D16/D20)</f>
        <v>18047.87037449844</v>
      </c>
      <c r="E52" s="641">
        <f>IF(E20=0,0,E16/E20)</f>
        <v>18913.91522972522</v>
      </c>
    </row>
    <row r="53" spans="1:5" ht="25.5" customHeight="1">
      <c r="A53" s="639">
        <v>3</v>
      </c>
      <c r="B53" s="640" t="s">
        <v>69</v>
      </c>
      <c r="C53" s="641">
        <f>IF(C22=0,0,C16/C22)</f>
        <v>1477.6354091071794</v>
      </c>
      <c r="D53" s="641">
        <f>IF(D22=0,0,D16/D22)</f>
        <v>1412.6414229190304</v>
      </c>
      <c r="E53" s="641">
        <f>IF(E22=0,0,E16/E22)</f>
        <v>1480.6012310549343</v>
      </c>
    </row>
    <row r="54" spans="1:5" ht="25.5" customHeight="1">
      <c r="A54" s="639">
        <v>4</v>
      </c>
      <c r="B54" s="640" t="s">
        <v>70</v>
      </c>
      <c r="C54" s="641">
        <f>IF(C23=0,0,C16/C23)</f>
        <v>7289.288511827899</v>
      </c>
      <c r="D54" s="641">
        <f>IF(D23=0,0,D16/D23)</f>
        <v>6898.356961920583</v>
      </c>
      <c r="E54" s="641">
        <f>IF(E23=0,0,E16/E23)</f>
        <v>7351.286410414147</v>
      </c>
    </row>
    <row r="55" spans="1:5" ht="25.5" customHeight="1">
      <c r="A55" s="639">
        <v>5</v>
      </c>
      <c r="B55" s="640" t="s">
        <v>71</v>
      </c>
      <c r="C55" s="641">
        <f>IF(C29=0,0,C16/C29)</f>
        <v>1315.7738592112403</v>
      </c>
      <c r="D55" s="641">
        <f>IF(D29=0,0,D16/D29)</f>
        <v>1185.8843476266557</v>
      </c>
      <c r="E55" s="641">
        <f>IF(E29=0,0,E16/E29)</f>
        <v>1202.0115882635157</v>
      </c>
    </row>
    <row r="56" spans="1:5" ht="25.5" customHeight="1">
      <c r="A56" s="639">
        <v>6</v>
      </c>
      <c r="B56" s="640" t="s">
        <v>72</v>
      </c>
      <c r="C56" s="641">
        <f>IF(C30=0,0,C16/C30)</f>
        <v>6490.813103827205</v>
      </c>
      <c r="D56" s="641">
        <f>IF(D30=0,0,D16/D30)</f>
        <v>5791.033317272254</v>
      </c>
      <c r="E56" s="641">
        <f>IF(E30=0,0,E16/E30)</f>
        <v>5968.069773699964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485</v>
      </c>
      <c r="B58" s="642" t="s">
        <v>73</v>
      </c>
      <c r="C58" s="641"/>
      <c r="D58" s="641"/>
      <c r="E58" s="641"/>
    </row>
    <row r="59" spans="1:5" ht="25.5" customHeight="1">
      <c r="A59" s="639">
        <v>1</v>
      </c>
      <c r="B59" s="640" t="s">
        <v>74</v>
      </c>
      <c r="C59" s="649">
        <v>21979164</v>
      </c>
      <c r="D59" s="649">
        <v>23070252</v>
      </c>
      <c r="E59" s="649">
        <v>25078004</v>
      </c>
    </row>
    <row r="60" spans="1:5" ht="25.5" customHeight="1">
      <c r="A60" s="639">
        <v>2</v>
      </c>
      <c r="B60" s="640" t="s">
        <v>75</v>
      </c>
      <c r="C60" s="649">
        <v>5946878</v>
      </c>
      <c r="D60" s="649">
        <v>5847122</v>
      </c>
      <c r="E60" s="649">
        <v>6834320</v>
      </c>
    </row>
    <row r="61" spans="1:5" ht="25.5" customHeight="1">
      <c r="A61" s="650">
        <v>3</v>
      </c>
      <c r="B61" s="651" t="s">
        <v>76</v>
      </c>
      <c r="C61" s="652">
        <f>C59+C60</f>
        <v>27926042</v>
      </c>
      <c r="D61" s="652">
        <f>D59+D60</f>
        <v>28917374</v>
      </c>
      <c r="E61" s="652">
        <f>E59+E60</f>
        <v>31912324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129</v>
      </c>
      <c r="B63" s="642" t="s">
        <v>77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78</v>
      </c>
      <c r="C64" s="641">
        <v>3835710</v>
      </c>
      <c r="D64" s="641">
        <v>4942107</v>
      </c>
      <c r="E64" s="649">
        <v>5313901</v>
      </c>
      <c r="F64" s="653"/>
    </row>
    <row r="65" spans="1:6" ht="25.5" customHeight="1">
      <c r="A65" s="639">
        <v>2</v>
      </c>
      <c r="B65" s="640" t="s">
        <v>79</v>
      </c>
      <c r="C65" s="649">
        <v>1037824</v>
      </c>
      <c r="D65" s="649">
        <v>1252570</v>
      </c>
      <c r="E65" s="649">
        <v>1448158</v>
      </c>
      <c r="F65" s="653"/>
    </row>
    <row r="66" spans="1:6" ht="25.5" customHeight="1">
      <c r="A66" s="650">
        <v>3</v>
      </c>
      <c r="B66" s="651" t="s">
        <v>80</v>
      </c>
      <c r="C66" s="654">
        <f>C64+C65</f>
        <v>4873534</v>
      </c>
      <c r="D66" s="654">
        <f>D64+D65</f>
        <v>6194677</v>
      </c>
      <c r="E66" s="654">
        <f>E64+E65</f>
        <v>6762059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511</v>
      </c>
      <c r="B68" s="642" t="s">
        <v>81</v>
      </c>
      <c r="C68" s="649"/>
      <c r="D68" s="649"/>
      <c r="E68" s="649"/>
    </row>
    <row r="69" spans="1:5" ht="25.5" customHeight="1">
      <c r="A69" s="639">
        <v>1</v>
      </c>
      <c r="B69" s="640" t="s">
        <v>82</v>
      </c>
      <c r="C69" s="649">
        <v>45964306</v>
      </c>
      <c r="D69" s="649">
        <v>43384216</v>
      </c>
      <c r="E69" s="649">
        <v>44702900</v>
      </c>
    </row>
    <row r="70" spans="1:5" ht="25.5" customHeight="1">
      <c r="A70" s="639">
        <v>2</v>
      </c>
      <c r="B70" s="640" t="s">
        <v>83</v>
      </c>
      <c r="C70" s="649">
        <v>12436510</v>
      </c>
      <c r="D70" s="649">
        <v>10995668</v>
      </c>
      <c r="E70" s="649">
        <v>12182546</v>
      </c>
    </row>
    <row r="71" spans="1:5" ht="25.5" customHeight="1">
      <c r="A71" s="650">
        <v>3</v>
      </c>
      <c r="B71" s="651" t="s">
        <v>84</v>
      </c>
      <c r="C71" s="652">
        <f>C69+C70</f>
        <v>58400816</v>
      </c>
      <c r="D71" s="652">
        <f>D69+D70</f>
        <v>54379884</v>
      </c>
      <c r="E71" s="652">
        <f>E69+E70</f>
        <v>56885446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527</v>
      </c>
      <c r="B74" s="642" t="s">
        <v>85</v>
      </c>
      <c r="C74" s="641"/>
      <c r="D74" s="641"/>
      <c r="E74" s="641"/>
    </row>
    <row r="75" spans="1:5" ht="25.5" customHeight="1">
      <c r="A75" s="639">
        <v>1</v>
      </c>
      <c r="B75" s="640" t="s">
        <v>86</v>
      </c>
      <c r="C75" s="641">
        <f aca="true" t="shared" si="0" ref="C75:E76">+C59+C64+C69</f>
        <v>71779180</v>
      </c>
      <c r="D75" s="641">
        <f t="shared" si="0"/>
        <v>71396575</v>
      </c>
      <c r="E75" s="641">
        <f t="shared" si="0"/>
        <v>75094805</v>
      </c>
    </row>
    <row r="76" spans="1:5" ht="25.5" customHeight="1">
      <c r="A76" s="639">
        <v>2</v>
      </c>
      <c r="B76" s="640" t="s">
        <v>87</v>
      </c>
      <c r="C76" s="641">
        <f t="shared" si="0"/>
        <v>19421212</v>
      </c>
      <c r="D76" s="641">
        <f t="shared" si="0"/>
        <v>18095360</v>
      </c>
      <c r="E76" s="641">
        <f t="shared" si="0"/>
        <v>20465024</v>
      </c>
    </row>
    <row r="77" spans="1:5" ht="25.5" customHeight="1">
      <c r="A77" s="650">
        <v>3</v>
      </c>
      <c r="B77" s="651" t="s">
        <v>85</v>
      </c>
      <c r="C77" s="654">
        <f>C75+C76</f>
        <v>91200392</v>
      </c>
      <c r="D77" s="654">
        <f>D75+D76</f>
        <v>89491935</v>
      </c>
      <c r="E77" s="654">
        <f>E75+E76</f>
        <v>95559829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536</v>
      </c>
      <c r="B79" s="642" t="s">
        <v>88</v>
      </c>
      <c r="C79" s="649"/>
      <c r="D79" s="649"/>
      <c r="E79" s="649"/>
    </row>
    <row r="80" spans="1:5" ht="25.5" customHeight="1">
      <c r="A80" s="639">
        <v>1</v>
      </c>
      <c r="B80" s="640" t="s">
        <v>693</v>
      </c>
      <c r="C80" s="646">
        <v>280.6</v>
      </c>
      <c r="D80" s="646">
        <v>281.1</v>
      </c>
      <c r="E80" s="646">
        <v>330.1</v>
      </c>
    </row>
    <row r="81" spans="1:5" ht="25.5" customHeight="1">
      <c r="A81" s="639">
        <v>2</v>
      </c>
      <c r="B81" s="640" t="s">
        <v>694</v>
      </c>
      <c r="C81" s="646">
        <v>10</v>
      </c>
      <c r="D81" s="646">
        <v>16.9</v>
      </c>
      <c r="E81" s="646">
        <v>14.4</v>
      </c>
    </row>
    <row r="82" spans="1:5" ht="25.5" customHeight="1">
      <c r="A82" s="639">
        <v>3</v>
      </c>
      <c r="B82" s="640" t="s">
        <v>89</v>
      </c>
      <c r="C82" s="646">
        <v>883</v>
      </c>
      <c r="D82" s="646">
        <v>853.3</v>
      </c>
      <c r="E82" s="646">
        <v>810.8</v>
      </c>
    </row>
    <row r="83" spans="1:5" ht="25.5" customHeight="1">
      <c r="A83" s="650">
        <v>4</v>
      </c>
      <c r="B83" s="651" t="s">
        <v>88</v>
      </c>
      <c r="C83" s="656">
        <f>C80+C81+C82</f>
        <v>1173.6</v>
      </c>
      <c r="D83" s="656">
        <f>D80+D81+D82</f>
        <v>1151.3</v>
      </c>
      <c r="E83" s="656">
        <f>E80+E81+E82</f>
        <v>1155.3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539</v>
      </c>
      <c r="B85" s="642" t="s">
        <v>90</v>
      </c>
      <c r="C85" s="657"/>
      <c r="D85" s="657"/>
      <c r="E85" s="657"/>
    </row>
    <row r="86" spans="1:5" ht="25.5" customHeight="1">
      <c r="A86" s="639">
        <v>1</v>
      </c>
      <c r="B86" s="640" t="s">
        <v>91</v>
      </c>
      <c r="C86" s="649">
        <f>IF(C80=0,0,C59/C80)</f>
        <v>78329.16607270135</v>
      </c>
      <c r="D86" s="649">
        <f>IF(D80=0,0,D59/D80)</f>
        <v>82071.3340448239</v>
      </c>
      <c r="E86" s="649">
        <f>IF(E80=0,0,E59/E80)</f>
        <v>75970.93002120568</v>
      </c>
    </row>
    <row r="87" spans="1:5" ht="25.5" customHeight="1">
      <c r="A87" s="639">
        <v>2</v>
      </c>
      <c r="B87" s="640" t="s">
        <v>92</v>
      </c>
      <c r="C87" s="649">
        <f>IF(C80=0,0,C60/C80)</f>
        <v>21193.43549536707</v>
      </c>
      <c r="D87" s="649">
        <f>IF(D80=0,0,D60/D80)</f>
        <v>20800.860903593024</v>
      </c>
      <c r="E87" s="649">
        <f>IF(E80=0,0,E60/E80)</f>
        <v>20703.786731293545</v>
      </c>
    </row>
    <row r="88" spans="1:5" ht="25.5" customHeight="1">
      <c r="A88" s="650">
        <v>3</v>
      </c>
      <c r="B88" s="651" t="s">
        <v>93</v>
      </c>
      <c r="C88" s="652">
        <f>+C86+C87</f>
        <v>99522.60156806842</v>
      </c>
      <c r="D88" s="652">
        <f>+D86+D87</f>
        <v>102872.19494841693</v>
      </c>
      <c r="E88" s="652">
        <f>+E86+E87</f>
        <v>96674.71675249923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691</v>
      </c>
      <c r="B90" s="642" t="s">
        <v>94</v>
      </c>
    </row>
    <row r="91" spans="1:5" ht="25.5" customHeight="1">
      <c r="A91" s="639">
        <v>1</v>
      </c>
      <c r="B91" s="640" t="s">
        <v>95</v>
      </c>
      <c r="C91" s="641">
        <f>IF(C81=0,0,C64/C81)</f>
        <v>383571</v>
      </c>
      <c r="D91" s="641">
        <f>IF(D81=0,0,D64/D81)</f>
        <v>292432.36686390534</v>
      </c>
      <c r="E91" s="641">
        <f>IF(E81=0,0,E64/E81)</f>
        <v>369020.90277777775</v>
      </c>
    </row>
    <row r="92" spans="1:5" ht="25.5" customHeight="1">
      <c r="A92" s="639">
        <v>2</v>
      </c>
      <c r="B92" s="640" t="s">
        <v>96</v>
      </c>
      <c r="C92" s="641">
        <f>IF(C81=0,0,C65/C81)</f>
        <v>103782.4</v>
      </c>
      <c r="D92" s="641">
        <f>IF(D81=0,0,D65/D81)</f>
        <v>74116.56804733728</v>
      </c>
      <c r="E92" s="641">
        <f>IF(E81=0,0,E65/E81)</f>
        <v>100566.52777777778</v>
      </c>
    </row>
    <row r="93" spans="1:5" ht="25.5" customHeight="1">
      <c r="A93" s="650">
        <v>3</v>
      </c>
      <c r="B93" s="651" t="s">
        <v>97</v>
      </c>
      <c r="C93" s="654">
        <f>+C91+C92</f>
        <v>487353.4</v>
      </c>
      <c r="D93" s="654">
        <f>+D91+D92</f>
        <v>366548.9349112426</v>
      </c>
      <c r="E93" s="654">
        <f>+E91+E92</f>
        <v>469587.4305555555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98</v>
      </c>
      <c r="B95" s="642" t="s">
        <v>99</v>
      </c>
      <c r="C95" s="649"/>
      <c r="D95" s="649"/>
      <c r="E95" s="649"/>
    </row>
    <row r="96" spans="1:5" ht="25.5" customHeight="1">
      <c r="A96" s="639">
        <v>1</v>
      </c>
      <c r="B96" s="640" t="s">
        <v>100</v>
      </c>
      <c r="C96" s="649">
        <f>IF(C82=0,0,C69/C82)</f>
        <v>52054.70668176671</v>
      </c>
      <c r="D96" s="649">
        <f>IF(D82=0,0,D69/D82)</f>
        <v>50842.864174381815</v>
      </c>
      <c r="E96" s="649">
        <f>IF(E82=0,0,E69/E82)</f>
        <v>55134.31179082388</v>
      </c>
    </row>
    <row r="97" spans="1:5" ht="25.5" customHeight="1">
      <c r="A97" s="639">
        <v>2</v>
      </c>
      <c r="B97" s="640" t="s">
        <v>101</v>
      </c>
      <c r="C97" s="649">
        <f>IF(C82=0,0,C70/C82)</f>
        <v>14084.382785956965</v>
      </c>
      <c r="D97" s="649">
        <f>IF(D82=0,0,D70/D82)</f>
        <v>12886.051798898396</v>
      </c>
      <c r="E97" s="649">
        <f>IF(E82=0,0,E70/E82)</f>
        <v>15025.340404538729</v>
      </c>
    </row>
    <row r="98" spans="1:5" ht="25.5" customHeight="1">
      <c r="A98" s="650">
        <v>3</v>
      </c>
      <c r="B98" s="651" t="s">
        <v>102</v>
      </c>
      <c r="C98" s="654">
        <f>+C96+C97</f>
        <v>66139.08946772368</v>
      </c>
      <c r="D98" s="654">
        <f>+D96+D97</f>
        <v>63728.91597328021</v>
      </c>
      <c r="E98" s="654">
        <f>+E96+E97</f>
        <v>70159.6521953626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103</v>
      </c>
      <c r="B100" s="642" t="s">
        <v>104</v>
      </c>
    </row>
    <row r="101" spans="1:5" ht="25.5" customHeight="1">
      <c r="A101" s="639">
        <v>1</v>
      </c>
      <c r="B101" s="640" t="s">
        <v>105</v>
      </c>
      <c r="C101" s="641">
        <f>IF(C83=0,0,C75/C83)</f>
        <v>61161.537150647586</v>
      </c>
      <c r="D101" s="641">
        <f>IF(D83=0,0,D75/D83)</f>
        <v>62013.87561886563</v>
      </c>
      <c r="E101" s="641">
        <f>IF(E83=0,0,E75/E83)</f>
        <v>65000.26400069246</v>
      </c>
    </row>
    <row r="102" spans="1:5" ht="25.5" customHeight="1">
      <c r="A102" s="639">
        <v>2</v>
      </c>
      <c r="B102" s="640" t="s">
        <v>106</v>
      </c>
      <c r="C102" s="658">
        <f>IF(C83=0,0,C76/C83)</f>
        <v>16548.408316291752</v>
      </c>
      <c r="D102" s="658">
        <f>IF(D83=0,0,D76/D83)</f>
        <v>15717.328237644402</v>
      </c>
      <c r="E102" s="658">
        <f>IF(E83=0,0,E76/E83)</f>
        <v>17714.03444992643</v>
      </c>
    </row>
    <row r="103" spans="1:5" ht="25.5" customHeight="1">
      <c r="A103" s="650">
        <v>3</v>
      </c>
      <c r="B103" s="651" t="s">
        <v>104</v>
      </c>
      <c r="C103" s="654">
        <f>+C101+C102</f>
        <v>77709.94546693933</v>
      </c>
      <c r="D103" s="654">
        <f>+D101+D102</f>
        <v>77731.20385651004</v>
      </c>
      <c r="E103" s="654">
        <f>+E101+E102</f>
        <v>82714.2984506189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107</v>
      </c>
      <c r="B107" s="634" t="s">
        <v>108</v>
      </c>
      <c r="C107" s="659"/>
      <c r="D107" s="659"/>
      <c r="E107" s="641"/>
    </row>
    <row r="108" spans="1:5" ht="25.5" customHeight="1">
      <c r="A108" s="639">
        <v>1</v>
      </c>
      <c r="B108" s="640" t="s">
        <v>109</v>
      </c>
      <c r="C108" s="641">
        <f>IF(C19=0,0,C77/C19)</f>
        <v>2034.9508445455965</v>
      </c>
      <c r="D108" s="641">
        <f>IF(D19=0,0,D77/D19)</f>
        <v>2042.5886152511812</v>
      </c>
      <c r="E108" s="641">
        <f>IF(E19=0,0,E77/E19)</f>
        <v>2141.108848110058</v>
      </c>
    </row>
    <row r="109" spans="1:5" ht="25.5" customHeight="1">
      <c r="A109" s="639">
        <v>2</v>
      </c>
      <c r="B109" s="640" t="s">
        <v>110</v>
      </c>
      <c r="C109" s="641">
        <f>IF(C20=0,0,C77/C20)</f>
        <v>10038.56818932306</v>
      </c>
      <c r="D109" s="641">
        <f>IF(D20=0,0,D77/D20)</f>
        <v>9974.580361123495</v>
      </c>
      <c r="E109" s="641">
        <f>IF(E20=0,0,E77/E20)</f>
        <v>10630.751919012126</v>
      </c>
    </row>
    <row r="110" spans="1:5" ht="25.5" customHeight="1">
      <c r="A110" s="639">
        <v>3</v>
      </c>
      <c r="B110" s="640" t="s">
        <v>111</v>
      </c>
      <c r="C110" s="641">
        <f>IF(C22=0,0,C77/C22)</f>
        <v>844.2590718768324</v>
      </c>
      <c r="D110" s="641">
        <f>IF(D22=0,0,D77/D22)</f>
        <v>780.7295321816767</v>
      </c>
      <c r="E110" s="641">
        <f>IF(E22=0,0,E77/E22)</f>
        <v>832.1864715557164</v>
      </c>
    </row>
    <row r="111" spans="1:5" ht="25.5" customHeight="1">
      <c r="A111" s="639">
        <v>4</v>
      </c>
      <c r="B111" s="640" t="s">
        <v>112</v>
      </c>
      <c r="C111" s="641">
        <f>IF(C23=0,0,C77/C23)</f>
        <v>4164.79458715509</v>
      </c>
      <c r="D111" s="641">
        <f>IF(D23=0,0,D77/D23)</f>
        <v>3812.5393439005575</v>
      </c>
      <c r="E111" s="641">
        <f>IF(E23=0,0,E77/E23)</f>
        <v>4131.862766937721</v>
      </c>
    </row>
    <row r="112" spans="1:5" ht="25.5" customHeight="1">
      <c r="A112" s="639">
        <v>5</v>
      </c>
      <c r="B112" s="640" t="s">
        <v>113</v>
      </c>
      <c r="C112" s="641">
        <f>IF(C29=0,0,C77/C29)</f>
        <v>751.778151992637</v>
      </c>
      <c r="D112" s="641">
        <f>IF(D29=0,0,D77/D29)</f>
        <v>655.4068972655348</v>
      </c>
      <c r="E112" s="641">
        <f>IF(E29=0,0,E77/E29)</f>
        <v>675.6024251670935</v>
      </c>
    </row>
    <row r="113" spans="1:5" ht="25.5" customHeight="1">
      <c r="A113" s="639">
        <v>6</v>
      </c>
      <c r="B113" s="640" t="s">
        <v>114</v>
      </c>
      <c r="C113" s="641">
        <f>IF(C30=0,0,C77/C30)</f>
        <v>3708.5791346014325</v>
      </c>
      <c r="D113" s="641">
        <f>IF(D30=0,0,D77/D30)</f>
        <v>3200.550868245082</v>
      </c>
      <c r="E113" s="641">
        <f>IF(E30=0,0,E77/E30)</f>
        <v>3354.4122636147017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FILING&amp;R&amp;12MANCHESTER MEMORIAL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117</v>
      </c>
      <c r="C1" s="57"/>
      <c r="D1" s="57"/>
      <c r="E1" s="57"/>
      <c r="F1" s="58"/>
    </row>
    <row r="2" spans="1:6" ht="22.5" customHeight="1">
      <c r="A2" s="57"/>
      <c r="B2" s="57" t="s">
        <v>118</v>
      </c>
      <c r="C2" s="57"/>
      <c r="D2" s="57"/>
      <c r="E2" s="57"/>
      <c r="F2" s="58"/>
    </row>
    <row r="3" spans="1:6" ht="22.5" customHeight="1">
      <c r="A3" s="57"/>
      <c r="B3" s="57" t="s">
        <v>119</v>
      </c>
      <c r="C3" s="57"/>
      <c r="D3" s="57"/>
      <c r="E3" s="57"/>
      <c r="F3" s="58"/>
    </row>
    <row r="4" spans="1:6" ht="22.5" customHeight="1">
      <c r="A4" s="57"/>
      <c r="B4" s="57" t="s">
        <v>186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121</v>
      </c>
      <c r="D6" s="10" t="s">
        <v>122</v>
      </c>
      <c r="E6" s="59" t="s">
        <v>123</v>
      </c>
      <c r="F6" s="59" t="s">
        <v>124</v>
      </c>
    </row>
    <row r="7" spans="1:8" ht="15.75" customHeight="1">
      <c r="A7" s="61" t="s">
        <v>125</v>
      </c>
      <c r="B7" s="62" t="s">
        <v>126</v>
      </c>
      <c r="C7" s="14" t="s">
        <v>127</v>
      </c>
      <c r="D7" s="14" t="s">
        <v>127</v>
      </c>
      <c r="E7" s="63" t="s">
        <v>128</v>
      </c>
      <c r="F7" s="63" t="s">
        <v>128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131</v>
      </c>
      <c r="B11" s="30" t="s">
        <v>187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188</v>
      </c>
      <c r="C12" s="51">
        <v>390427454</v>
      </c>
      <c r="D12" s="51">
        <v>410211495</v>
      </c>
      <c r="E12" s="51">
        <f aca="true" t="shared" si="0" ref="E12:E19">D12-C12</f>
        <v>19784041</v>
      </c>
      <c r="F12" s="70">
        <f aca="true" t="shared" si="1" ref="F12:F19">IF(C12=0,0,E12/C12)</f>
        <v>0.050672771080283716</v>
      </c>
    </row>
    <row r="13" spans="1:6" ht="22.5" customHeight="1">
      <c r="A13" s="25">
        <v>2</v>
      </c>
      <c r="B13" s="48" t="s">
        <v>189</v>
      </c>
      <c r="C13" s="51">
        <v>229754179</v>
      </c>
      <c r="D13" s="51">
        <v>241527903</v>
      </c>
      <c r="E13" s="51">
        <f t="shared" si="0"/>
        <v>11773724</v>
      </c>
      <c r="F13" s="70">
        <f t="shared" si="1"/>
        <v>0.051244874200960674</v>
      </c>
    </row>
    <row r="14" spans="1:6" ht="22.5" customHeight="1">
      <c r="A14" s="25">
        <v>3</v>
      </c>
      <c r="B14" s="48" t="s">
        <v>190</v>
      </c>
      <c r="C14" s="51">
        <v>1886079</v>
      </c>
      <c r="D14" s="51">
        <v>1418730</v>
      </c>
      <c r="E14" s="51">
        <f t="shared" si="0"/>
        <v>-467349</v>
      </c>
      <c r="F14" s="70">
        <f t="shared" si="1"/>
        <v>-0.24778866632839877</v>
      </c>
    </row>
    <row r="15" spans="1:7" ht="22.5" customHeight="1">
      <c r="A15" s="25">
        <v>4</v>
      </c>
      <c r="B15" s="48" t="s">
        <v>191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192</v>
      </c>
      <c r="C16" s="27">
        <f>C12-C13-C14-C15</f>
        <v>158787196</v>
      </c>
      <c r="D16" s="27">
        <f>D12-D13-D14-D15</f>
        <v>167264862</v>
      </c>
      <c r="E16" s="27">
        <f t="shared" si="0"/>
        <v>8477666</v>
      </c>
      <c r="F16" s="28">
        <f t="shared" si="1"/>
        <v>0.053390110875186685</v>
      </c>
    </row>
    <row r="17" spans="1:7" ht="22.5" customHeight="1">
      <c r="A17" s="25">
        <v>5</v>
      </c>
      <c r="B17" s="48" t="s">
        <v>193</v>
      </c>
      <c r="C17" s="51">
        <v>12710881</v>
      </c>
      <c r="D17" s="51">
        <v>10065754</v>
      </c>
      <c r="E17" s="51">
        <f t="shared" si="0"/>
        <v>-2645127</v>
      </c>
      <c r="F17" s="70">
        <f t="shared" si="1"/>
        <v>-0.2080994228488175</v>
      </c>
      <c r="G17" s="64"/>
    </row>
    <row r="18" spans="1:7" ht="22.5" customHeight="1">
      <c r="A18" s="25">
        <v>6</v>
      </c>
      <c r="B18" s="45" t="s">
        <v>194</v>
      </c>
      <c r="C18" s="51">
        <v>37394</v>
      </c>
      <c r="D18" s="51">
        <v>99591</v>
      </c>
      <c r="E18" s="51">
        <f t="shared" si="0"/>
        <v>62197</v>
      </c>
      <c r="F18" s="70">
        <f t="shared" si="1"/>
        <v>1.6632882280579773</v>
      </c>
      <c r="G18" s="64"/>
    </row>
    <row r="19" spans="1:6" ht="22.5" customHeight="1">
      <c r="A19" s="29"/>
      <c r="B19" s="71" t="s">
        <v>195</v>
      </c>
      <c r="C19" s="27">
        <f>SUM(C16:C18)</f>
        <v>171535471</v>
      </c>
      <c r="D19" s="27">
        <f>SUM(D16:D18)</f>
        <v>177430207</v>
      </c>
      <c r="E19" s="27">
        <f t="shared" si="0"/>
        <v>5894736</v>
      </c>
      <c r="F19" s="28">
        <f t="shared" si="1"/>
        <v>0.034364530937161096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143</v>
      </c>
      <c r="B21" s="30" t="s">
        <v>196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197</v>
      </c>
      <c r="C22" s="51">
        <v>71396575</v>
      </c>
      <c r="D22" s="51">
        <v>75094805</v>
      </c>
      <c r="E22" s="51">
        <f aca="true" t="shared" si="2" ref="E22:E31">D22-C22</f>
        <v>3698230</v>
      </c>
      <c r="F22" s="70">
        <f aca="true" t="shared" si="3" ref="F22:F31">IF(C22=0,0,E22/C22)</f>
        <v>0.05179842310362927</v>
      </c>
    </row>
    <row r="23" spans="1:6" ht="22.5" customHeight="1">
      <c r="A23" s="25">
        <v>2</v>
      </c>
      <c r="B23" s="48" t="s">
        <v>198</v>
      </c>
      <c r="C23" s="51">
        <v>18095360</v>
      </c>
      <c r="D23" s="51">
        <v>20465024</v>
      </c>
      <c r="E23" s="51">
        <f t="shared" si="2"/>
        <v>2369664</v>
      </c>
      <c r="F23" s="70">
        <f t="shared" si="3"/>
        <v>0.1309542335714791</v>
      </c>
    </row>
    <row r="24" spans="1:7" ht="22.5" customHeight="1">
      <c r="A24" s="25">
        <v>3</v>
      </c>
      <c r="B24" s="48" t="s">
        <v>199</v>
      </c>
      <c r="C24" s="51">
        <v>4754993</v>
      </c>
      <c r="D24" s="51">
        <v>5270206</v>
      </c>
      <c r="E24" s="51">
        <f t="shared" si="2"/>
        <v>515213</v>
      </c>
      <c r="F24" s="70">
        <f t="shared" si="3"/>
        <v>0.10835199967697114</v>
      </c>
      <c r="G24" s="64"/>
    </row>
    <row r="25" spans="1:6" ht="22.5" customHeight="1">
      <c r="A25" s="25">
        <v>4</v>
      </c>
      <c r="B25" s="48" t="s">
        <v>200</v>
      </c>
      <c r="C25" s="51">
        <v>27030487</v>
      </c>
      <c r="D25" s="51">
        <v>23226356</v>
      </c>
      <c r="E25" s="51">
        <f t="shared" si="2"/>
        <v>-3804131</v>
      </c>
      <c r="F25" s="70">
        <f t="shared" si="3"/>
        <v>-0.14073483026776396</v>
      </c>
    </row>
    <row r="26" spans="1:6" ht="22.5" customHeight="1">
      <c r="A26" s="25">
        <v>5</v>
      </c>
      <c r="B26" s="48" t="s">
        <v>201</v>
      </c>
      <c r="C26" s="51">
        <v>8658482</v>
      </c>
      <c r="D26" s="51">
        <v>8204355</v>
      </c>
      <c r="E26" s="51">
        <f t="shared" si="2"/>
        <v>-454127</v>
      </c>
      <c r="F26" s="70">
        <f t="shared" si="3"/>
        <v>-0.052448801071596614</v>
      </c>
    </row>
    <row r="27" spans="1:6" ht="22.5" customHeight="1">
      <c r="A27" s="25">
        <v>6</v>
      </c>
      <c r="B27" s="48" t="s">
        <v>202</v>
      </c>
      <c r="C27" s="51">
        <v>6287004</v>
      </c>
      <c r="D27" s="51">
        <v>7895004</v>
      </c>
      <c r="E27" s="51">
        <f t="shared" si="2"/>
        <v>1608000</v>
      </c>
      <c r="F27" s="70">
        <f t="shared" si="3"/>
        <v>0.2557657033461407</v>
      </c>
    </row>
    <row r="28" spans="1:6" ht="22.5" customHeight="1">
      <c r="A28" s="25">
        <v>7</v>
      </c>
      <c r="B28" s="48" t="s">
        <v>203</v>
      </c>
      <c r="C28" s="51">
        <v>2075799</v>
      </c>
      <c r="D28" s="51">
        <v>2265597</v>
      </c>
      <c r="E28" s="51">
        <f t="shared" si="2"/>
        <v>189798</v>
      </c>
      <c r="F28" s="70">
        <f t="shared" si="3"/>
        <v>0.09143370817694776</v>
      </c>
    </row>
    <row r="29" spans="1:6" ht="22.5" customHeight="1">
      <c r="A29" s="25">
        <v>8</v>
      </c>
      <c r="B29" s="48" t="s">
        <v>204</v>
      </c>
      <c r="C29" s="51">
        <v>1782559</v>
      </c>
      <c r="D29" s="51">
        <v>2844702</v>
      </c>
      <c r="E29" s="51">
        <f t="shared" si="2"/>
        <v>1062143</v>
      </c>
      <c r="F29" s="70">
        <f t="shared" si="3"/>
        <v>0.5958529282901716</v>
      </c>
    </row>
    <row r="30" spans="1:6" ht="22.5" customHeight="1">
      <c r="A30" s="25">
        <v>9</v>
      </c>
      <c r="B30" s="48" t="s">
        <v>205</v>
      </c>
      <c r="C30" s="51">
        <v>21844234</v>
      </c>
      <c r="D30" s="51">
        <v>24751135</v>
      </c>
      <c r="E30" s="51">
        <f t="shared" si="2"/>
        <v>2906901</v>
      </c>
      <c r="F30" s="70">
        <f t="shared" si="3"/>
        <v>0.13307406430456659</v>
      </c>
    </row>
    <row r="31" spans="1:6" ht="22.5" customHeight="1">
      <c r="A31" s="29"/>
      <c r="B31" s="71" t="s">
        <v>206</v>
      </c>
      <c r="C31" s="27">
        <f>SUM(C22:C30)</f>
        <v>161925493</v>
      </c>
      <c r="D31" s="27">
        <f>SUM(D22:D30)</f>
        <v>170017184</v>
      </c>
      <c r="E31" s="27">
        <f t="shared" si="2"/>
        <v>8091691</v>
      </c>
      <c r="F31" s="28">
        <f t="shared" si="3"/>
        <v>0.04997169284517788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207</v>
      </c>
      <c r="C33" s="27">
        <f>+C19-C31</f>
        <v>9609978</v>
      </c>
      <c r="D33" s="27">
        <f>+D19-D31</f>
        <v>7413023</v>
      </c>
      <c r="E33" s="27">
        <f>D33-C33</f>
        <v>-2196955</v>
      </c>
      <c r="F33" s="28">
        <f>IF(C33=0,0,E33/C33)</f>
        <v>-0.22861186570874564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153</v>
      </c>
      <c r="B35" s="30" t="s">
        <v>208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209</v>
      </c>
      <c r="C36" s="51">
        <v>87293</v>
      </c>
      <c r="D36" s="51">
        <v>-244171</v>
      </c>
      <c r="E36" s="51">
        <f>D36-C36</f>
        <v>-331464</v>
      </c>
      <c r="F36" s="70">
        <f>IF(C36=0,0,E36/C36)</f>
        <v>-3.797142955334334</v>
      </c>
    </row>
    <row r="37" spans="1:6" ht="22.5" customHeight="1">
      <c r="A37" s="44">
        <v>2</v>
      </c>
      <c r="B37" s="48" t="s">
        <v>210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211</v>
      </c>
      <c r="C38" s="51">
        <v>-773934</v>
      </c>
      <c r="D38" s="51">
        <v>-1223282</v>
      </c>
      <c r="E38" s="51">
        <f>D38-C38</f>
        <v>-449348</v>
      </c>
      <c r="F38" s="70">
        <f>IF(C38=0,0,E38/C38)</f>
        <v>0.5806024803148588</v>
      </c>
    </row>
    <row r="39" spans="1:6" ht="22.5" customHeight="1">
      <c r="A39" s="20"/>
      <c r="B39" s="71" t="s">
        <v>212</v>
      </c>
      <c r="C39" s="27">
        <f>SUM(C36:C38)</f>
        <v>-686641</v>
      </c>
      <c r="D39" s="27">
        <f>SUM(D36:D38)</f>
        <v>-1467453</v>
      </c>
      <c r="E39" s="27">
        <f>D39-C39</f>
        <v>-780812</v>
      </c>
      <c r="F39" s="28">
        <f>IF(C39=0,0,E39/C39)</f>
        <v>1.1371473593915888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213</v>
      </c>
      <c r="C41" s="27">
        <f>C33+C39</f>
        <v>8923337</v>
      </c>
      <c r="D41" s="27">
        <f>D33+D39</f>
        <v>5945570</v>
      </c>
      <c r="E41" s="27">
        <f>D41-C41</f>
        <v>-2977767</v>
      </c>
      <c r="F41" s="28">
        <f>IF(C41=0,0,E41/C41)</f>
        <v>-0.3337055408755715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214</v>
      </c>
      <c r="C43" s="27"/>
      <c r="D43" s="27"/>
      <c r="E43" s="27"/>
      <c r="F43" s="28"/>
    </row>
    <row r="44" spans="1:6" ht="22.5" customHeight="1">
      <c r="A44" s="44"/>
      <c r="B44" s="48" t="s">
        <v>215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216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217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218</v>
      </c>
      <c r="C48" s="27">
        <f>C41+C46</f>
        <v>8923337</v>
      </c>
      <c r="D48" s="27">
        <f>D41+D46</f>
        <v>5945570</v>
      </c>
      <c r="E48" s="27">
        <f>D48-C48</f>
        <v>-2977767</v>
      </c>
      <c r="F48" s="28">
        <f>IF(C48=0,0,E48/C48)</f>
        <v>-0.3337055408755715</v>
      </c>
    </row>
    <row r="49" spans="1:6" ht="22.5" customHeight="1">
      <c r="A49" s="44"/>
      <c r="B49" s="48" t="s">
        <v>219</v>
      </c>
      <c r="C49" s="51">
        <v>0</v>
      </c>
      <c r="D49" s="51">
        <v>3489341</v>
      </c>
      <c r="E49" s="51">
        <f>D49-C49</f>
        <v>3489341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FILING&amp;RMANCHESTER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zoomScale="75" zoomScaleNormal="75" zoomScalePageLayoutView="0" workbookViewId="0" topLeftCell="A142">
      <selection activeCell="F8" sqref="F8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21.421875" style="75" bestFit="1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5" t="s">
        <v>117</v>
      </c>
      <c r="B2" s="675"/>
      <c r="C2" s="675"/>
      <c r="D2" s="675"/>
      <c r="E2" s="675"/>
      <c r="F2" s="675"/>
    </row>
    <row r="3" spans="1:6" ht="18" customHeight="1">
      <c r="A3" s="675" t="s">
        <v>118</v>
      </c>
      <c r="B3" s="675"/>
      <c r="C3" s="675"/>
      <c r="D3" s="675"/>
      <c r="E3" s="675"/>
      <c r="F3" s="675"/>
    </row>
    <row r="4" spans="1:6" ht="18" customHeight="1">
      <c r="A4" s="675" t="s">
        <v>119</v>
      </c>
      <c r="B4" s="675"/>
      <c r="C4" s="675"/>
      <c r="D4" s="675"/>
      <c r="E4" s="675"/>
      <c r="F4" s="675"/>
    </row>
    <row r="5" spans="1:6" ht="18" customHeight="1">
      <c r="A5" s="675" t="s">
        <v>220</v>
      </c>
      <c r="B5" s="675"/>
      <c r="C5" s="675"/>
      <c r="D5" s="675"/>
      <c r="E5" s="675"/>
      <c r="F5" s="675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125</v>
      </c>
      <c r="B8" s="87" t="s">
        <v>221</v>
      </c>
      <c r="C8" s="88" t="s">
        <v>222</v>
      </c>
      <c r="D8" s="89" t="s">
        <v>223</v>
      </c>
      <c r="E8" s="90" t="s">
        <v>224</v>
      </c>
      <c r="F8" s="91" t="s">
        <v>225</v>
      </c>
    </row>
    <row r="9" spans="1:6" ht="18" customHeight="1">
      <c r="A9" s="92"/>
      <c r="B9" s="93"/>
      <c r="C9" s="662"/>
      <c r="D9" s="663"/>
      <c r="E9" s="663"/>
      <c r="F9" s="664"/>
    </row>
    <row r="10" spans="1:6" ht="18" customHeight="1">
      <c r="A10" s="665" t="s">
        <v>129</v>
      </c>
      <c r="B10" s="667" t="s">
        <v>226</v>
      </c>
      <c r="C10" s="669"/>
      <c r="D10" s="670"/>
      <c r="E10" s="670"/>
      <c r="F10" s="671"/>
    </row>
    <row r="11" spans="1:6" ht="18" customHeight="1">
      <c r="A11" s="666"/>
      <c r="B11" s="668"/>
      <c r="C11" s="672"/>
      <c r="D11" s="673"/>
      <c r="E11" s="673"/>
      <c r="F11" s="674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227</v>
      </c>
      <c r="B13" s="95" t="s">
        <v>228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229</v>
      </c>
      <c r="C14" s="97">
        <v>72251902</v>
      </c>
      <c r="D14" s="97">
        <v>80191429</v>
      </c>
      <c r="E14" s="97">
        <f aca="true" t="shared" si="0" ref="E14:E25">D14-C14</f>
        <v>7939527</v>
      </c>
      <c r="F14" s="98">
        <f aca="true" t="shared" si="1" ref="F14:F25">IF(C14=0,0,E14/C14)</f>
        <v>0.10988675426150027</v>
      </c>
    </row>
    <row r="15" spans="1:6" ht="18" customHeight="1">
      <c r="A15" s="99">
        <v>2</v>
      </c>
      <c r="B15" s="100" t="s">
        <v>230</v>
      </c>
      <c r="C15" s="97">
        <v>9810952</v>
      </c>
      <c r="D15" s="97">
        <v>13068480</v>
      </c>
      <c r="E15" s="97">
        <f t="shared" si="0"/>
        <v>3257528</v>
      </c>
      <c r="F15" s="98">
        <f t="shared" si="1"/>
        <v>0.33202975613375746</v>
      </c>
    </row>
    <row r="16" spans="1:6" ht="18" customHeight="1">
      <c r="A16" s="99">
        <v>3</v>
      </c>
      <c r="B16" s="100" t="s">
        <v>231</v>
      </c>
      <c r="C16" s="97">
        <v>8028490</v>
      </c>
      <c r="D16" s="97">
        <v>8101959</v>
      </c>
      <c r="E16" s="97">
        <f t="shared" si="0"/>
        <v>73469</v>
      </c>
      <c r="F16" s="98">
        <f t="shared" si="1"/>
        <v>0.009151035873495514</v>
      </c>
    </row>
    <row r="17" spans="1:6" ht="18" customHeight="1">
      <c r="A17" s="99">
        <v>4</v>
      </c>
      <c r="B17" s="100" t="s">
        <v>232</v>
      </c>
      <c r="C17" s="97">
        <v>6051659</v>
      </c>
      <c r="D17" s="97">
        <v>6258282</v>
      </c>
      <c r="E17" s="97">
        <f t="shared" si="0"/>
        <v>206623</v>
      </c>
      <c r="F17" s="98">
        <f t="shared" si="1"/>
        <v>0.034143199410277415</v>
      </c>
    </row>
    <row r="18" spans="1:6" ht="18" customHeight="1">
      <c r="A18" s="99">
        <v>5</v>
      </c>
      <c r="B18" s="100" t="s">
        <v>233</v>
      </c>
      <c r="C18" s="97">
        <v>168236</v>
      </c>
      <c r="D18" s="97">
        <v>324656</v>
      </c>
      <c r="E18" s="97">
        <f t="shared" si="0"/>
        <v>156420</v>
      </c>
      <c r="F18" s="98">
        <f t="shared" si="1"/>
        <v>0.9297653296559595</v>
      </c>
    </row>
    <row r="19" spans="1:6" ht="18" customHeight="1">
      <c r="A19" s="99">
        <v>6</v>
      </c>
      <c r="B19" s="100" t="s">
        <v>234</v>
      </c>
      <c r="C19" s="97">
        <v>2781561</v>
      </c>
      <c r="D19" s="97">
        <v>2846300</v>
      </c>
      <c r="E19" s="97">
        <f t="shared" si="0"/>
        <v>64739</v>
      </c>
      <c r="F19" s="98">
        <f t="shared" si="1"/>
        <v>0.023274341278152807</v>
      </c>
    </row>
    <row r="20" spans="1:6" ht="18" customHeight="1">
      <c r="A20" s="99">
        <v>7</v>
      </c>
      <c r="B20" s="100" t="s">
        <v>235</v>
      </c>
      <c r="C20" s="97">
        <v>42517031</v>
      </c>
      <c r="D20" s="97">
        <v>40121907</v>
      </c>
      <c r="E20" s="97">
        <f t="shared" si="0"/>
        <v>-2395124</v>
      </c>
      <c r="F20" s="98">
        <f t="shared" si="1"/>
        <v>-0.05633328441960117</v>
      </c>
    </row>
    <row r="21" spans="1:6" ht="18" customHeight="1">
      <c r="A21" s="99">
        <v>8</v>
      </c>
      <c r="B21" s="100" t="s">
        <v>236</v>
      </c>
      <c r="C21" s="97">
        <v>418638</v>
      </c>
      <c r="D21" s="97">
        <v>482184</v>
      </c>
      <c r="E21" s="97">
        <f t="shared" si="0"/>
        <v>63546</v>
      </c>
      <c r="F21" s="98">
        <f t="shared" si="1"/>
        <v>0.15179224055150273</v>
      </c>
    </row>
    <row r="22" spans="1:6" ht="18" customHeight="1">
      <c r="A22" s="99">
        <v>9</v>
      </c>
      <c r="B22" s="100" t="s">
        <v>237</v>
      </c>
      <c r="C22" s="97">
        <v>2087042</v>
      </c>
      <c r="D22" s="97">
        <v>3370281</v>
      </c>
      <c r="E22" s="97">
        <f t="shared" si="0"/>
        <v>1283239</v>
      </c>
      <c r="F22" s="98">
        <f t="shared" si="1"/>
        <v>0.6148601705188491</v>
      </c>
    </row>
    <row r="23" spans="1:6" ht="18" customHeight="1">
      <c r="A23" s="99">
        <v>10</v>
      </c>
      <c r="B23" s="100" t="s">
        <v>238</v>
      </c>
      <c r="C23" s="97">
        <v>5115833</v>
      </c>
      <c r="D23" s="97">
        <v>4671749</v>
      </c>
      <c r="E23" s="97">
        <f t="shared" si="0"/>
        <v>-444084</v>
      </c>
      <c r="F23" s="98">
        <f t="shared" si="1"/>
        <v>-0.08680580464608599</v>
      </c>
    </row>
    <row r="24" spans="1:6" ht="18" customHeight="1">
      <c r="A24" s="99">
        <v>11</v>
      </c>
      <c r="B24" s="100" t="s">
        <v>239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>
      <c r="A25" s="101"/>
      <c r="B25" s="102" t="s">
        <v>240</v>
      </c>
      <c r="C25" s="103">
        <f>SUM(C14:C24)</f>
        <v>149231344</v>
      </c>
      <c r="D25" s="103">
        <f>SUM(D14:D24)</f>
        <v>159437227</v>
      </c>
      <c r="E25" s="103">
        <f t="shared" si="0"/>
        <v>10205883</v>
      </c>
      <c r="F25" s="104">
        <f t="shared" si="1"/>
        <v>0.06838967422286299</v>
      </c>
    </row>
    <row r="26" spans="1:6" ht="18" customHeight="1">
      <c r="A26" s="94" t="s">
        <v>241</v>
      </c>
      <c r="B26" s="95" t="s">
        <v>242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229</v>
      </c>
      <c r="C27" s="97">
        <v>71843703</v>
      </c>
      <c r="D27" s="97">
        <v>72154378</v>
      </c>
      <c r="E27" s="97">
        <f aca="true" t="shared" si="2" ref="E27:E38">D27-C27</f>
        <v>310675</v>
      </c>
      <c r="F27" s="98">
        <f aca="true" t="shared" si="3" ref="F27:F38">IF(C27=0,0,E27/C27)</f>
        <v>0.004324317748487992</v>
      </c>
    </row>
    <row r="28" spans="1:6" ht="18" customHeight="1">
      <c r="A28" s="99">
        <v>2</v>
      </c>
      <c r="B28" s="100" t="s">
        <v>230</v>
      </c>
      <c r="C28" s="97">
        <v>10457408</v>
      </c>
      <c r="D28" s="97">
        <v>14147086</v>
      </c>
      <c r="E28" s="97">
        <f t="shared" si="2"/>
        <v>3689678</v>
      </c>
      <c r="F28" s="98">
        <f t="shared" si="3"/>
        <v>0.35282911405962164</v>
      </c>
    </row>
    <row r="29" spans="1:6" ht="18" customHeight="1">
      <c r="A29" s="99">
        <v>3</v>
      </c>
      <c r="B29" s="100" t="s">
        <v>231</v>
      </c>
      <c r="C29" s="97">
        <v>7455611</v>
      </c>
      <c r="D29" s="97">
        <v>7738318</v>
      </c>
      <c r="E29" s="97">
        <f t="shared" si="2"/>
        <v>282707</v>
      </c>
      <c r="F29" s="98">
        <f t="shared" si="3"/>
        <v>0.037918689695586316</v>
      </c>
    </row>
    <row r="30" spans="1:6" ht="18" customHeight="1">
      <c r="A30" s="99">
        <v>4</v>
      </c>
      <c r="B30" s="100" t="s">
        <v>232</v>
      </c>
      <c r="C30" s="97">
        <v>13176943</v>
      </c>
      <c r="D30" s="97">
        <v>17349117</v>
      </c>
      <c r="E30" s="97">
        <f t="shared" si="2"/>
        <v>4172174</v>
      </c>
      <c r="F30" s="98">
        <f t="shared" si="3"/>
        <v>0.3166268534363395</v>
      </c>
    </row>
    <row r="31" spans="1:6" ht="18" customHeight="1">
      <c r="A31" s="99">
        <v>5</v>
      </c>
      <c r="B31" s="100" t="s">
        <v>233</v>
      </c>
      <c r="C31" s="97">
        <v>540733</v>
      </c>
      <c r="D31" s="97">
        <v>708701</v>
      </c>
      <c r="E31" s="97">
        <f t="shared" si="2"/>
        <v>167968</v>
      </c>
      <c r="F31" s="98">
        <f t="shared" si="3"/>
        <v>0.31063020011724823</v>
      </c>
    </row>
    <row r="32" spans="1:6" ht="18" customHeight="1">
      <c r="A32" s="99">
        <v>6</v>
      </c>
      <c r="B32" s="100" t="s">
        <v>234</v>
      </c>
      <c r="C32" s="97">
        <v>6235028</v>
      </c>
      <c r="D32" s="97">
        <v>5935347</v>
      </c>
      <c r="E32" s="97">
        <f t="shared" si="2"/>
        <v>-299681</v>
      </c>
      <c r="F32" s="98">
        <f t="shared" si="3"/>
        <v>-0.048064098509260904</v>
      </c>
    </row>
    <row r="33" spans="1:6" ht="18" customHeight="1">
      <c r="A33" s="99">
        <v>7</v>
      </c>
      <c r="B33" s="100" t="s">
        <v>235</v>
      </c>
      <c r="C33" s="97">
        <v>115689719</v>
      </c>
      <c r="D33" s="97">
        <v>113060107</v>
      </c>
      <c r="E33" s="97">
        <f t="shared" si="2"/>
        <v>-2629612</v>
      </c>
      <c r="F33" s="98">
        <f t="shared" si="3"/>
        <v>-0.022729867638454547</v>
      </c>
    </row>
    <row r="34" spans="1:6" ht="18" customHeight="1">
      <c r="A34" s="99">
        <v>8</v>
      </c>
      <c r="B34" s="100" t="s">
        <v>236</v>
      </c>
      <c r="C34" s="97">
        <v>3834351</v>
      </c>
      <c r="D34" s="97">
        <v>3929495</v>
      </c>
      <c r="E34" s="97">
        <f t="shared" si="2"/>
        <v>95144</v>
      </c>
      <c r="F34" s="98">
        <f t="shared" si="3"/>
        <v>0.02481358644526805</v>
      </c>
    </row>
    <row r="35" spans="1:6" ht="18" customHeight="1">
      <c r="A35" s="99">
        <v>9</v>
      </c>
      <c r="B35" s="100" t="s">
        <v>237</v>
      </c>
      <c r="C35" s="97">
        <v>6233836</v>
      </c>
      <c r="D35" s="97">
        <v>9119384</v>
      </c>
      <c r="E35" s="97">
        <f t="shared" si="2"/>
        <v>2885548</v>
      </c>
      <c r="F35" s="98">
        <f t="shared" si="3"/>
        <v>0.4628848112141545</v>
      </c>
    </row>
    <row r="36" spans="1:6" ht="18" customHeight="1">
      <c r="A36" s="99">
        <v>10</v>
      </c>
      <c r="B36" s="100" t="s">
        <v>238</v>
      </c>
      <c r="C36" s="97">
        <v>5728779</v>
      </c>
      <c r="D36" s="97">
        <v>6632336</v>
      </c>
      <c r="E36" s="97">
        <f t="shared" si="2"/>
        <v>903557</v>
      </c>
      <c r="F36" s="98">
        <f t="shared" si="3"/>
        <v>0.15772243963329707</v>
      </c>
    </row>
    <row r="37" spans="1:6" ht="18" customHeight="1">
      <c r="A37" s="99">
        <v>11</v>
      </c>
      <c r="B37" s="100" t="s">
        <v>239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>
      <c r="A38" s="101"/>
      <c r="B38" s="102" t="s">
        <v>243</v>
      </c>
      <c r="C38" s="103">
        <f>SUM(C27:C37)</f>
        <v>241196111</v>
      </c>
      <c r="D38" s="103">
        <f>SUM(D27:D37)</f>
        <v>250774269</v>
      </c>
      <c r="E38" s="103">
        <f t="shared" si="2"/>
        <v>9578158</v>
      </c>
      <c r="F38" s="104">
        <f t="shared" si="3"/>
        <v>0.03971107975285721</v>
      </c>
    </row>
    <row r="39" spans="1:6" ht="18" customHeight="1">
      <c r="A39" s="665" t="s">
        <v>244</v>
      </c>
      <c r="B39" s="667" t="s">
        <v>245</v>
      </c>
      <c r="C39" s="669"/>
      <c r="D39" s="670"/>
      <c r="E39" s="670"/>
      <c r="F39" s="671"/>
    </row>
    <row r="40" spans="1:6" ht="18" customHeight="1">
      <c r="A40" s="666"/>
      <c r="B40" s="668"/>
      <c r="C40" s="672"/>
      <c r="D40" s="673"/>
      <c r="E40" s="673"/>
      <c r="F40" s="674"/>
    </row>
    <row r="41" spans="1:6" ht="18" customHeight="1">
      <c r="A41" s="105">
        <v>1</v>
      </c>
      <c r="B41" s="106" t="s">
        <v>229</v>
      </c>
      <c r="C41" s="103">
        <f aca="true" t="shared" si="4" ref="C41:D51">+C27+C14</f>
        <v>144095605</v>
      </c>
      <c r="D41" s="103">
        <f t="shared" si="4"/>
        <v>152345807</v>
      </c>
      <c r="E41" s="107">
        <f aca="true" t="shared" si="5" ref="E41:E52">D41-C41</f>
        <v>8250202</v>
      </c>
      <c r="F41" s="108">
        <f aca="true" t="shared" si="6" ref="F41:F52">IF(C41=0,0,E41/C41)</f>
        <v>0.05725505646060475</v>
      </c>
    </row>
    <row r="42" spans="1:6" ht="18" customHeight="1">
      <c r="A42" s="105">
        <v>2</v>
      </c>
      <c r="B42" s="106" t="s">
        <v>230</v>
      </c>
      <c r="C42" s="103">
        <f t="shared" si="4"/>
        <v>20268360</v>
      </c>
      <c r="D42" s="103">
        <f t="shared" si="4"/>
        <v>27215566</v>
      </c>
      <c r="E42" s="107">
        <f t="shared" si="5"/>
        <v>6947206</v>
      </c>
      <c r="F42" s="108">
        <f t="shared" si="6"/>
        <v>0.3427611311423322</v>
      </c>
    </row>
    <row r="43" spans="1:6" ht="18" customHeight="1">
      <c r="A43" s="105">
        <v>3</v>
      </c>
      <c r="B43" s="106" t="s">
        <v>231</v>
      </c>
      <c r="C43" s="103">
        <f t="shared" si="4"/>
        <v>15484101</v>
      </c>
      <c r="D43" s="103">
        <f t="shared" si="4"/>
        <v>15840277</v>
      </c>
      <c r="E43" s="107">
        <f t="shared" si="5"/>
        <v>356176</v>
      </c>
      <c r="F43" s="108">
        <f t="shared" si="6"/>
        <v>0.023002691599596257</v>
      </c>
    </row>
    <row r="44" spans="1:6" ht="18" customHeight="1">
      <c r="A44" s="105">
        <v>4</v>
      </c>
      <c r="B44" s="106" t="s">
        <v>232</v>
      </c>
      <c r="C44" s="103">
        <f t="shared" si="4"/>
        <v>19228602</v>
      </c>
      <c r="D44" s="103">
        <f t="shared" si="4"/>
        <v>23607399</v>
      </c>
      <c r="E44" s="107">
        <f t="shared" si="5"/>
        <v>4378797</v>
      </c>
      <c r="F44" s="108">
        <f t="shared" si="6"/>
        <v>0.22772310748332095</v>
      </c>
    </row>
    <row r="45" spans="1:6" ht="18" customHeight="1">
      <c r="A45" s="105">
        <v>5</v>
      </c>
      <c r="B45" s="106" t="s">
        <v>233</v>
      </c>
      <c r="C45" s="103">
        <f t="shared" si="4"/>
        <v>708969</v>
      </c>
      <c r="D45" s="103">
        <f t="shared" si="4"/>
        <v>1033357</v>
      </c>
      <c r="E45" s="107">
        <f t="shared" si="5"/>
        <v>324388</v>
      </c>
      <c r="F45" s="108">
        <f t="shared" si="6"/>
        <v>0.45754891962836175</v>
      </c>
    </row>
    <row r="46" spans="1:6" ht="18" customHeight="1">
      <c r="A46" s="105">
        <v>6</v>
      </c>
      <c r="B46" s="106" t="s">
        <v>234</v>
      </c>
      <c r="C46" s="103">
        <f t="shared" si="4"/>
        <v>9016589</v>
      </c>
      <c r="D46" s="103">
        <f t="shared" si="4"/>
        <v>8781647</v>
      </c>
      <c r="E46" s="107">
        <f t="shared" si="5"/>
        <v>-234942</v>
      </c>
      <c r="F46" s="108">
        <f t="shared" si="6"/>
        <v>-0.026056638491562607</v>
      </c>
    </row>
    <row r="47" spans="1:6" ht="18" customHeight="1">
      <c r="A47" s="105">
        <v>7</v>
      </c>
      <c r="B47" s="106" t="s">
        <v>235</v>
      </c>
      <c r="C47" s="103">
        <f t="shared" si="4"/>
        <v>158206750</v>
      </c>
      <c r="D47" s="103">
        <f t="shared" si="4"/>
        <v>153182014</v>
      </c>
      <c r="E47" s="107">
        <f t="shared" si="5"/>
        <v>-5024736</v>
      </c>
      <c r="F47" s="108">
        <f t="shared" si="6"/>
        <v>-0.03176056647393363</v>
      </c>
    </row>
    <row r="48" spans="1:6" ht="18" customHeight="1">
      <c r="A48" s="105">
        <v>8</v>
      </c>
      <c r="B48" s="106" t="s">
        <v>236</v>
      </c>
      <c r="C48" s="103">
        <f t="shared" si="4"/>
        <v>4252989</v>
      </c>
      <c r="D48" s="103">
        <f t="shared" si="4"/>
        <v>4411679</v>
      </c>
      <c r="E48" s="107">
        <f t="shared" si="5"/>
        <v>158690</v>
      </c>
      <c r="F48" s="108">
        <f t="shared" si="6"/>
        <v>0.03731258181011049</v>
      </c>
    </row>
    <row r="49" spans="1:6" ht="18" customHeight="1">
      <c r="A49" s="105">
        <v>9</v>
      </c>
      <c r="B49" s="106" t="s">
        <v>237</v>
      </c>
      <c r="C49" s="103">
        <f t="shared" si="4"/>
        <v>8320878</v>
      </c>
      <c r="D49" s="103">
        <f t="shared" si="4"/>
        <v>12489665</v>
      </c>
      <c r="E49" s="107">
        <f t="shared" si="5"/>
        <v>4168787</v>
      </c>
      <c r="F49" s="108">
        <f t="shared" si="6"/>
        <v>0.5010032595117967</v>
      </c>
    </row>
    <row r="50" spans="1:6" ht="18" customHeight="1">
      <c r="A50" s="105">
        <v>10</v>
      </c>
      <c r="B50" s="106" t="s">
        <v>238</v>
      </c>
      <c r="C50" s="103">
        <f t="shared" si="4"/>
        <v>10844612</v>
      </c>
      <c r="D50" s="103">
        <f t="shared" si="4"/>
        <v>11304085</v>
      </c>
      <c r="E50" s="107">
        <f t="shared" si="5"/>
        <v>459473</v>
      </c>
      <c r="F50" s="108">
        <f t="shared" si="6"/>
        <v>0.04236878184300185</v>
      </c>
    </row>
    <row r="51" spans="1:6" ht="18" customHeight="1" thickBot="1">
      <c r="A51" s="105">
        <v>11</v>
      </c>
      <c r="B51" s="106" t="s">
        <v>239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>
      <c r="A52" s="109"/>
      <c r="B52" s="110" t="s">
        <v>245</v>
      </c>
      <c r="C52" s="111">
        <f>SUM(C41:C51)</f>
        <v>390427455</v>
      </c>
      <c r="D52" s="112">
        <f>SUM(D41:D51)</f>
        <v>410211496</v>
      </c>
      <c r="E52" s="111">
        <f t="shared" si="5"/>
        <v>19784041</v>
      </c>
      <c r="F52" s="113">
        <f t="shared" si="6"/>
        <v>0.050672770950495785</v>
      </c>
    </row>
    <row r="53" spans="1:6" ht="18" customHeight="1">
      <c r="A53" s="665" t="s">
        <v>161</v>
      </c>
      <c r="B53" s="667" t="s">
        <v>246</v>
      </c>
      <c r="C53" s="669"/>
      <c r="D53" s="670"/>
      <c r="E53" s="670"/>
      <c r="F53" s="671"/>
    </row>
    <row r="54" spans="1:6" ht="18" customHeight="1">
      <c r="A54" s="666"/>
      <c r="B54" s="668"/>
      <c r="C54" s="672"/>
      <c r="D54" s="673"/>
      <c r="E54" s="673"/>
      <c r="F54" s="674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227</v>
      </c>
      <c r="B56" s="95" t="s">
        <v>247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229</v>
      </c>
      <c r="C57" s="97">
        <v>27769704</v>
      </c>
      <c r="D57" s="97">
        <v>30629118</v>
      </c>
      <c r="E57" s="97">
        <f aca="true" t="shared" si="7" ref="E57:E68">D57-C57</f>
        <v>2859414</v>
      </c>
      <c r="F57" s="98">
        <f aca="true" t="shared" si="8" ref="F57:F68">IF(C57=0,0,E57/C57)</f>
        <v>0.10296883250898173</v>
      </c>
    </row>
    <row r="58" spans="1:6" ht="18" customHeight="1">
      <c r="A58" s="99">
        <v>2</v>
      </c>
      <c r="B58" s="100" t="s">
        <v>230</v>
      </c>
      <c r="C58" s="97">
        <v>3725298</v>
      </c>
      <c r="D58" s="97">
        <v>5191461</v>
      </c>
      <c r="E58" s="97">
        <f t="shared" si="7"/>
        <v>1466163</v>
      </c>
      <c r="F58" s="98">
        <f t="shared" si="8"/>
        <v>0.39356931982354165</v>
      </c>
    </row>
    <row r="59" spans="1:6" ht="18" customHeight="1">
      <c r="A59" s="99">
        <v>3</v>
      </c>
      <c r="B59" s="100" t="s">
        <v>231</v>
      </c>
      <c r="C59" s="97">
        <v>2548294</v>
      </c>
      <c r="D59" s="97">
        <v>2693714</v>
      </c>
      <c r="E59" s="97">
        <f t="shared" si="7"/>
        <v>145420</v>
      </c>
      <c r="F59" s="98">
        <f t="shared" si="8"/>
        <v>0.05706562900513049</v>
      </c>
    </row>
    <row r="60" spans="1:6" ht="18" customHeight="1">
      <c r="A60" s="99">
        <v>4</v>
      </c>
      <c r="B60" s="100" t="s">
        <v>232</v>
      </c>
      <c r="C60" s="97">
        <v>1909561</v>
      </c>
      <c r="D60" s="97">
        <v>2502733</v>
      </c>
      <c r="E60" s="97">
        <f t="shared" si="7"/>
        <v>593172</v>
      </c>
      <c r="F60" s="98">
        <f t="shared" si="8"/>
        <v>0.3106326532642843</v>
      </c>
    </row>
    <row r="61" spans="1:6" ht="18" customHeight="1">
      <c r="A61" s="99">
        <v>5</v>
      </c>
      <c r="B61" s="100" t="s">
        <v>233</v>
      </c>
      <c r="C61" s="97">
        <v>59406</v>
      </c>
      <c r="D61" s="97">
        <v>241067</v>
      </c>
      <c r="E61" s="97">
        <f t="shared" si="7"/>
        <v>181661</v>
      </c>
      <c r="F61" s="98">
        <f t="shared" si="8"/>
        <v>3.057957108709558</v>
      </c>
    </row>
    <row r="62" spans="1:6" ht="18" customHeight="1">
      <c r="A62" s="99">
        <v>6</v>
      </c>
      <c r="B62" s="100" t="s">
        <v>234</v>
      </c>
      <c r="C62" s="97">
        <v>1808988</v>
      </c>
      <c r="D62" s="97">
        <v>2455760</v>
      </c>
      <c r="E62" s="97">
        <f t="shared" si="7"/>
        <v>646772</v>
      </c>
      <c r="F62" s="98">
        <f t="shared" si="8"/>
        <v>0.357532498833602</v>
      </c>
    </row>
    <row r="63" spans="1:6" ht="18" customHeight="1">
      <c r="A63" s="99">
        <v>7</v>
      </c>
      <c r="B63" s="100" t="s">
        <v>235</v>
      </c>
      <c r="C63" s="97">
        <v>20469937</v>
      </c>
      <c r="D63" s="97">
        <v>20551409</v>
      </c>
      <c r="E63" s="97">
        <f t="shared" si="7"/>
        <v>81472</v>
      </c>
      <c r="F63" s="98">
        <f t="shared" si="8"/>
        <v>0.003980080642163188</v>
      </c>
    </row>
    <row r="64" spans="1:6" ht="18" customHeight="1">
      <c r="A64" s="99">
        <v>8</v>
      </c>
      <c r="B64" s="100" t="s">
        <v>236</v>
      </c>
      <c r="C64" s="97">
        <v>327819</v>
      </c>
      <c r="D64" s="97">
        <v>402183</v>
      </c>
      <c r="E64" s="97">
        <f t="shared" si="7"/>
        <v>74364</v>
      </c>
      <c r="F64" s="98">
        <f t="shared" si="8"/>
        <v>0.22684469173537836</v>
      </c>
    </row>
    <row r="65" spans="1:6" ht="18" customHeight="1">
      <c r="A65" s="99">
        <v>9</v>
      </c>
      <c r="B65" s="100" t="s">
        <v>237</v>
      </c>
      <c r="C65" s="97">
        <v>644269</v>
      </c>
      <c r="D65" s="97">
        <v>954118</v>
      </c>
      <c r="E65" s="97">
        <f t="shared" si="7"/>
        <v>309849</v>
      </c>
      <c r="F65" s="98">
        <f t="shared" si="8"/>
        <v>0.4809311017602896</v>
      </c>
    </row>
    <row r="66" spans="1:6" ht="18" customHeight="1">
      <c r="A66" s="99">
        <v>10</v>
      </c>
      <c r="B66" s="100" t="s">
        <v>238</v>
      </c>
      <c r="C66" s="97">
        <v>1048266</v>
      </c>
      <c r="D66" s="97">
        <v>1864596</v>
      </c>
      <c r="E66" s="97">
        <f t="shared" si="7"/>
        <v>816330</v>
      </c>
      <c r="F66" s="98">
        <f t="shared" si="8"/>
        <v>0.7787431815970374</v>
      </c>
    </row>
    <row r="67" spans="1:6" ht="18" customHeight="1">
      <c r="A67" s="99">
        <v>11</v>
      </c>
      <c r="B67" s="100" t="s">
        <v>239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>
      <c r="A68" s="101"/>
      <c r="B68" s="102" t="s">
        <v>248</v>
      </c>
      <c r="C68" s="103">
        <f>SUM(C57:C67)</f>
        <v>60311542</v>
      </c>
      <c r="D68" s="103">
        <f>SUM(D57:D67)</f>
        <v>67486159</v>
      </c>
      <c r="E68" s="103">
        <f t="shared" si="7"/>
        <v>7174617</v>
      </c>
      <c r="F68" s="104">
        <f t="shared" si="8"/>
        <v>0.11895926985252674</v>
      </c>
    </row>
    <row r="69" spans="1:6" ht="18" customHeight="1">
      <c r="A69" s="94" t="s">
        <v>241</v>
      </c>
      <c r="B69" s="95" t="s">
        <v>249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229</v>
      </c>
      <c r="C70" s="97">
        <v>19654146</v>
      </c>
      <c r="D70" s="97">
        <v>20795825</v>
      </c>
      <c r="E70" s="97">
        <f aca="true" t="shared" si="9" ref="E70:E81">D70-C70</f>
        <v>1141679</v>
      </c>
      <c r="F70" s="98">
        <f aca="true" t="shared" si="10" ref="F70:F81">IF(C70=0,0,E70/C70)</f>
        <v>0.05808845624734853</v>
      </c>
    </row>
    <row r="71" spans="1:6" ht="18" customHeight="1">
      <c r="A71" s="99">
        <v>2</v>
      </c>
      <c r="B71" s="100" t="s">
        <v>230</v>
      </c>
      <c r="C71" s="97">
        <v>2951872</v>
      </c>
      <c r="D71" s="97">
        <v>4009742</v>
      </c>
      <c r="E71" s="97">
        <f t="shared" si="9"/>
        <v>1057870</v>
      </c>
      <c r="F71" s="98">
        <f t="shared" si="10"/>
        <v>0.3583725852611495</v>
      </c>
    </row>
    <row r="72" spans="1:6" ht="18" customHeight="1">
      <c r="A72" s="99">
        <v>3</v>
      </c>
      <c r="B72" s="100" t="s">
        <v>231</v>
      </c>
      <c r="C72" s="97">
        <v>1884714</v>
      </c>
      <c r="D72" s="97">
        <v>1781681</v>
      </c>
      <c r="E72" s="97">
        <f t="shared" si="9"/>
        <v>-103033</v>
      </c>
      <c r="F72" s="98">
        <f t="shared" si="10"/>
        <v>-0.054667710856925775</v>
      </c>
    </row>
    <row r="73" spans="1:6" ht="18" customHeight="1">
      <c r="A73" s="99">
        <v>4</v>
      </c>
      <c r="B73" s="100" t="s">
        <v>232</v>
      </c>
      <c r="C73" s="97">
        <v>3892403</v>
      </c>
      <c r="D73" s="97">
        <v>4973325</v>
      </c>
      <c r="E73" s="97">
        <f t="shared" si="9"/>
        <v>1080922</v>
      </c>
      <c r="F73" s="98">
        <f t="shared" si="10"/>
        <v>0.27770043338266875</v>
      </c>
    </row>
    <row r="74" spans="1:6" ht="18" customHeight="1">
      <c r="A74" s="99">
        <v>5</v>
      </c>
      <c r="B74" s="100" t="s">
        <v>233</v>
      </c>
      <c r="C74" s="97">
        <v>385922</v>
      </c>
      <c r="D74" s="97">
        <v>502174</v>
      </c>
      <c r="E74" s="97">
        <f t="shared" si="9"/>
        <v>116252</v>
      </c>
      <c r="F74" s="98">
        <f t="shared" si="10"/>
        <v>0.3012318551417126</v>
      </c>
    </row>
    <row r="75" spans="1:6" ht="18" customHeight="1">
      <c r="A75" s="99">
        <v>6</v>
      </c>
      <c r="B75" s="100" t="s">
        <v>234</v>
      </c>
      <c r="C75" s="97">
        <v>5378962</v>
      </c>
      <c r="D75" s="97">
        <v>5000804</v>
      </c>
      <c r="E75" s="97">
        <f t="shared" si="9"/>
        <v>-378158</v>
      </c>
      <c r="F75" s="98">
        <f t="shared" si="10"/>
        <v>-0.0703031551440594</v>
      </c>
    </row>
    <row r="76" spans="1:6" ht="18" customHeight="1">
      <c r="A76" s="99">
        <v>7</v>
      </c>
      <c r="B76" s="100" t="s">
        <v>235</v>
      </c>
      <c r="C76" s="97">
        <v>52714680</v>
      </c>
      <c r="D76" s="97">
        <v>48912931</v>
      </c>
      <c r="E76" s="97">
        <f t="shared" si="9"/>
        <v>-3801749</v>
      </c>
      <c r="F76" s="98">
        <f t="shared" si="10"/>
        <v>-0.0721193602996357</v>
      </c>
    </row>
    <row r="77" spans="1:6" ht="18" customHeight="1">
      <c r="A77" s="99">
        <v>8</v>
      </c>
      <c r="B77" s="100" t="s">
        <v>236</v>
      </c>
      <c r="C77" s="97">
        <v>1382595</v>
      </c>
      <c r="D77" s="97">
        <v>1228672</v>
      </c>
      <c r="E77" s="97">
        <f t="shared" si="9"/>
        <v>-153923</v>
      </c>
      <c r="F77" s="98">
        <f t="shared" si="10"/>
        <v>-0.111329058762689</v>
      </c>
    </row>
    <row r="78" spans="1:6" ht="18" customHeight="1">
      <c r="A78" s="99">
        <v>9</v>
      </c>
      <c r="B78" s="100" t="s">
        <v>237</v>
      </c>
      <c r="C78" s="97">
        <v>1759465</v>
      </c>
      <c r="D78" s="97">
        <v>2501320</v>
      </c>
      <c r="E78" s="97">
        <f t="shared" si="9"/>
        <v>741855</v>
      </c>
      <c r="F78" s="98">
        <f t="shared" si="10"/>
        <v>0.42163669069859305</v>
      </c>
    </row>
    <row r="79" spans="1:6" ht="18" customHeight="1">
      <c r="A79" s="99">
        <v>10</v>
      </c>
      <c r="B79" s="100" t="s">
        <v>238</v>
      </c>
      <c r="C79" s="97">
        <v>1357452</v>
      </c>
      <c r="D79" s="97">
        <v>1490369</v>
      </c>
      <c r="E79" s="97">
        <f t="shared" si="9"/>
        <v>132917</v>
      </c>
      <c r="F79" s="98">
        <f t="shared" si="10"/>
        <v>0.0979165377486644</v>
      </c>
    </row>
    <row r="80" spans="1:6" ht="18" customHeight="1">
      <c r="A80" s="99">
        <v>11</v>
      </c>
      <c r="B80" s="100" t="s">
        <v>239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>
      <c r="A81" s="101"/>
      <c r="B81" s="102" t="s">
        <v>250</v>
      </c>
      <c r="C81" s="103">
        <f>SUM(C70:C80)</f>
        <v>91362211</v>
      </c>
      <c r="D81" s="103">
        <f>SUM(D70:D80)</f>
        <v>91196843</v>
      </c>
      <c r="E81" s="103">
        <f t="shared" si="9"/>
        <v>-165368</v>
      </c>
      <c r="F81" s="104">
        <f t="shared" si="10"/>
        <v>-0.0018100262481607413</v>
      </c>
    </row>
    <row r="82" spans="1:6" ht="18" customHeight="1">
      <c r="A82" s="665" t="s">
        <v>244</v>
      </c>
      <c r="B82" s="667" t="s">
        <v>251</v>
      </c>
      <c r="C82" s="669"/>
      <c r="D82" s="670"/>
      <c r="E82" s="670"/>
      <c r="F82" s="671"/>
    </row>
    <row r="83" spans="1:6" ht="18" customHeight="1">
      <c r="A83" s="666"/>
      <c r="B83" s="668"/>
      <c r="C83" s="672"/>
      <c r="D83" s="673"/>
      <c r="E83" s="673"/>
      <c r="F83" s="674"/>
    </row>
    <row r="84" spans="1:6" ht="18" customHeight="1">
      <c r="A84" s="114">
        <v>1</v>
      </c>
      <c r="B84" s="106" t="s">
        <v>229</v>
      </c>
      <c r="C84" s="103">
        <f aca="true" t="shared" si="11" ref="C84:D94">+C70+C57</f>
        <v>47423850</v>
      </c>
      <c r="D84" s="103">
        <f t="shared" si="11"/>
        <v>51424943</v>
      </c>
      <c r="E84" s="103">
        <f aca="true" t="shared" si="12" ref="E84:E95">D84-C84</f>
        <v>4001093</v>
      </c>
      <c r="F84" s="104">
        <f aca="true" t="shared" si="13" ref="F84:F95">IF(C84=0,0,E84/C84)</f>
        <v>0.08436879333921644</v>
      </c>
    </row>
    <row r="85" spans="1:6" ht="18" customHeight="1">
      <c r="A85" s="114">
        <v>2</v>
      </c>
      <c r="B85" s="106" t="s">
        <v>230</v>
      </c>
      <c r="C85" s="103">
        <f t="shared" si="11"/>
        <v>6677170</v>
      </c>
      <c r="D85" s="103">
        <f t="shared" si="11"/>
        <v>9201203</v>
      </c>
      <c r="E85" s="103">
        <f t="shared" si="12"/>
        <v>2524033</v>
      </c>
      <c r="F85" s="104">
        <f t="shared" si="13"/>
        <v>0.37800939619629276</v>
      </c>
    </row>
    <row r="86" spans="1:6" ht="18" customHeight="1">
      <c r="A86" s="114">
        <v>3</v>
      </c>
      <c r="B86" s="106" t="s">
        <v>231</v>
      </c>
      <c r="C86" s="103">
        <f t="shared" si="11"/>
        <v>4433008</v>
      </c>
      <c r="D86" s="103">
        <f t="shared" si="11"/>
        <v>4475395</v>
      </c>
      <c r="E86" s="103">
        <f t="shared" si="12"/>
        <v>42387</v>
      </c>
      <c r="F86" s="104">
        <f t="shared" si="13"/>
        <v>0.00956167911269278</v>
      </c>
    </row>
    <row r="87" spans="1:6" ht="18" customHeight="1">
      <c r="A87" s="114">
        <v>4</v>
      </c>
      <c r="B87" s="106" t="s">
        <v>232</v>
      </c>
      <c r="C87" s="103">
        <f t="shared" si="11"/>
        <v>5801964</v>
      </c>
      <c r="D87" s="103">
        <f t="shared" si="11"/>
        <v>7476058</v>
      </c>
      <c r="E87" s="103">
        <f t="shared" si="12"/>
        <v>1674094</v>
      </c>
      <c r="F87" s="104">
        <f t="shared" si="13"/>
        <v>0.28853919121180344</v>
      </c>
    </row>
    <row r="88" spans="1:6" ht="18" customHeight="1">
      <c r="A88" s="114">
        <v>5</v>
      </c>
      <c r="B88" s="106" t="s">
        <v>233</v>
      </c>
      <c r="C88" s="103">
        <f t="shared" si="11"/>
        <v>445328</v>
      </c>
      <c r="D88" s="103">
        <f t="shared" si="11"/>
        <v>743241</v>
      </c>
      <c r="E88" s="103">
        <f t="shared" si="12"/>
        <v>297913</v>
      </c>
      <c r="F88" s="104">
        <f t="shared" si="13"/>
        <v>0.6689743290338807</v>
      </c>
    </row>
    <row r="89" spans="1:6" ht="18" customHeight="1">
      <c r="A89" s="114">
        <v>6</v>
      </c>
      <c r="B89" s="106" t="s">
        <v>234</v>
      </c>
      <c r="C89" s="103">
        <f t="shared" si="11"/>
        <v>7187950</v>
      </c>
      <c r="D89" s="103">
        <f t="shared" si="11"/>
        <v>7456564</v>
      </c>
      <c r="E89" s="103">
        <f t="shared" si="12"/>
        <v>268614</v>
      </c>
      <c r="F89" s="104">
        <f t="shared" si="13"/>
        <v>0.03737004291905202</v>
      </c>
    </row>
    <row r="90" spans="1:6" ht="18" customHeight="1">
      <c r="A90" s="114">
        <v>7</v>
      </c>
      <c r="B90" s="106" t="s">
        <v>235</v>
      </c>
      <c r="C90" s="103">
        <f t="shared" si="11"/>
        <v>73184617</v>
      </c>
      <c r="D90" s="103">
        <f t="shared" si="11"/>
        <v>69464340</v>
      </c>
      <c r="E90" s="103">
        <f t="shared" si="12"/>
        <v>-3720277</v>
      </c>
      <c r="F90" s="104">
        <f t="shared" si="13"/>
        <v>-0.050834139092372374</v>
      </c>
    </row>
    <row r="91" spans="1:6" ht="18" customHeight="1">
      <c r="A91" s="114">
        <v>8</v>
      </c>
      <c r="B91" s="106" t="s">
        <v>236</v>
      </c>
      <c r="C91" s="103">
        <f t="shared" si="11"/>
        <v>1710414</v>
      </c>
      <c r="D91" s="103">
        <f t="shared" si="11"/>
        <v>1630855</v>
      </c>
      <c r="E91" s="103">
        <f t="shared" si="12"/>
        <v>-79559</v>
      </c>
      <c r="F91" s="104">
        <f t="shared" si="13"/>
        <v>-0.046514469596249795</v>
      </c>
    </row>
    <row r="92" spans="1:6" ht="18" customHeight="1">
      <c r="A92" s="114">
        <v>9</v>
      </c>
      <c r="B92" s="106" t="s">
        <v>237</v>
      </c>
      <c r="C92" s="103">
        <f t="shared" si="11"/>
        <v>2403734</v>
      </c>
      <c r="D92" s="103">
        <f t="shared" si="11"/>
        <v>3455438</v>
      </c>
      <c r="E92" s="103">
        <f t="shared" si="12"/>
        <v>1051704</v>
      </c>
      <c r="F92" s="104">
        <f t="shared" si="13"/>
        <v>0.4375292773659648</v>
      </c>
    </row>
    <row r="93" spans="1:6" ht="18" customHeight="1">
      <c r="A93" s="114">
        <v>10</v>
      </c>
      <c r="B93" s="106" t="s">
        <v>238</v>
      </c>
      <c r="C93" s="103">
        <f t="shared" si="11"/>
        <v>2405718</v>
      </c>
      <c r="D93" s="103">
        <f t="shared" si="11"/>
        <v>3354965</v>
      </c>
      <c r="E93" s="103">
        <f t="shared" si="12"/>
        <v>949247</v>
      </c>
      <c r="F93" s="104">
        <f t="shared" si="13"/>
        <v>0.39457949768011047</v>
      </c>
    </row>
    <row r="94" spans="1:6" ht="18" customHeight="1" thickBot="1">
      <c r="A94" s="114">
        <v>11</v>
      </c>
      <c r="B94" s="106" t="s">
        <v>239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>
      <c r="A95" s="115"/>
      <c r="B95" s="116" t="s">
        <v>251</v>
      </c>
      <c r="C95" s="112">
        <f>SUM(C84:C94)</f>
        <v>151673753</v>
      </c>
      <c r="D95" s="112">
        <f>SUM(D84:D94)</f>
        <v>158683002</v>
      </c>
      <c r="E95" s="112">
        <f t="shared" si="12"/>
        <v>7009249</v>
      </c>
      <c r="F95" s="113">
        <f t="shared" si="13"/>
        <v>0.04621266937332262</v>
      </c>
    </row>
    <row r="96" spans="1:6" ht="18" customHeight="1">
      <c r="A96" s="665" t="s">
        <v>252</v>
      </c>
      <c r="B96" s="667" t="s">
        <v>253</v>
      </c>
      <c r="C96" s="669"/>
      <c r="D96" s="670"/>
      <c r="E96" s="670"/>
      <c r="F96" s="671"/>
    </row>
    <row r="97" spans="1:6" ht="18" customHeight="1">
      <c r="A97" s="666"/>
      <c r="B97" s="668"/>
      <c r="C97" s="672"/>
      <c r="D97" s="673"/>
      <c r="E97" s="673"/>
      <c r="F97" s="674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227</v>
      </c>
      <c r="B99" s="95" t="s">
        <v>254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229</v>
      </c>
      <c r="C100" s="117">
        <v>3158</v>
      </c>
      <c r="D100" s="117">
        <v>3255</v>
      </c>
      <c r="E100" s="117">
        <f aca="true" t="shared" si="14" ref="E100:E111">D100-C100</f>
        <v>97</v>
      </c>
      <c r="F100" s="98">
        <f aca="true" t="shared" si="15" ref="F100:F111">IF(C100=0,0,E100/C100)</f>
        <v>0.03071564281190627</v>
      </c>
    </row>
    <row r="101" spans="1:6" ht="18" customHeight="1">
      <c r="A101" s="99">
        <v>2</v>
      </c>
      <c r="B101" s="100" t="s">
        <v>230</v>
      </c>
      <c r="C101" s="117">
        <v>497</v>
      </c>
      <c r="D101" s="117">
        <v>515</v>
      </c>
      <c r="E101" s="117">
        <f t="shared" si="14"/>
        <v>18</v>
      </c>
      <c r="F101" s="98">
        <f t="shared" si="15"/>
        <v>0.03621730382293763</v>
      </c>
    </row>
    <row r="102" spans="1:6" ht="18" customHeight="1">
      <c r="A102" s="99">
        <v>3</v>
      </c>
      <c r="B102" s="100" t="s">
        <v>231</v>
      </c>
      <c r="C102" s="117">
        <v>422</v>
      </c>
      <c r="D102" s="117">
        <v>432</v>
      </c>
      <c r="E102" s="117">
        <f t="shared" si="14"/>
        <v>10</v>
      </c>
      <c r="F102" s="98">
        <f t="shared" si="15"/>
        <v>0.023696682464454975</v>
      </c>
    </row>
    <row r="103" spans="1:6" ht="18" customHeight="1">
      <c r="A103" s="99">
        <v>4</v>
      </c>
      <c r="B103" s="100" t="s">
        <v>232</v>
      </c>
      <c r="C103" s="117">
        <v>723</v>
      </c>
      <c r="D103" s="117">
        <v>734</v>
      </c>
      <c r="E103" s="117">
        <f t="shared" si="14"/>
        <v>11</v>
      </c>
      <c r="F103" s="98">
        <f t="shared" si="15"/>
        <v>0.015214384508990318</v>
      </c>
    </row>
    <row r="104" spans="1:6" ht="18" customHeight="1">
      <c r="A104" s="99">
        <v>5</v>
      </c>
      <c r="B104" s="100" t="s">
        <v>233</v>
      </c>
      <c r="C104" s="117">
        <v>14</v>
      </c>
      <c r="D104" s="117">
        <v>19</v>
      </c>
      <c r="E104" s="117">
        <f t="shared" si="14"/>
        <v>5</v>
      </c>
      <c r="F104" s="98">
        <f t="shared" si="15"/>
        <v>0.35714285714285715</v>
      </c>
    </row>
    <row r="105" spans="1:6" ht="18" customHeight="1">
      <c r="A105" s="99">
        <v>6</v>
      </c>
      <c r="B105" s="100" t="s">
        <v>234</v>
      </c>
      <c r="C105" s="117">
        <v>203</v>
      </c>
      <c r="D105" s="117">
        <v>267</v>
      </c>
      <c r="E105" s="117">
        <f t="shared" si="14"/>
        <v>64</v>
      </c>
      <c r="F105" s="98">
        <f t="shared" si="15"/>
        <v>0.31527093596059114</v>
      </c>
    </row>
    <row r="106" spans="1:6" ht="18" customHeight="1">
      <c r="A106" s="99">
        <v>7</v>
      </c>
      <c r="B106" s="100" t="s">
        <v>235</v>
      </c>
      <c r="C106" s="117">
        <v>3431</v>
      </c>
      <c r="D106" s="117">
        <v>3235</v>
      </c>
      <c r="E106" s="117">
        <f t="shared" si="14"/>
        <v>-196</v>
      </c>
      <c r="F106" s="98">
        <f t="shared" si="15"/>
        <v>-0.05712620227338968</v>
      </c>
    </row>
    <row r="107" spans="1:6" ht="18" customHeight="1">
      <c r="A107" s="99">
        <v>8</v>
      </c>
      <c r="B107" s="100" t="s">
        <v>236</v>
      </c>
      <c r="C107" s="117">
        <v>27</v>
      </c>
      <c r="D107" s="117">
        <v>28</v>
      </c>
      <c r="E107" s="117">
        <f t="shared" si="14"/>
        <v>1</v>
      </c>
      <c r="F107" s="98">
        <f t="shared" si="15"/>
        <v>0.037037037037037035</v>
      </c>
    </row>
    <row r="108" spans="1:6" ht="18" customHeight="1">
      <c r="A108" s="99">
        <v>9</v>
      </c>
      <c r="B108" s="100" t="s">
        <v>237</v>
      </c>
      <c r="C108" s="117">
        <v>176</v>
      </c>
      <c r="D108" s="117">
        <v>182</v>
      </c>
      <c r="E108" s="117">
        <f t="shared" si="14"/>
        <v>6</v>
      </c>
      <c r="F108" s="98">
        <f t="shared" si="15"/>
        <v>0.03409090909090909</v>
      </c>
    </row>
    <row r="109" spans="1:6" ht="18" customHeight="1">
      <c r="A109" s="99">
        <v>10</v>
      </c>
      <c r="B109" s="100" t="s">
        <v>238</v>
      </c>
      <c r="C109" s="117">
        <v>321</v>
      </c>
      <c r="D109" s="117">
        <v>322</v>
      </c>
      <c r="E109" s="117">
        <f t="shared" si="14"/>
        <v>1</v>
      </c>
      <c r="F109" s="98">
        <f t="shared" si="15"/>
        <v>0.003115264797507788</v>
      </c>
    </row>
    <row r="110" spans="1:6" ht="18" customHeight="1">
      <c r="A110" s="99">
        <v>11</v>
      </c>
      <c r="B110" s="100" t="s">
        <v>239</v>
      </c>
      <c r="C110" s="117">
        <v>93</v>
      </c>
      <c r="D110" s="117">
        <v>0</v>
      </c>
      <c r="E110" s="117">
        <f t="shared" si="14"/>
        <v>-93</v>
      </c>
      <c r="F110" s="98">
        <f t="shared" si="15"/>
        <v>-1</v>
      </c>
    </row>
    <row r="111" spans="1:6" ht="18" customHeight="1">
      <c r="A111" s="101"/>
      <c r="B111" s="102" t="s">
        <v>255</v>
      </c>
      <c r="C111" s="118">
        <f>SUM(C100:C110)</f>
        <v>9065</v>
      </c>
      <c r="D111" s="118">
        <f>SUM(D100:D110)</f>
        <v>8989</v>
      </c>
      <c r="E111" s="118">
        <f t="shared" si="14"/>
        <v>-76</v>
      </c>
      <c r="F111" s="104">
        <f t="shared" si="15"/>
        <v>-0.008383894098179813</v>
      </c>
    </row>
    <row r="112" spans="1:6" ht="18" customHeight="1">
      <c r="A112" s="94" t="s">
        <v>241</v>
      </c>
      <c r="B112" s="95" t="s">
        <v>256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229</v>
      </c>
      <c r="C113" s="117">
        <v>18697</v>
      </c>
      <c r="D113" s="117">
        <v>20388</v>
      </c>
      <c r="E113" s="117">
        <f aca="true" t="shared" si="16" ref="E113:E124">D113-C113</f>
        <v>1691</v>
      </c>
      <c r="F113" s="98">
        <f aca="true" t="shared" si="17" ref="F113:F124">IF(C113=0,0,E113/C113)</f>
        <v>0.09044231694924319</v>
      </c>
    </row>
    <row r="114" spans="1:6" ht="18" customHeight="1">
      <c r="A114" s="99">
        <v>2</v>
      </c>
      <c r="B114" s="100" t="s">
        <v>230</v>
      </c>
      <c r="C114" s="117">
        <v>2711</v>
      </c>
      <c r="D114" s="117">
        <v>3041</v>
      </c>
      <c r="E114" s="117">
        <f t="shared" si="16"/>
        <v>330</v>
      </c>
      <c r="F114" s="98">
        <f t="shared" si="17"/>
        <v>0.1217263002582073</v>
      </c>
    </row>
    <row r="115" spans="1:6" ht="18" customHeight="1">
      <c r="A115" s="99">
        <v>3</v>
      </c>
      <c r="B115" s="100" t="s">
        <v>231</v>
      </c>
      <c r="C115" s="117">
        <v>2690</v>
      </c>
      <c r="D115" s="117">
        <v>2863</v>
      </c>
      <c r="E115" s="117">
        <f t="shared" si="16"/>
        <v>173</v>
      </c>
      <c r="F115" s="98">
        <f t="shared" si="17"/>
        <v>0.06431226765799257</v>
      </c>
    </row>
    <row r="116" spans="1:6" ht="18" customHeight="1">
      <c r="A116" s="99">
        <v>4</v>
      </c>
      <c r="B116" s="100" t="s">
        <v>232</v>
      </c>
      <c r="C116" s="117">
        <v>2497</v>
      </c>
      <c r="D116" s="117">
        <v>2675</v>
      </c>
      <c r="E116" s="117">
        <f t="shared" si="16"/>
        <v>178</v>
      </c>
      <c r="F116" s="98">
        <f t="shared" si="17"/>
        <v>0.07128554265118142</v>
      </c>
    </row>
    <row r="117" spans="1:6" ht="18" customHeight="1">
      <c r="A117" s="99">
        <v>5</v>
      </c>
      <c r="B117" s="100" t="s">
        <v>233</v>
      </c>
      <c r="C117" s="117">
        <v>46</v>
      </c>
      <c r="D117" s="117">
        <v>91</v>
      </c>
      <c r="E117" s="117">
        <f t="shared" si="16"/>
        <v>45</v>
      </c>
      <c r="F117" s="98">
        <f t="shared" si="17"/>
        <v>0.9782608695652174</v>
      </c>
    </row>
    <row r="118" spans="1:6" ht="18" customHeight="1">
      <c r="A118" s="99">
        <v>6</v>
      </c>
      <c r="B118" s="100" t="s">
        <v>234</v>
      </c>
      <c r="C118" s="117">
        <v>1264</v>
      </c>
      <c r="D118" s="117">
        <v>1315</v>
      </c>
      <c r="E118" s="117">
        <f t="shared" si="16"/>
        <v>51</v>
      </c>
      <c r="F118" s="98">
        <f t="shared" si="17"/>
        <v>0.040348101265822785</v>
      </c>
    </row>
    <row r="119" spans="1:6" ht="18" customHeight="1">
      <c r="A119" s="99">
        <v>7</v>
      </c>
      <c r="B119" s="100" t="s">
        <v>235</v>
      </c>
      <c r="C119" s="117">
        <v>13094</v>
      </c>
      <c r="D119" s="117">
        <v>11365</v>
      </c>
      <c r="E119" s="117">
        <f t="shared" si="16"/>
        <v>-1729</v>
      </c>
      <c r="F119" s="98">
        <f t="shared" si="17"/>
        <v>-0.13204521154727356</v>
      </c>
    </row>
    <row r="120" spans="1:6" ht="18" customHeight="1">
      <c r="A120" s="99">
        <v>8</v>
      </c>
      <c r="B120" s="100" t="s">
        <v>236</v>
      </c>
      <c r="C120" s="117">
        <v>78</v>
      </c>
      <c r="D120" s="117">
        <v>69</v>
      </c>
      <c r="E120" s="117">
        <f t="shared" si="16"/>
        <v>-9</v>
      </c>
      <c r="F120" s="98">
        <f t="shared" si="17"/>
        <v>-0.11538461538461539</v>
      </c>
    </row>
    <row r="121" spans="1:6" ht="18" customHeight="1">
      <c r="A121" s="99">
        <v>9</v>
      </c>
      <c r="B121" s="100" t="s">
        <v>237</v>
      </c>
      <c r="C121" s="117">
        <v>900</v>
      </c>
      <c r="D121" s="117">
        <v>839</v>
      </c>
      <c r="E121" s="117">
        <f t="shared" si="16"/>
        <v>-61</v>
      </c>
      <c r="F121" s="98">
        <f t="shared" si="17"/>
        <v>-0.06777777777777778</v>
      </c>
    </row>
    <row r="122" spans="1:6" ht="18" customHeight="1">
      <c r="A122" s="99">
        <v>10</v>
      </c>
      <c r="B122" s="100" t="s">
        <v>238</v>
      </c>
      <c r="C122" s="117">
        <v>1836</v>
      </c>
      <c r="D122" s="117">
        <v>1985</v>
      </c>
      <c r="E122" s="117">
        <f t="shared" si="16"/>
        <v>149</v>
      </c>
      <c r="F122" s="98">
        <f t="shared" si="17"/>
        <v>0.08115468409586056</v>
      </c>
    </row>
    <row r="123" spans="1:6" ht="18" customHeight="1">
      <c r="A123" s="99">
        <v>11</v>
      </c>
      <c r="B123" s="100" t="s">
        <v>239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>
      <c r="A124" s="101"/>
      <c r="B124" s="102" t="s">
        <v>257</v>
      </c>
      <c r="C124" s="118">
        <f>SUM(C113:C123)</f>
        <v>43813</v>
      </c>
      <c r="D124" s="118">
        <f>SUM(D113:D123)</f>
        <v>44631</v>
      </c>
      <c r="E124" s="118">
        <f t="shared" si="16"/>
        <v>818</v>
      </c>
      <c r="F124" s="104">
        <f t="shared" si="17"/>
        <v>0.018670257686074908</v>
      </c>
    </row>
    <row r="125" spans="1:6" ht="18" customHeight="1">
      <c r="A125" s="94" t="s">
        <v>258</v>
      </c>
      <c r="B125" s="95" t="s">
        <v>259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229</v>
      </c>
      <c r="C126" s="117">
        <v>90527</v>
      </c>
      <c r="D126" s="117">
        <v>83907</v>
      </c>
      <c r="E126" s="117">
        <f aca="true" t="shared" si="18" ref="E126:E137">D126-C126</f>
        <v>-6620</v>
      </c>
      <c r="F126" s="98">
        <f aca="true" t="shared" si="19" ref="F126:F137">IF(C126=0,0,E126/C126)</f>
        <v>-0.0731273542699968</v>
      </c>
    </row>
    <row r="127" spans="1:6" ht="18" customHeight="1">
      <c r="A127" s="99">
        <v>2</v>
      </c>
      <c r="B127" s="100" t="s">
        <v>230</v>
      </c>
      <c r="C127" s="117">
        <v>12664</v>
      </c>
      <c r="D127" s="117">
        <v>15615</v>
      </c>
      <c r="E127" s="117">
        <f t="shared" si="18"/>
        <v>2951</v>
      </c>
      <c r="F127" s="98">
        <f t="shared" si="19"/>
        <v>0.23302274162981682</v>
      </c>
    </row>
    <row r="128" spans="1:6" ht="18" customHeight="1">
      <c r="A128" s="99">
        <v>3</v>
      </c>
      <c r="B128" s="100" t="s">
        <v>231</v>
      </c>
      <c r="C128" s="117">
        <v>6208</v>
      </c>
      <c r="D128" s="117">
        <v>5895</v>
      </c>
      <c r="E128" s="117">
        <f t="shared" si="18"/>
        <v>-313</v>
      </c>
      <c r="F128" s="98">
        <f t="shared" si="19"/>
        <v>-0.05041881443298969</v>
      </c>
    </row>
    <row r="129" spans="1:6" ht="18" customHeight="1">
      <c r="A129" s="99">
        <v>4</v>
      </c>
      <c r="B129" s="100" t="s">
        <v>232</v>
      </c>
      <c r="C129" s="117">
        <v>14826</v>
      </c>
      <c r="D129" s="117">
        <v>15852</v>
      </c>
      <c r="E129" s="117">
        <f t="shared" si="18"/>
        <v>1026</v>
      </c>
      <c r="F129" s="98">
        <f t="shared" si="19"/>
        <v>0.06920275192229866</v>
      </c>
    </row>
    <row r="130" spans="1:6" ht="18" customHeight="1">
      <c r="A130" s="99">
        <v>5</v>
      </c>
      <c r="B130" s="100" t="s">
        <v>233</v>
      </c>
      <c r="C130" s="117">
        <v>581</v>
      </c>
      <c r="D130" s="117">
        <v>704</v>
      </c>
      <c r="E130" s="117">
        <f t="shared" si="18"/>
        <v>123</v>
      </c>
      <c r="F130" s="98">
        <f t="shared" si="19"/>
        <v>0.2117039586919105</v>
      </c>
    </row>
    <row r="131" spans="1:6" ht="18" customHeight="1">
      <c r="A131" s="99">
        <v>6</v>
      </c>
      <c r="B131" s="100" t="s">
        <v>234</v>
      </c>
      <c r="C131" s="117">
        <v>6242</v>
      </c>
      <c r="D131" s="117">
        <v>5478</v>
      </c>
      <c r="E131" s="117">
        <f t="shared" si="18"/>
        <v>-764</v>
      </c>
      <c r="F131" s="98">
        <f t="shared" si="19"/>
        <v>-0.12239666773470041</v>
      </c>
    </row>
    <row r="132" spans="1:6" ht="18" customHeight="1">
      <c r="A132" s="99">
        <v>7</v>
      </c>
      <c r="B132" s="100" t="s">
        <v>235</v>
      </c>
      <c r="C132" s="117">
        <v>117905</v>
      </c>
      <c r="D132" s="117">
        <v>107079</v>
      </c>
      <c r="E132" s="117">
        <f t="shared" si="18"/>
        <v>-10826</v>
      </c>
      <c r="F132" s="98">
        <f t="shared" si="19"/>
        <v>-0.09181968533989229</v>
      </c>
    </row>
    <row r="133" spans="1:6" ht="18" customHeight="1">
      <c r="A133" s="99">
        <v>8</v>
      </c>
      <c r="B133" s="100" t="s">
        <v>236</v>
      </c>
      <c r="C133" s="117">
        <v>2122</v>
      </c>
      <c r="D133" s="117">
        <v>1682</v>
      </c>
      <c r="E133" s="117">
        <f t="shared" si="18"/>
        <v>-440</v>
      </c>
      <c r="F133" s="98">
        <f t="shared" si="19"/>
        <v>-0.20735155513666353</v>
      </c>
    </row>
    <row r="134" spans="1:6" ht="18" customHeight="1">
      <c r="A134" s="99">
        <v>9</v>
      </c>
      <c r="B134" s="100" t="s">
        <v>237</v>
      </c>
      <c r="C134" s="117">
        <v>7032</v>
      </c>
      <c r="D134" s="117">
        <v>6129</v>
      </c>
      <c r="E134" s="117">
        <f t="shared" si="18"/>
        <v>-903</v>
      </c>
      <c r="F134" s="98">
        <f t="shared" si="19"/>
        <v>-0.12841296928327645</v>
      </c>
    </row>
    <row r="135" spans="1:6" ht="18" customHeight="1">
      <c r="A135" s="99">
        <v>10</v>
      </c>
      <c r="B135" s="100" t="s">
        <v>238</v>
      </c>
      <c r="C135" s="117">
        <v>4473</v>
      </c>
      <c r="D135" s="117">
        <v>4736</v>
      </c>
      <c r="E135" s="117">
        <f t="shared" si="18"/>
        <v>263</v>
      </c>
      <c r="F135" s="98">
        <f t="shared" si="19"/>
        <v>0.058797227811312316</v>
      </c>
    </row>
    <row r="136" spans="1:6" ht="18" customHeight="1">
      <c r="A136" s="99">
        <v>11</v>
      </c>
      <c r="B136" s="100" t="s">
        <v>239</v>
      </c>
      <c r="C136" s="117">
        <v>86</v>
      </c>
      <c r="D136" s="117">
        <v>0</v>
      </c>
      <c r="E136" s="117">
        <f t="shared" si="18"/>
        <v>-86</v>
      </c>
      <c r="F136" s="98">
        <f t="shared" si="19"/>
        <v>-1</v>
      </c>
    </row>
    <row r="137" spans="1:6" ht="18" customHeight="1">
      <c r="A137" s="101"/>
      <c r="B137" s="102" t="s">
        <v>260</v>
      </c>
      <c r="C137" s="118">
        <f>SUM(C126:C136)</f>
        <v>262666</v>
      </c>
      <c r="D137" s="118">
        <f>SUM(D126:D136)</f>
        <v>247077</v>
      </c>
      <c r="E137" s="118">
        <f t="shared" si="18"/>
        <v>-15589</v>
      </c>
      <c r="F137" s="104">
        <f t="shared" si="19"/>
        <v>-0.05934913540389696</v>
      </c>
    </row>
    <row r="138" spans="1:6" ht="18" customHeight="1">
      <c r="A138" s="665" t="s">
        <v>261</v>
      </c>
      <c r="B138" s="667" t="s">
        <v>262</v>
      </c>
      <c r="C138" s="669"/>
      <c r="D138" s="670"/>
      <c r="E138" s="670"/>
      <c r="F138" s="671"/>
    </row>
    <row r="139" spans="1:6" ht="18" customHeight="1">
      <c r="A139" s="666"/>
      <c r="B139" s="668"/>
      <c r="C139" s="672"/>
      <c r="D139" s="673"/>
      <c r="E139" s="673"/>
      <c r="F139" s="674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227</v>
      </c>
      <c r="B141" s="95" t="s">
        <v>263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229</v>
      </c>
      <c r="C142" s="97">
        <v>12185370</v>
      </c>
      <c r="D142" s="97">
        <v>15001151</v>
      </c>
      <c r="E142" s="97">
        <f aca="true" t="shared" si="20" ref="E142:E153">D142-C142</f>
        <v>2815781</v>
      </c>
      <c r="F142" s="98">
        <f aca="true" t="shared" si="21" ref="F142:F153">IF(C142=0,0,E142/C142)</f>
        <v>0.2310788264943945</v>
      </c>
    </row>
    <row r="143" spans="1:6" ht="18" customHeight="1">
      <c r="A143" s="99">
        <v>2</v>
      </c>
      <c r="B143" s="100" t="s">
        <v>230</v>
      </c>
      <c r="C143" s="97">
        <v>1571212</v>
      </c>
      <c r="D143" s="97">
        <v>2197336</v>
      </c>
      <c r="E143" s="97">
        <f t="shared" si="20"/>
        <v>626124</v>
      </c>
      <c r="F143" s="98">
        <f t="shared" si="21"/>
        <v>0.3984974656507206</v>
      </c>
    </row>
    <row r="144" spans="1:6" ht="18" customHeight="1">
      <c r="A144" s="99">
        <v>3</v>
      </c>
      <c r="B144" s="100" t="s">
        <v>231</v>
      </c>
      <c r="C144" s="97">
        <v>3125736</v>
      </c>
      <c r="D144" s="97">
        <v>3786604</v>
      </c>
      <c r="E144" s="97">
        <f t="shared" si="20"/>
        <v>660868</v>
      </c>
      <c r="F144" s="98">
        <f t="shared" si="21"/>
        <v>0.2114279644858043</v>
      </c>
    </row>
    <row r="145" spans="1:6" ht="18" customHeight="1">
      <c r="A145" s="99">
        <v>4</v>
      </c>
      <c r="B145" s="100" t="s">
        <v>232</v>
      </c>
      <c r="C145" s="97">
        <v>6600901</v>
      </c>
      <c r="D145" s="97">
        <v>9113301</v>
      </c>
      <c r="E145" s="97">
        <f t="shared" si="20"/>
        <v>2512400</v>
      </c>
      <c r="F145" s="98">
        <f t="shared" si="21"/>
        <v>0.38061470699227273</v>
      </c>
    </row>
    <row r="146" spans="1:6" ht="18" customHeight="1">
      <c r="A146" s="99">
        <v>5</v>
      </c>
      <c r="B146" s="100" t="s">
        <v>233</v>
      </c>
      <c r="C146" s="97">
        <v>204311</v>
      </c>
      <c r="D146" s="97">
        <v>273841</v>
      </c>
      <c r="E146" s="97">
        <f t="shared" si="20"/>
        <v>69530</v>
      </c>
      <c r="F146" s="98">
        <f t="shared" si="21"/>
        <v>0.34031452051039834</v>
      </c>
    </row>
    <row r="147" spans="1:6" ht="18" customHeight="1">
      <c r="A147" s="99">
        <v>6</v>
      </c>
      <c r="B147" s="100" t="s">
        <v>234</v>
      </c>
      <c r="C147" s="97">
        <v>2072695</v>
      </c>
      <c r="D147" s="97">
        <v>2168394</v>
      </c>
      <c r="E147" s="97">
        <f t="shared" si="20"/>
        <v>95699</v>
      </c>
      <c r="F147" s="98">
        <f t="shared" si="21"/>
        <v>0.04617128907050965</v>
      </c>
    </row>
    <row r="148" spans="1:6" ht="18" customHeight="1">
      <c r="A148" s="99">
        <v>7</v>
      </c>
      <c r="B148" s="100" t="s">
        <v>235</v>
      </c>
      <c r="C148" s="97">
        <v>20729451</v>
      </c>
      <c r="D148" s="97">
        <v>22239181</v>
      </c>
      <c r="E148" s="97">
        <f t="shared" si="20"/>
        <v>1509730</v>
      </c>
      <c r="F148" s="98">
        <f t="shared" si="21"/>
        <v>0.07283019699846369</v>
      </c>
    </row>
    <row r="149" spans="1:6" ht="18" customHeight="1">
      <c r="A149" s="99">
        <v>8</v>
      </c>
      <c r="B149" s="100" t="s">
        <v>236</v>
      </c>
      <c r="C149" s="97">
        <v>1344048</v>
      </c>
      <c r="D149" s="97">
        <v>1197952</v>
      </c>
      <c r="E149" s="97">
        <f t="shared" si="20"/>
        <v>-146096</v>
      </c>
      <c r="F149" s="98">
        <f t="shared" si="21"/>
        <v>-0.10869849886313585</v>
      </c>
    </row>
    <row r="150" spans="1:6" ht="18" customHeight="1">
      <c r="A150" s="99">
        <v>9</v>
      </c>
      <c r="B150" s="100" t="s">
        <v>237</v>
      </c>
      <c r="C150" s="97">
        <v>4525243</v>
      </c>
      <c r="D150" s="97">
        <v>5059982</v>
      </c>
      <c r="E150" s="97">
        <f t="shared" si="20"/>
        <v>534739</v>
      </c>
      <c r="F150" s="98">
        <f t="shared" si="21"/>
        <v>0.11816801882241462</v>
      </c>
    </row>
    <row r="151" spans="1:6" ht="18" customHeight="1">
      <c r="A151" s="99">
        <v>10</v>
      </c>
      <c r="B151" s="100" t="s">
        <v>238</v>
      </c>
      <c r="C151" s="97">
        <v>3048345</v>
      </c>
      <c r="D151" s="97">
        <v>4086709</v>
      </c>
      <c r="E151" s="97">
        <f t="shared" si="20"/>
        <v>1038364</v>
      </c>
      <c r="F151" s="98">
        <f t="shared" si="21"/>
        <v>0.3406320478817194</v>
      </c>
    </row>
    <row r="152" spans="1:6" ht="18" customHeight="1">
      <c r="A152" s="99">
        <v>11</v>
      </c>
      <c r="B152" s="100" t="s">
        <v>239</v>
      </c>
      <c r="C152" s="97">
        <v>87165</v>
      </c>
      <c r="D152" s="97">
        <v>0</v>
      </c>
      <c r="E152" s="97">
        <f t="shared" si="20"/>
        <v>-87165</v>
      </c>
      <c r="F152" s="98">
        <f t="shared" si="21"/>
        <v>-1</v>
      </c>
    </row>
    <row r="153" spans="1:6" ht="33.75" customHeight="1">
      <c r="A153" s="101"/>
      <c r="B153" s="102" t="s">
        <v>264</v>
      </c>
      <c r="C153" s="103">
        <f>SUM(C142:C152)</f>
        <v>55494477</v>
      </c>
      <c r="D153" s="103">
        <f>SUM(D142:D152)</f>
        <v>65124451</v>
      </c>
      <c r="E153" s="103">
        <f t="shared" si="20"/>
        <v>9629974</v>
      </c>
      <c r="F153" s="104">
        <f t="shared" si="21"/>
        <v>0.1735303136562581</v>
      </c>
    </row>
    <row r="154" spans="1:6" ht="18" customHeight="1">
      <c r="A154" s="94" t="s">
        <v>241</v>
      </c>
      <c r="B154" s="95" t="s">
        <v>265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229</v>
      </c>
      <c r="C155" s="97">
        <v>3365258</v>
      </c>
      <c r="D155" s="97">
        <v>3852532</v>
      </c>
      <c r="E155" s="97">
        <f aca="true" t="shared" si="22" ref="E155:E166">D155-C155</f>
        <v>487274</v>
      </c>
      <c r="F155" s="98">
        <f aca="true" t="shared" si="23" ref="F155:F166">IF(C155=0,0,E155/C155)</f>
        <v>0.14479543618943927</v>
      </c>
    </row>
    <row r="156" spans="1:6" ht="18" customHeight="1">
      <c r="A156" s="99">
        <v>2</v>
      </c>
      <c r="B156" s="100" t="s">
        <v>230</v>
      </c>
      <c r="C156" s="97">
        <v>452748</v>
      </c>
      <c r="D156" s="97">
        <v>631113</v>
      </c>
      <c r="E156" s="97">
        <f t="shared" si="22"/>
        <v>178365</v>
      </c>
      <c r="F156" s="98">
        <f t="shared" si="23"/>
        <v>0.39396087889952025</v>
      </c>
    </row>
    <row r="157" spans="1:6" ht="18" customHeight="1">
      <c r="A157" s="99">
        <v>3</v>
      </c>
      <c r="B157" s="100" t="s">
        <v>231</v>
      </c>
      <c r="C157" s="97">
        <v>701512</v>
      </c>
      <c r="D157" s="97">
        <v>766899</v>
      </c>
      <c r="E157" s="97">
        <f t="shared" si="22"/>
        <v>65387</v>
      </c>
      <c r="F157" s="98">
        <f t="shared" si="23"/>
        <v>0.09320866927436737</v>
      </c>
    </row>
    <row r="158" spans="1:6" ht="18" customHeight="1">
      <c r="A158" s="99">
        <v>4</v>
      </c>
      <c r="B158" s="100" t="s">
        <v>232</v>
      </c>
      <c r="C158" s="97">
        <v>1762347</v>
      </c>
      <c r="D158" s="97">
        <v>2325751</v>
      </c>
      <c r="E158" s="97">
        <f t="shared" si="22"/>
        <v>563404</v>
      </c>
      <c r="F158" s="98">
        <f t="shared" si="23"/>
        <v>0.3196895957493048</v>
      </c>
    </row>
    <row r="159" spans="1:6" ht="18" customHeight="1">
      <c r="A159" s="99">
        <v>5</v>
      </c>
      <c r="B159" s="100" t="s">
        <v>233</v>
      </c>
      <c r="C159" s="97">
        <v>111381</v>
      </c>
      <c r="D159" s="97">
        <v>128402</v>
      </c>
      <c r="E159" s="97">
        <f t="shared" si="22"/>
        <v>17021</v>
      </c>
      <c r="F159" s="98">
        <f t="shared" si="23"/>
        <v>0.15281780555031826</v>
      </c>
    </row>
    <row r="160" spans="1:6" ht="18" customHeight="1">
      <c r="A160" s="99">
        <v>6</v>
      </c>
      <c r="B160" s="100" t="s">
        <v>234</v>
      </c>
      <c r="C160" s="97">
        <v>1534930</v>
      </c>
      <c r="D160" s="97">
        <v>1627050</v>
      </c>
      <c r="E160" s="97">
        <f t="shared" si="22"/>
        <v>92120</v>
      </c>
      <c r="F160" s="98">
        <f t="shared" si="23"/>
        <v>0.06001576619129211</v>
      </c>
    </row>
    <row r="161" spans="1:6" ht="18" customHeight="1">
      <c r="A161" s="99">
        <v>7</v>
      </c>
      <c r="B161" s="100" t="s">
        <v>235</v>
      </c>
      <c r="C161" s="97">
        <v>12540708</v>
      </c>
      <c r="D161" s="97">
        <v>13521205</v>
      </c>
      <c r="E161" s="97">
        <f t="shared" si="22"/>
        <v>980497</v>
      </c>
      <c r="F161" s="98">
        <f t="shared" si="23"/>
        <v>0.07818513914844362</v>
      </c>
    </row>
    <row r="162" spans="1:6" ht="18" customHeight="1">
      <c r="A162" s="99">
        <v>8</v>
      </c>
      <c r="B162" s="100" t="s">
        <v>236</v>
      </c>
      <c r="C162" s="97">
        <v>997022</v>
      </c>
      <c r="D162" s="97">
        <v>870817</v>
      </c>
      <c r="E162" s="97">
        <f t="shared" si="22"/>
        <v>-126205</v>
      </c>
      <c r="F162" s="98">
        <f t="shared" si="23"/>
        <v>-0.12658196108009653</v>
      </c>
    </row>
    <row r="163" spans="1:6" ht="18" customHeight="1">
      <c r="A163" s="99">
        <v>9</v>
      </c>
      <c r="B163" s="100" t="s">
        <v>237</v>
      </c>
      <c r="C163" s="97">
        <v>2938833</v>
      </c>
      <c r="D163" s="97">
        <v>2887586</v>
      </c>
      <c r="E163" s="97">
        <f t="shared" si="22"/>
        <v>-51247</v>
      </c>
      <c r="F163" s="98">
        <f t="shared" si="23"/>
        <v>-0.01743787414936473</v>
      </c>
    </row>
    <row r="164" spans="1:6" ht="18" customHeight="1">
      <c r="A164" s="99">
        <v>10</v>
      </c>
      <c r="B164" s="100" t="s">
        <v>238</v>
      </c>
      <c r="C164" s="97">
        <v>441211</v>
      </c>
      <c r="D164" s="97">
        <v>428580</v>
      </c>
      <c r="E164" s="97">
        <f t="shared" si="22"/>
        <v>-12631</v>
      </c>
      <c r="F164" s="98">
        <f t="shared" si="23"/>
        <v>-0.02862802604649476</v>
      </c>
    </row>
    <row r="165" spans="1:6" ht="18" customHeight="1">
      <c r="A165" s="99">
        <v>11</v>
      </c>
      <c r="B165" s="100" t="s">
        <v>239</v>
      </c>
      <c r="C165" s="97">
        <v>24090</v>
      </c>
      <c r="D165" s="97">
        <v>0</v>
      </c>
      <c r="E165" s="97">
        <f t="shared" si="22"/>
        <v>-24090</v>
      </c>
      <c r="F165" s="98">
        <f t="shared" si="23"/>
        <v>-1</v>
      </c>
    </row>
    <row r="166" spans="1:6" ht="33.75" customHeight="1">
      <c r="A166" s="101"/>
      <c r="B166" s="102" t="s">
        <v>266</v>
      </c>
      <c r="C166" s="103">
        <f>SUM(C155:C165)</f>
        <v>24870040</v>
      </c>
      <c r="D166" s="103">
        <f>SUM(D155:D165)</f>
        <v>27039935</v>
      </c>
      <c r="E166" s="103">
        <f t="shared" si="22"/>
        <v>2169895</v>
      </c>
      <c r="F166" s="104">
        <f t="shared" si="23"/>
        <v>0.0872493570577289</v>
      </c>
    </row>
    <row r="167" spans="1:6" ht="18" customHeight="1">
      <c r="A167" s="94" t="s">
        <v>258</v>
      </c>
      <c r="B167" s="95" t="s">
        <v>267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229</v>
      </c>
      <c r="C168" s="117">
        <v>6591</v>
      </c>
      <c r="D168" s="117">
        <v>6950</v>
      </c>
      <c r="E168" s="117">
        <f aca="true" t="shared" si="24" ref="E168:E179">D168-C168</f>
        <v>359</v>
      </c>
      <c r="F168" s="98">
        <f aca="true" t="shared" si="25" ref="F168:F179">IF(C168=0,0,E168/C168)</f>
        <v>0.05446821423152784</v>
      </c>
    </row>
    <row r="169" spans="1:6" ht="18" customHeight="1">
      <c r="A169" s="99">
        <v>2</v>
      </c>
      <c r="B169" s="100" t="s">
        <v>230</v>
      </c>
      <c r="C169" s="117">
        <v>828</v>
      </c>
      <c r="D169" s="117">
        <v>1061</v>
      </c>
      <c r="E169" s="117">
        <f t="shared" si="24"/>
        <v>233</v>
      </c>
      <c r="F169" s="98">
        <f t="shared" si="25"/>
        <v>0.28140096618357485</v>
      </c>
    </row>
    <row r="170" spans="1:6" ht="18" customHeight="1">
      <c r="A170" s="99">
        <v>3</v>
      </c>
      <c r="B170" s="100" t="s">
        <v>231</v>
      </c>
      <c r="C170" s="117">
        <v>2313</v>
      </c>
      <c r="D170" s="117">
        <v>2530</v>
      </c>
      <c r="E170" s="117">
        <f t="shared" si="24"/>
        <v>217</v>
      </c>
      <c r="F170" s="98">
        <f t="shared" si="25"/>
        <v>0.09381755296152183</v>
      </c>
    </row>
    <row r="171" spans="1:6" ht="18" customHeight="1">
      <c r="A171" s="99">
        <v>4</v>
      </c>
      <c r="B171" s="100" t="s">
        <v>232</v>
      </c>
      <c r="C171" s="117">
        <v>6136</v>
      </c>
      <c r="D171" s="117">
        <v>7359</v>
      </c>
      <c r="E171" s="117">
        <f t="shared" si="24"/>
        <v>1223</v>
      </c>
      <c r="F171" s="98">
        <f t="shared" si="25"/>
        <v>0.1993155149934811</v>
      </c>
    </row>
    <row r="172" spans="1:6" ht="18" customHeight="1">
      <c r="A172" s="99">
        <v>5</v>
      </c>
      <c r="B172" s="100" t="s">
        <v>233</v>
      </c>
      <c r="C172" s="117">
        <v>167</v>
      </c>
      <c r="D172" s="117">
        <v>205</v>
      </c>
      <c r="E172" s="117">
        <f t="shared" si="24"/>
        <v>38</v>
      </c>
      <c r="F172" s="98">
        <f t="shared" si="25"/>
        <v>0.2275449101796407</v>
      </c>
    </row>
    <row r="173" spans="1:6" ht="18" customHeight="1">
      <c r="A173" s="99">
        <v>6</v>
      </c>
      <c r="B173" s="100" t="s">
        <v>234</v>
      </c>
      <c r="C173" s="117">
        <v>1228</v>
      </c>
      <c r="D173" s="117">
        <v>1240</v>
      </c>
      <c r="E173" s="117">
        <f t="shared" si="24"/>
        <v>12</v>
      </c>
      <c r="F173" s="98">
        <f t="shared" si="25"/>
        <v>0.009771986970684038</v>
      </c>
    </row>
    <row r="174" spans="1:6" ht="18" customHeight="1">
      <c r="A174" s="99">
        <v>7</v>
      </c>
      <c r="B174" s="100" t="s">
        <v>235</v>
      </c>
      <c r="C174" s="117">
        <v>14314</v>
      </c>
      <c r="D174" s="117">
        <v>13633</v>
      </c>
      <c r="E174" s="117">
        <f t="shared" si="24"/>
        <v>-681</v>
      </c>
      <c r="F174" s="98">
        <f t="shared" si="25"/>
        <v>-0.04757579991616599</v>
      </c>
    </row>
    <row r="175" spans="1:6" ht="18" customHeight="1">
      <c r="A175" s="99">
        <v>8</v>
      </c>
      <c r="B175" s="100" t="s">
        <v>236</v>
      </c>
      <c r="C175" s="117">
        <v>1346</v>
      </c>
      <c r="D175" s="117">
        <v>1109</v>
      </c>
      <c r="E175" s="117">
        <f t="shared" si="24"/>
        <v>-237</v>
      </c>
      <c r="F175" s="98">
        <f t="shared" si="25"/>
        <v>-0.1760772659732541</v>
      </c>
    </row>
    <row r="176" spans="1:6" ht="18" customHeight="1">
      <c r="A176" s="99">
        <v>9</v>
      </c>
      <c r="B176" s="100" t="s">
        <v>237</v>
      </c>
      <c r="C176" s="117">
        <v>3673</v>
      </c>
      <c r="D176" s="117">
        <v>3702</v>
      </c>
      <c r="E176" s="117">
        <f t="shared" si="24"/>
        <v>29</v>
      </c>
      <c r="F176" s="98">
        <f t="shared" si="25"/>
        <v>0.007895453307922679</v>
      </c>
    </row>
    <row r="177" spans="1:6" ht="18" customHeight="1">
      <c r="A177" s="99">
        <v>10</v>
      </c>
      <c r="B177" s="100" t="s">
        <v>238</v>
      </c>
      <c r="C177" s="117">
        <v>2369</v>
      </c>
      <c r="D177" s="117">
        <v>2724</v>
      </c>
      <c r="E177" s="117">
        <f t="shared" si="24"/>
        <v>355</v>
      </c>
      <c r="F177" s="98">
        <f t="shared" si="25"/>
        <v>0.14985225833685098</v>
      </c>
    </row>
    <row r="178" spans="1:6" ht="18" customHeight="1">
      <c r="A178" s="99">
        <v>11</v>
      </c>
      <c r="B178" s="100" t="s">
        <v>239</v>
      </c>
      <c r="C178" s="117">
        <v>31</v>
      </c>
      <c r="D178" s="117">
        <v>0</v>
      </c>
      <c r="E178" s="117">
        <f t="shared" si="24"/>
        <v>-31</v>
      </c>
      <c r="F178" s="98">
        <f t="shared" si="25"/>
        <v>-1</v>
      </c>
    </row>
    <row r="179" spans="1:6" ht="33.75" customHeight="1">
      <c r="A179" s="101"/>
      <c r="B179" s="102" t="s">
        <v>268</v>
      </c>
      <c r="C179" s="118">
        <f>SUM(C168:C178)</f>
        <v>38996</v>
      </c>
      <c r="D179" s="118">
        <f>SUM(D168:D178)</f>
        <v>40513</v>
      </c>
      <c r="E179" s="118">
        <f t="shared" si="24"/>
        <v>1517</v>
      </c>
      <c r="F179" s="104">
        <f t="shared" si="25"/>
        <v>0.03890142578726023</v>
      </c>
    </row>
  </sheetData>
  <sheetProtection/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fitToHeight="3" fitToWidth="1" horizontalDpi="1200" verticalDpi="1200" orientation="portrait" paperSize="9" scale="64" r:id="rId1"/>
  <headerFooter alignWithMargins="0">
    <oddHeader>&amp;LOFFICE OF HEALTH CARE ACCESS&amp;CTWELVE MONTHS ACTUAL FILING&amp;RMANCHESTER MEMORIAL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G176" sqref="G176"/>
    </sheetView>
  </sheetViews>
  <sheetFormatPr defaultColWidth="9.140625" defaultRowHeight="15" customHeight="1"/>
  <cols>
    <col min="1" max="1" width="8.8515625" style="119" bestFit="1" customWidth="1"/>
    <col min="2" max="2" width="57.8515625" style="119" customWidth="1"/>
    <col min="3" max="3" width="20.140625" style="120" customWidth="1"/>
    <col min="4" max="4" width="20.0039062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117</v>
      </c>
      <c r="E2" s="123"/>
      <c r="F2" s="123"/>
      <c r="G2" s="124"/>
    </row>
    <row r="3" spans="1:7" ht="15.75" customHeight="1">
      <c r="A3" s="121"/>
      <c r="C3" s="123" t="s">
        <v>118</v>
      </c>
      <c r="E3" s="123"/>
      <c r="F3" s="123"/>
      <c r="G3" s="124"/>
    </row>
    <row r="4" spans="1:7" ht="15.75" customHeight="1">
      <c r="A4" s="121"/>
      <c r="C4" s="123" t="s">
        <v>119</v>
      </c>
      <c r="E4" s="123"/>
      <c r="F4" s="123"/>
      <c r="G4" s="124"/>
    </row>
    <row r="5" spans="1:7" ht="15.75" customHeight="1">
      <c r="A5" s="121"/>
      <c r="C5" s="123" t="s">
        <v>269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121</v>
      </c>
      <c r="D9" s="127" t="s">
        <v>122</v>
      </c>
      <c r="E9" s="129" t="s">
        <v>123</v>
      </c>
      <c r="F9" s="130" t="s">
        <v>270</v>
      </c>
      <c r="G9" s="124"/>
    </row>
    <row r="10" spans="1:7" ht="15.75" customHeight="1">
      <c r="A10" s="131" t="s">
        <v>271</v>
      </c>
      <c r="B10" s="132" t="s">
        <v>126</v>
      </c>
      <c r="C10" s="133" t="s">
        <v>127</v>
      </c>
      <c r="D10" s="133" t="s">
        <v>127</v>
      </c>
      <c r="E10" s="134" t="s">
        <v>128</v>
      </c>
      <c r="F10" s="133" t="s">
        <v>128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129</v>
      </c>
      <c r="B12" s="139" t="s">
        <v>272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227</v>
      </c>
      <c r="B14" s="145" t="s">
        <v>273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274</v>
      </c>
      <c r="C15" s="146">
        <v>23070252</v>
      </c>
      <c r="D15" s="146">
        <v>25078004</v>
      </c>
      <c r="E15" s="146">
        <f>+D15-C15</f>
        <v>2007752</v>
      </c>
      <c r="F15" s="150">
        <f>IF(C15=0,0,E15/C15)</f>
        <v>0.08702774464708925</v>
      </c>
    </row>
    <row r="16" spans="1:6" ht="15" customHeight="1">
      <c r="A16" s="141">
        <v>2</v>
      </c>
      <c r="B16" s="149" t="s">
        <v>275</v>
      </c>
      <c r="C16" s="146">
        <v>4942107</v>
      </c>
      <c r="D16" s="146">
        <v>5313901</v>
      </c>
      <c r="E16" s="146">
        <f>+D16-C16</f>
        <v>371794</v>
      </c>
      <c r="F16" s="150">
        <f>IF(C16=0,0,E16/C16)</f>
        <v>0.07522985641549242</v>
      </c>
    </row>
    <row r="17" spans="1:6" ht="15" customHeight="1">
      <c r="A17" s="141">
        <v>3</v>
      </c>
      <c r="B17" s="149" t="s">
        <v>276</v>
      </c>
      <c r="C17" s="146">
        <v>43384216</v>
      </c>
      <c r="D17" s="146">
        <v>44702900</v>
      </c>
      <c r="E17" s="146">
        <f>+D17-C17</f>
        <v>1318684</v>
      </c>
      <c r="F17" s="150">
        <f>IF(C17=0,0,E17/C17)</f>
        <v>0.03039547839241811</v>
      </c>
    </row>
    <row r="18" spans="1:7" ht="15.75" customHeight="1">
      <c r="A18" s="141"/>
      <c r="B18" s="151" t="s">
        <v>277</v>
      </c>
      <c r="C18" s="147">
        <f>SUM(C15:C17)</f>
        <v>71396575</v>
      </c>
      <c r="D18" s="147">
        <f>SUM(D15:D17)</f>
        <v>75094805</v>
      </c>
      <c r="E18" s="147">
        <f>+D18-C18</f>
        <v>3698230</v>
      </c>
      <c r="F18" s="148">
        <f>IF(C18=0,0,E18/C18)</f>
        <v>0.05179842310362927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241</v>
      </c>
      <c r="B20" s="145" t="s">
        <v>278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279</v>
      </c>
      <c r="C21" s="146">
        <v>5847122</v>
      </c>
      <c r="D21" s="146">
        <v>6834320</v>
      </c>
      <c r="E21" s="146">
        <f>+D21-C21</f>
        <v>987198</v>
      </c>
      <c r="F21" s="150">
        <f>IF(C21=0,0,E21/C21)</f>
        <v>0.16883485584874064</v>
      </c>
    </row>
    <row r="22" spans="1:6" ht="15" customHeight="1">
      <c r="A22" s="141">
        <v>2</v>
      </c>
      <c r="B22" s="149" t="s">
        <v>280</v>
      </c>
      <c r="C22" s="146">
        <v>1252570</v>
      </c>
      <c r="D22" s="146">
        <v>1448158</v>
      </c>
      <c r="E22" s="146">
        <f>+D22-C22</f>
        <v>195588</v>
      </c>
      <c r="F22" s="150">
        <f>IF(C22=0,0,E22/C22)</f>
        <v>0.15614935692216803</v>
      </c>
    </row>
    <row r="23" spans="1:6" ht="15" customHeight="1">
      <c r="A23" s="141">
        <v>3</v>
      </c>
      <c r="B23" s="149" t="s">
        <v>281</v>
      </c>
      <c r="C23" s="146">
        <v>10995668</v>
      </c>
      <c r="D23" s="146">
        <v>12182546</v>
      </c>
      <c r="E23" s="146">
        <f>+D23-C23</f>
        <v>1186878</v>
      </c>
      <c r="F23" s="150">
        <f>IF(C23=0,0,E23/C23)</f>
        <v>0.1079405089349733</v>
      </c>
    </row>
    <row r="24" spans="1:7" ht="15.75" customHeight="1">
      <c r="A24" s="141"/>
      <c r="B24" s="151" t="s">
        <v>282</v>
      </c>
      <c r="C24" s="147">
        <f>SUM(C21:C23)</f>
        <v>18095360</v>
      </c>
      <c r="D24" s="147">
        <f>SUM(D21:D23)</f>
        <v>20465024</v>
      </c>
      <c r="E24" s="147">
        <f>+D24-C24</f>
        <v>2369664</v>
      </c>
      <c r="F24" s="148">
        <f>IF(C24=0,0,E24/C24)</f>
        <v>0.1309542335714791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258</v>
      </c>
      <c r="B26" s="145" t="s">
        <v>283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284</v>
      </c>
      <c r="C27" s="146">
        <v>92921</v>
      </c>
      <c r="D27" s="146">
        <v>68150</v>
      </c>
      <c r="E27" s="146">
        <f>+D27-C27</f>
        <v>-24771</v>
      </c>
      <c r="F27" s="150">
        <f>IF(C27=0,0,E27/C27)</f>
        <v>-0.2665812894824636</v>
      </c>
    </row>
    <row r="28" spans="1:6" ht="15" customHeight="1">
      <c r="A28" s="141">
        <v>2</v>
      </c>
      <c r="B28" s="149" t="s">
        <v>285</v>
      </c>
      <c r="C28" s="146">
        <v>4754993</v>
      </c>
      <c r="D28" s="146">
        <v>5270206</v>
      </c>
      <c r="E28" s="146">
        <f>+D28-C28</f>
        <v>515213</v>
      </c>
      <c r="F28" s="150">
        <f>IF(C28=0,0,E28/C28)</f>
        <v>0.10835199967697114</v>
      </c>
    </row>
    <row r="29" spans="1:6" ht="15" customHeight="1">
      <c r="A29" s="141">
        <v>3</v>
      </c>
      <c r="B29" s="149" t="s">
        <v>286</v>
      </c>
      <c r="C29" s="146">
        <v>0</v>
      </c>
      <c r="D29" s="146">
        <v>0</v>
      </c>
      <c r="E29" s="146">
        <f>+D29-C29</f>
        <v>0</v>
      </c>
      <c r="F29" s="150">
        <f>IF(C29=0,0,E29/C29)</f>
        <v>0</v>
      </c>
    </row>
    <row r="30" spans="1:7" ht="15.75" customHeight="1">
      <c r="A30" s="141"/>
      <c r="B30" s="151" t="s">
        <v>287</v>
      </c>
      <c r="C30" s="147">
        <f>SUM(C27:C29)</f>
        <v>4847914</v>
      </c>
      <c r="D30" s="147">
        <f>SUM(D27:D29)</f>
        <v>5338356</v>
      </c>
      <c r="E30" s="147">
        <f>+D30-C30</f>
        <v>490442</v>
      </c>
      <c r="F30" s="148">
        <f>IF(C30=0,0,E30/C30)</f>
        <v>0.10116557348170781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288</v>
      </c>
      <c r="B32" s="145" t="s">
        <v>289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290</v>
      </c>
      <c r="C33" s="146">
        <v>21284692</v>
      </c>
      <c r="D33" s="146">
        <v>18564450</v>
      </c>
      <c r="E33" s="146">
        <f>+D33-C33</f>
        <v>-2720242</v>
      </c>
      <c r="F33" s="150">
        <f>IF(C33=0,0,E33/C33)</f>
        <v>-0.12780274198940722</v>
      </c>
    </row>
    <row r="34" spans="1:6" ht="15" customHeight="1">
      <c r="A34" s="141">
        <v>2</v>
      </c>
      <c r="B34" s="149" t="s">
        <v>291</v>
      </c>
      <c r="C34" s="146">
        <v>5745795</v>
      </c>
      <c r="D34" s="146">
        <v>4661906</v>
      </c>
      <c r="E34" s="146">
        <f>+D34-C34</f>
        <v>-1083889</v>
      </c>
      <c r="F34" s="150">
        <f>IF(C34=0,0,E34/C34)</f>
        <v>-0.18864038831876181</v>
      </c>
    </row>
    <row r="35" spans="1:7" ht="15.75" customHeight="1">
      <c r="A35" s="141"/>
      <c r="B35" s="151" t="s">
        <v>292</v>
      </c>
      <c r="C35" s="147">
        <f>SUM(C33:C34)</f>
        <v>27030487</v>
      </c>
      <c r="D35" s="147">
        <f>SUM(D33:D34)</f>
        <v>23226356</v>
      </c>
      <c r="E35" s="147">
        <f>+D35-C35</f>
        <v>-3804131</v>
      </c>
      <c r="F35" s="148">
        <f>IF(C35=0,0,E35/C35)</f>
        <v>-0.14073483026776396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293</v>
      </c>
      <c r="B37" s="145" t="s">
        <v>294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295</v>
      </c>
      <c r="C38" s="146">
        <v>4562166</v>
      </c>
      <c r="D38" s="146">
        <v>4137965</v>
      </c>
      <c r="E38" s="146">
        <f>+D38-C38</f>
        <v>-424201</v>
      </c>
      <c r="F38" s="150">
        <f>IF(C38=0,0,E38/C38)</f>
        <v>-0.09298236846269951</v>
      </c>
    </row>
    <row r="39" spans="1:6" ht="15" customHeight="1">
      <c r="A39" s="141">
        <v>2</v>
      </c>
      <c r="B39" s="149" t="s">
        <v>296</v>
      </c>
      <c r="C39" s="146">
        <v>4096316</v>
      </c>
      <c r="D39" s="146">
        <v>4066390</v>
      </c>
      <c r="E39" s="146">
        <f>+D39-C39</f>
        <v>-29926</v>
      </c>
      <c r="F39" s="150">
        <f>IF(C39=0,0,E39/C39)</f>
        <v>-0.00730558872899454</v>
      </c>
    </row>
    <row r="40" spans="1:6" ht="15" customHeight="1">
      <c r="A40" s="141">
        <v>3</v>
      </c>
      <c r="B40" s="149" t="s">
        <v>297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>
      <c r="A41" s="141"/>
      <c r="B41" s="151" t="s">
        <v>298</v>
      </c>
      <c r="C41" s="147">
        <f>SUM(C38:C40)</f>
        <v>8658482</v>
      </c>
      <c r="D41" s="147">
        <f>SUM(D38:D40)</f>
        <v>8204355</v>
      </c>
      <c r="E41" s="147">
        <f>+D41-C41</f>
        <v>-454127</v>
      </c>
      <c r="F41" s="148">
        <f>IF(C41=0,0,E41/C41)</f>
        <v>-0.052448801071596614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299</v>
      </c>
      <c r="B43" s="145" t="s">
        <v>300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202</v>
      </c>
      <c r="C44" s="146">
        <v>6287004</v>
      </c>
      <c r="D44" s="146">
        <v>7895004</v>
      </c>
      <c r="E44" s="146">
        <f>+D44-C44</f>
        <v>1608000</v>
      </c>
      <c r="F44" s="150">
        <f>IF(C44=0,0,E44/C44)</f>
        <v>0.2557657033461407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301</v>
      </c>
      <c r="B46" s="145" t="s">
        <v>302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303</v>
      </c>
      <c r="C47" s="146">
        <v>2075799</v>
      </c>
      <c r="D47" s="146">
        <v>2265597</v>
      </c>
      <c r="E47" s="146">
        <f>+D47-C47</f>
        <v>189798</v>
      </c>
      <c r="F47" s="150">
        <f>IF(C47=0,0,E47/C47)</f>
        <v>0.09143370817694776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304</v>
      </c>
      <c r="B49" s="145" t="s">
        <v>305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306</v>
      </c>
      <c r="C50" s="146">
        <v>1782559</v>
      </c>
      <c r="D50" s="146">
        <v>2844702</v>
      </c>
      <c r="E50" s="146">
        <f>+D50-C50</f>
        <v>1062143</v>
      </c>
      <c r="F50" s="150">
        <f>IF(C50=0,0,E50/C50)</f>
        <v>0.5958529282901716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307</v>
      </c>
      <c r="B52" s="145" t="s">
        <v>308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309</v>
      </c>
      <c r="C53" s="146">
        <v>141436</v>
      </c>
      <c r="D53" s="146">
        <v>137315</v>
      </c>
      <c r="E53" s="146">
        <f aca="true" t="shared" si="0" ref="E53:E59">+D53-C53</f>
        <v>-4121</v>
      </c>
      <c r="F53" s="150">
        <f aca="true" t="shared" si="1" ref="F53:F59">IF(C53=0,0,E53/C53)</f>
        <v>-0.029136853417800278</v>
      </c>
    </row>
    <row r="54" spans="1:6" ht="15" customHeight="1">
      <c r="A54" s="141">
        <v>2</v>
      </c>
      <c r="B54" s="149" t="s">
        <v>310</v>
      </c>
      <c r="C54" s="146">
        <v>347375</v>
      </c>
      <c r="D54" s="146">
        <v>881652</v>
      </c>
      <c r="E54" s="146">
        <f t="shared" si="0"/>
        <v>534277</v>
      </c>
      <c r="F54" s="150">
        <f t="shared" si="1"/>
        <v>1.5380410219503418</v>
      </c>
    </row>
    <row r="55" spans="1:6" ht="15" customHeight="1">
      <c r="A55" s="141">
        <v>3</v>
      </c>
      <c r="B55" s="149" t="s">
        <v>311</v>
      </c>
      <c r="C55" s="146">
        <v>541472</v>
      </c>
      <c r="D55" s="146">
        <v>153859</v>
      </c>
      <c r="E55" s="146">
        <f t="shared" si="0"/>
        <v>-387613</v>
      </c>
      <c r="F55" s="150">
        <f t="shared" si="1"/>
        <v>-0.7158504964245612</v>
      </c>
    </row>
    <row r="56" spans="1:6" ht="15" customHeight="1">
      <c r="A56" s="141">
        <v>4</v>
      </c>
      <c r="B56" s="149" t="s">
        <v>312</v>
      </c>
      <c r="C56" s="146">
        <v>1390209</v>
      </c>
      <c r="D56" s="146">
        <v>1494390</v>
      </c>
      <c r="E56" s="146">
        <f t="shared" si="0"/>
        <v>104181</v>
      </c>
      <c r="F56" s="150">
        <f t="shared" si="1"/>
        <v>0.07493909189193855</v>
      </c>
    </row>
    <row r="57" spans="1:6" ht="15" customHeight="1">
      <c r="A57" s="141">
        <v>5</v>
      </c>
      <c r="B57" s="149" t="s">
        <v>313</v>
      </c>
      <c r="C57" s="146">
        <v>500244</v>
      </c>
      <c r="D57" s="146">
        <v>460844</v>
      </c>
      <c r="E57" s="146">
        <f t="shared" si="0"/>
        <v>-39400</v>
      </c>
      <c r="F57" s="150">
        <f t="shared" si="1"/>
        <v>-0.07876156435659398</v>
      </c>
    </row>
    <row r="58" spans="1:6" ht="15" customHeight="1">
      <c r="A58" s="141">
        <v>6</v>
      </c>
      <c r="B58" s="149" t="s">
        <v>314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>
      <c r="A59" s="141"/>
      <c r="B59" s="151" t="s">
        <v>315</v>
      </c>
      <c r="C59" s="147">
        <f>SUM(C53:C58)</f>
        <v>2920736</v>
      </c>
      <c r="D59" s="147">
        <f>SUM(D53:D58)</f>
        <v>3128060</v>
      </c>
      <c r="E59" s="147">
        <f t="shared" si="0"/>
        <v>207324</v>
      </c>
      <c r="F59" s="148">
        <f t="shared" si="1"/>
        <v>0.07098347813701752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316</v>
      </c>
      <c r="B61" s="145" t="s">
        <v>317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318</v>
      </c>
      <c r="C62" s="146">
        <v>158454</v>
      </c>
      <c r="D62" s="146">
        <v>167828</v>
      </c>
      <c r="E62" s="146">
        <f aca="true" t="shared" si="2" ref="E62:E78">+D62-C62</f>
        <v>9374</v>
      </c>
      <c r="F62" s="150">
        <f aca="true" t="shared" si="3" ref="F62:F78">IF(C62=0,0,E62/C62)</f>
        <v>0.0591591250457546</v>
      </c>
    </row>
    <row r="63" spans="1:6" ht="15" customHeight="1">
      <c r="A63" s="141">
        <v>2</v>
      </c>
      <c r="B63" s="149" t="s">
        <v>319</v>
      </c>
      <c r="C63" s="146">
        <v>766637</v>
      </c>
      <c r="D63" s="146">
        <v>761224</v>
      </c>
      <c r="E63" s="146">
        <f t="shared" si="2"/>
        <v>-5413</v>
      </c>
      <c r="F63" s="150">
        <f t="shared" si="3"/>
        <v>-0.007060708001309616</v>
      </c>
    </row>
    <row r="64" spans="1:6" ht="15" customHeight="1">
      <c r="A64" s="141">
        <v>3</v>
      </c>
      <c r="B64" s="149" t="s">
        <v>320</v>
      </c>
      <c r="C64" s="146">
        <v>182867</v>
      </c>
      <c r="D64" s="146">
        <v>454021</v>
      </c>
      <c r="E64" s="146">
        <f t="shared" si="2"/>
        <v>271154</v>
      </c>
      <c r="F64" s="150">
        <f t="shared" si="3"/>
        <v>1.4827935056625854</v>
      </c>
    </row>
    <row r="65" spans="1:6" ht="15" customHeight="1">
      <c r="A65" s="141">
        <v>4</v>
      </c>
      <c r="B65" s="149" t="s">
        <v>321</v>
      </c>
      <c r="C65" s="146">
        <v>305492</v>
      </c>
      <c r="D65" s="146">
        <v>289015</v>
      </c>
      <c r="E65" s="146">
        <f t="shared" si="2"/>
        <v>-16477</v>
      </c>
      <c r="F65" s="150">
        <f t="shared" si="3"/>
        <v>-0.05393594594948477</v>
      </c>
    </row>
    <row r="66" spans="1:6" ht="15" customHeight="1">
      <c r="A66" s="141">
        <v>5</v>
      </c>
      <c r="B66" s="149" t="s">
        <v>322</v>
      </c>
      <c r="C66" s="146">
        <v>349789</v>
      </c>
      <c r="D66" s="146">
        <v>374821</v>
      </c>
      <c r="E66" s="146">
        <f t="shared" si="2"/>
        <v>25032</v>
      </c>
      <c r="F66" s="150">
        <f t="shared" si="3"/>
        <v>0.07156314235153192</v>
      </c>
    </row>
    <row r="67" spans="1:6" ht="15" customHeight="1">
      <c r="A67" s="141">
        <v>6</v>
      </c>
      <c r="B67" s="149" t="s">
        <v>323</v>
      </c>
      <c r="C67" s="146">
        <v>832774</v>
      </c>
      <c r="D67" s="146">
        <v>907342</v>
      </c>
      <c r="E67" s="146">
        <f t="shared" si="2"/>
        <v>74568</v>
      </c>
      <c r="F67" s="150">
        <f t="shared" si="3"/>
        <v>0.0895417003893013</v>
      </c>
    </row>
    <row r="68" spans="1:6" ht="15" customHeight="1">
      <c r="A68" s="141">
        <v>7</v>
      </c>
      <c r="B68" s="149" t="s">
        <v>324</v>
      </c>
      <c r="C68" s="146">
        <v>1724953</v>
      </c>
      <c r="D68" s="146">
        <v>1962231</v>
      </c>
      <c r="E68" s="146">
        <f t="shared" si="2"/>
        <v>237278</v>
      </c>
      <c r="F68" s="150">
        <f t="shared" si="3"/>
        <v>0.13755621167649207</v>
      </c>
    </row>
    <row r="69" spans="1:6" ht="15" customHeight="1">
      <c r="A69" s="141">
        <v>8</v>
      </c>
      <c r="B69" s="149" t="s">
        <v>325</v>
      </c>
      <c r="C69" s="146">
        <v>809883</v>
      </c>
      <c r="D69" s="146">
        <v>692181</v>
      </c>
      <c r="E69" s="146">
        <f t="shared" si="2"/>
        <v>-117702</v>
      </c>
      <c r="F69" s="150">
        <f t="shared" si="3"/>
        <v>-0.14533210352606488</v>
      </c>
    </row>
    <row r="70" spans="1:6" ht="15" customHeight="1">
      <c r="A70" s="141">
        <v>9</v>
      </c>
      <c r="B70" s="149" t="s">
        <v>326</v>
      </c>
      <c r="C70" s="146">
        <v>65106</v>
      </c>
      <c r="D70" s="146">
        <v>59371</v>
      </c>
      <c r="E70" s="146">
        <f t="shared" si="2"/>
        <v>-5735</v>
      </c>
      <c r="F70" s="150">
        <f t="shared" si="3"/>
        <v>-0.08808711946671582</v>
      </c>
    </row>
    <row r="71" spans="1:6" ht="15" customHeight="1">
      <c r="A71" s="141">
        <v>10</v>
      </c>
      <c r="B71" s="149" t="s">
        <v>327</v>
      </c>
      <c r="C71" s="146">
        <v>11355</v>
      </c>
      <c r="D71" s="146">
        <v>3750</v>
      </c>
      <c r="E71" s="146">
        <f t="shared" si="2"/>
        <v>-7605</v>
      </c>
      <c r="F71" s="150">
        <f t="shared" si="3"/>
        <v>-0.6697490092470277</v>
      </c>
    </row>
    <row r="72" spans="1:6" ht="15" customHeight="1">
      <c r="A72" s="141">
        <v>11</v>
      </c>
      <c r="B72" s="149" t="s">
        <v>328</v>
      </c>
      <c r="C72" s="146">
        <v>55403</v>
      </c>
      <c r="D72" s="146">
        <v>20128</v>
      </c>
      <c r="E72" s="146">
        <f t="shared" si="2"/>
        <v>-35275</v>
      </c>
      <c r="F72" s="150">
        <f t="shared" si="3"/>
        <v>-0.6366983737342743</v>
      </c>
    </row>
    <row r="73" spans="1:6" ht="15" customHeight="1">
      <c r="A73" s="141">
        <v>12</v>
      </c>
      <c r="B73" s="149" t="s">
        <v>329</v>
      </c>
      <c r="C73" s="146">
        <v>395958</v>
      </c>
      <c r="D73" s="146">
        <v>379521</v>
      </c>
      <c r="E73" s="146">
        <f t="shared" si="2"/>
        <v>-16437</v>
      </c>
      <c r="F73" s="150">
        <f t="shared" si="3"/>
        <v>-0.04151197854317882</v>
      </c>
    </row>
    <row r="74" spans="1:6" ht="15" customHeight="1">
      <c r="A74" s="141">
        <v>13</v>
      </c>
      <c r="B74" s="149" t="s">
        <v>330</v>
      </c>
      <c r="C74" s="146">
        <v>304513</v>
      </c>
      <c r="D74" s="146">
        <v>291200</v>
      </c>
      <c r="E74" s="146">
        <f t="shared" si="2"/>
        <v>-13313</v>
      </c>
      <c r="F74" s="150">
        <f t="shared" si="3"/>
        <v>-0.04371898736671341</v>
      </c>
    </row>
    <row r="75" spans="1:6" ht="15" customHeight="1">
      <c r="A75" s="141">
        <v>14</v>
      </c>
      <c r="B75" s="149" t="s">
        <v>331</v>
      </c>
      <c r="C75" s="146">
        <v>169613</v>
      </c>
      <c r="D75" s="146">
        <v>190547</v>
      </c>
      <c r="E75" s="146">
        <f t="shared" si="2"/>
        <v>20934</v>
      </c>
      <c r="F75" s="150">
        <f t="shared" si="3"/>
        <v>0.12342214334986115</v>
      </c>
    </row>
    <row r="76" spans="1:6" ht="15" customHeight="1">
      <c r="A76" s="141">
        <v>15</v>
      </c>
      <c r="B76" s="149" t="s">
        <v>332</v>
      </c>
      <c r="C76" s="146">
        <v>441473</v>
      </c>
      <c r="D76" s="146">
        <v>327813</v>
      </c>
      <c r="E76" s="146">
        <f t="shared" si="2"/>
        <v>-113660</v>
      </c>
      <c r="F76" s="150">
        <f t="shared" si="3"/>
        <v>-0.2574562883800368</v>
      </c>
    </row>
    <row r="77" spans="1:6" ht="15" customHeight="1">
      <c r="A77" s="141">
        <v>16</v>
      </c>
      <c r="B77" s="149" t="s">
        <v>333</v>
      </c>
      <c r="C77" s="146">
        <v>12256307</v>
      </c>
      <c r="D77" s="146">
        <v>14673932</v>
      </c>
      <c r="E77" s="146">
        <f t="shared" si="2"/>
        <v>2417625</v>
      </c>
      <c r="F77" s="150">
        <f t="shared" si="3"/>
        <v>0.19725558441054064</v>
      </c>
    </row>
    <row r="78" spans="1:7" ht="15.75" customHeight="1">
      <c r="A78" s="141"/>
      <c r="B78" s="151" t="s">
        <v>334</v>
      </c>
      <c r="C78" s="147">
        <f>SUM(C62:C77)</f>
        <v>18830577</v>
      </c>
      <c r="D78" s="147">
        <f>SUM(D62:D77)</f>
        <v>21554925</v>
      </c>
      <c r="E78" s="147">
        <f t="shared" si="2"/>
        <v>2724348</v>
      </c>
      <c r="F78" s="148">
        <f t="shared" si="3"/>
        <v>0.14467682004645954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335</v>
      </c>
      <c r="B80" s="145" t="s">
        <v>336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337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338</v>
      </c>
      <c r="C83" s="147">
        <f>+C81+C78+C59+C50+C47+C44+C41+C35+C30+C24+C18</f>
        <v>161925493</v>
      </c>
      <c r="D83" s="147">
        <f>+D81+D78+D59+D50+D47+D44+D41+D35+D30+D24+D18</f>
        <v>170017184</v>
      </c>
      <c r="E83" s="147">
        <f>+D83-C83</f>
        <v>8091691</v>
      </c>
      <c r="F83" s="148">
        <f>IF(C83=0,0,E83/C83)</f>
        <v>0.04997169284517788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115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161</v>
      </c>
      <c r="B88" s="142" t="s">
        <v>339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227</v>
      </c>
      <c r="B90" s="145" t="s">
        <v>340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341</v>
      </c>
      <c r="C91" s="146">
        <v>4273303</v>
      </c>
      <c r="D91" s="146">
        <v>4390397</v>
      </c>
      <c r="E91" s="146">
        <f aca="true" t="shared" si="4" ref="E91:E109">D91-C91</f>
        <v>117094</v>
      </c>
      <c r="F91" s="150">
        <f aca="true" t="shared" si="5" ref="F91:F109">IF(C91=0,0,E91/C91)</f>
        <v>0.027401286545793734</v>
      </c>
      <c r="G91" s="155"/>
    </row>
    <row r="92" spans="1:7" ht="15" customHeight="1">
      <c r="A92" s="141">
        <v>2</v>
      </c>
      <c r="B92" s="161" t="s">
        <v>342</v>
      </c>
      <c r="C92" s="146">
        <v>1749415</v>
      </c>
      <c r="D92" s="146">
        <v>1755652</v>
      </c>
      <c r="E92" s="146">
        <f t="shared" si="4"/>
        <v>6237</v>
      </c>
      <c r="F92" s="150">
        <f t="shared" si="5"/>
        <v>0.0035651917926849833</v>
      </c>
      <c r="G92" s="155"/>
    </row>
    <row r="93" spans="1:7" ht="15" customHeight="1">
      <c r="A93" s="141">
        <v>3</v>
      </c>
      <c r="B93" s="161" t="s">
        <v>343</v>
      </c>
      <c r="C93" s="146">
        <v>1635587</v>
      </c>
      <c r="D93" s="146">
        <v>1582834</v>
      </c>
      <c r="E93" s="146">
        <f t="shared" si="4"/>
        <v>-52753</v>
      </c>
      <c r="F93" s="150">
        <f t="shared" si="5"/>
        <v>-0.03225325219630628</v>
      </c>
      <c r="G93" s="155"/>
    </row>
    <row r="94" spans="1:7" ht="15" customHeight="1">
      <c r="A94" s="141">
        <v>4</v>
      </c>
      <c r="B94" s="161" t="s">
        <v>344</v>
      </c>
      <c r="C94" s="146">
        <v>1380017</v>
      </c>
      <c r="D94" s="146">
        <v>1574292</v>
      </c>
      <c r="E94" s="146">
        <f t="shared" si="4"/>
        <v>194275</v>
      </c>
      <c r="F94" s="150">
        <f t="shared" si="5"/>
        <v>0.14077725129473043</v>
      </c>
      <c r="G94" s="155"/>
    </row>
    <row r="95" spans="1:7" ht="15" customHeight="1">
      <c r="A95" s="141">
        <v>5</v>
      </c>
      <c r="B95" s="161" t="s">
        <v>345</v>
      </c>
      <c r="C95" s="146">
        <v>3892000</v>
      </c>
      <c r="D95" s="146">
        <v>4115305</v>
      </c>
      <c r="E95" s="146">
        <f t="shared" si="4"/>
        <v>223305</v>
      </c>
      <c r="F95" s="150">
        <f t="shared" si="5"/>
        <v>0.057375385405960946</v>
      </c>
      <c r="G95" s="155"/>
    </row>
    <row r="96" spans="1:7" ht="15" customHeight="1">
      <c r="A96" s="141">
        <v>6</v>
      </c>
      <c r="B96" s="161" t="s">
        <v>346</v>
      </c>
      <c r="C96" s="146">
        <v>1031506</v>
      </c>
      <c r="D96" s="146">
        <v>1840261</v>
      </c>
      <c r="E96" s="146">
        <f t="shared" si="4"/>
        <v>808755</v>
      </c>
      <c r="F96" s="150">
        <f t="shared" si="5"/>
        <v>0.7840526375997813</v>
      </c>
      <c r="G96" s="155"/>
    </row>
    <row r="97" spans="1:7" ht="15" customHeight="1">
      <c r="A97" s="141">
        <v>7</v>
      </c>
      <c r="B97" s="161" t="s">
        <v>347</v>
      </c>
      <c r="C97" s="146">
        <v>13610111</v>
      </c>
      <c r="D97" s="146">
        <v>15167415</v>
      </c>
      <c r="E97" s="146">
        <f t="shared" si="4"/>
        <v>1557304</v>
      </c>
      <c r="F97" s="150">
        <f t="shared" si="5"/>
        <v>0.11442257891945187</v>
      </c>
      <c r="G97" s="155"/>
    </row>
    <row r="98" spans="1:7" ht="15" customHeight="1">
      <c r="A98" s="141">
        <v>8</v>
      </c>
      <c r="B98" s="161" t="s">
        <v>348</v>
      </c>
      <c r="C98" s="146">
        <v>130717</v>
      </c>
      <c r="D98" s="146">
        <v>133306</v>
      </c>
      <c r="E98" s="146">
        <f t="shared" si="4"/>
        <v>2589</v>
      </c>
      <c r="F98" s="150">
        <f t="shared" si="5"/>
        <v>0.019806146101884223</v>
      </c>
      <c r="G98" s="155"/>
    </row>
    <row r="99" spans="1:7" ht="15" customHeight="1">
      <c r="A99" s="141">
        <v>9</v>
      </c>
      <c r="B99" s="161" t="s">
        <v>349</v>
      </c>
      <c r="C99" s="146">
        <v>1542264</v>
      </c>
      <c r="D99" s="146">
        <v>1492924</v>
      </c>
      <c r="E99" s="146">
        <f t="shared" si="4"/>
        <v>-49340</v>
      </c>
      <c r="F99" s="150">
        <f t="shared" si="5"/>
        <v>-0.031991928748904205</v>
      </c>
      <c r="G99" s="155"/>
    </row>
    <row r="100" spans="1:7" ht="15" customHeight="1">
      <c r="A100" s="141">
        <v>10</v>
      </c>
      <c r="B100" s="161" t="s">
        <v>350</v>
      </c>
      <c r="C100" s="146">
        <v>3372715</v>
      </c>
      <c r="D100" s="146">
        <v>3300303</v>
      </c>
      <c r="E100" s="146">
        <f t="shared" si="4"/>
        <v>-72412</v>
      </c>
      <c r="F100" s="150">
        <f t="shared" si="5"/>
        <v>-0.021469943354241315</v>
      </c>
      <c r="G100" s="155"/>
    </row>
    <row r="101" spans="1:7" ht="15" customHeight="1">
      <c r="A101" s="141">
        <v>11</v>
      </c>
      <c r="B101" s="161" t="s">
        <v>351</v>
      </c>
      <c r="C101" s="146">
        <v>1798672</v>
      </c>
      <c r="D101" s="146">
        <v>1857530</v>
      </c>
      <c r="E101" s="146">
        <f t="shared" si="4"/>
        <v>58858</v>
      </c>
      <c r="F101" s="150">
        <f t="shared" si="5"/>
        <v>0.03272303121414021</v>
      </c>
      <c r="G101" s="155"/>
    </row>
    <row r="102" spans="1:7" ht="15" customHeight="1">
      <c r="A102" s="141">
        <v>12</v>
      </c>
      <c r="B102" s="161" t="s">
        <v>352</v>
      </c>
      <c r="C102" s="146">
        <v>667836</v>
      </c>
      <c r="D102" s="146">
        <v>816794</v>
      </c>
      <c r="E102" s="146">
        <f t="shared" si="4"/>
        <v>148958</v>
      </c>
      <c r="F102" s="150">
        <f t="shared" si="5"/>
        <v>0.22304577770590384</v>
      </c>
      <c r="G102" s="155"/>
    </row>
    <row r="103" spans="1:7" ht="15" customHeight="1">
      <c r="A103" s="141">
        <v>13</v>
      </c>
      <c r="B103" s="161" t="s">
        <v>353</v>
      </c>
      <c r="C103" s="146">
        <v>2439121</v>
      </c>
      <c r="D103" s="146">
        <v>2701969</v>
      </c>
      <c r="E103" s="146">
        <f t="shared" si="4"/>
        <v>262848</v>
      </c>
      <c r="F103" s="150">
        <f t="shared" si="5"/>
        <v>0.10776341149127083</v>
      </c>
      <c r="G103" s="155"/>
    </row>
    <row r="104" spans="1:7" ht="15" customHeight="1">
      <c r="A104" s="141">
        <v>14</v>
      </c>
      <c r="B104" s="161" t="s">
        <v>354</v>
      </c>
      <c r="C104" s="146">
        <v>891543</v>
      </c>
      <c r="D104" s="146">
        <v>807962</v>
      </c>
      <c r="E104" s="146">
        <f t="shared" si="4"/>
        <v>-83581</v>
      </c>
      <c r="F104" s="150">
        <f t="shared" si="5"/>
        <v>-0.0937487030911577</v>
      </c>
      <c r="G104" s="155"/>
    </row>
    <row r="105" spans="1:7" ht="15" customHeight="1">
      <c r="A105" s="141">
        <v>15</v>
      </c>
      <c r="B105" s="161" t="s">
        <v>324</v>
      </c>
      <c r="C105" s="146">
        <v>1075862</v>
      </c>
      <c r="D105" s="146">
        <v>1092862</v>
      </c>
      <c r="E105" s="146">
        <f t="shared" si="4"/>
        <v>17000</v>
      </c>
      <c r="F105" s="150">
        <f t="shared" si="5"/>
        <v>0.015801283064184813</v>
      </c>
      <c r="G105" s="155"/>
    </row>
    <row r="106" spans="1:7" ht="15" customHeight="1">
      <c r="A106" s="141">
        <v>16</v>
      </c>
      <c r="B106" s="161" t="s">
        <v>355</v>
      </c>
      <c r="C106" s="146">
        <v>913602</v>
      </c>
      <c r="D106" s="146">
        <v>936102</v>
      </c>
      <c r="E106" s="146">
        <f t="shared" si="4"/>
        <v>22500</v>
      </c>
      <c r="F106" s="150">
        <f t="shared" si="5"/>
        <v>0.024627791970683075</v>
      </c>
      <c r="G106" s="155"/>
    </row>
    <row r="107" spans="1:7" ht="15" customHeight="1">
      <c r="A107" s="141">
        <v>17</v>
      </c>
      <c r="B107" s="161" t="s">
        <v>356</v>
      </c>
      <c r="C107" s="146">
        <v>7259646</v>
      </c>
      <c r="D107" s="146">
        <v>7058063</v>
      </c>
      <c r="E107" s="146">
        <f t="shared" si="4"/>
        <v>-201583</v>
      </c>
      <c r="F107" s="150">
        <f t="shared" si="5"/>
        <v>-0.02776760740124243</v>
      </c>
      <c r="G107" s="155"/>
    </row>
    <row r="108" spans="1:7" ht="15" customHeight="1">
      <c r="A108" s="141">
        <v>18</v>
      </c>
      <c r="B108" s="161" t="s">
        <v>357</v>
      </c>
      <c r="C108" s="146">
        <v>31509175</v>
      </c>
      <c r="D108" s="146">
        <v>34223659</v>
      </c>
      <c r="E108" s="146">
        <f t="shared" si="4"/>
        <v>2714484</v>
      </c>
      <c r="F108" s="150">
        <f t="shared" si="5"/>
        <v>0.08614900263177312</v>
      </c>
      <c r="G108" s="155"/>
    </row>
    <row r="109" spans="1:7" ht="15.75" customHeight="1">
      <c r="A109" s="141"/>
      <c r="B109" s="154" t="s">
        <v>358</v>
      </c>
      <c r="C109" s="147">
        <f>SUM(C91:C108)</f>
        <v>79173092</v>
      </c>
      <c r="D109" s="147">
        <f>SUM(D91:D108)</f>
        <v>84847630</v>
      </c>
      <c r="E109" s="147">
        <f t="shared" si="4"/>
        <v>5674538</v>
      </c>
      <c r="F109" s="148">
        <f t="shared" si="5"/>
        <v>0.07167255764117435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241</v>
      </c>
      <c r="B111" s="145" t="s">
        <v>359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360</v>
      </c>
      <c r="C112" s="146">
        <v>760530</v>
      </c>
      <c r="D112" s="146">
        <v>829776</v>
      </c>
      <c r="E112" s="146">
        <f aca="true" t="shared" si="6" ref="E112:E118">D112-C112</f>
        <v>69246</v>
      </c>
      <c r="F112" s="150">
        <f aca="true" t="shared" si="7" ref="F112:F118">IF(C112=0,0,E112/C112)</f>
        <v>0.09104966273519782</v>
      </c>
      <c r="G112" s="155"/>
    </row>
    <row r="113" spans="1:7" ht="15" customHeight="1">
      <c r="A113" s="141">
        <v>2</v>
      </c>
      <c r="B113" s="161" t="s">
        <v>361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>
      <c r="A114" s="141">
        <v>3</v>
      </c>
      <c r="B114" s="161" t="s">
        <v>362</v>
      </c>
      <c r="C114" s="146">
        <v>1834510</v>
      </c>
      <c r="D114" s="146">
        <v>1838072</v>
      </c>
      <c r="E114" s="146">
        <f t="shared" si="6"/>
        <v>3562</v>
      </c>
      <c r="F114" s="150">
        <f t="shared" si="7"/>
        <v>0.0019416628963592458</v>
      </c>
      <c r="G114" s="155"/>
    </row>
    <row r="115" spans="1:7" ht="15" customHeight="1">
      <c r="A115" s="141">
        <v>4</v>
      </c>
      <c r="B115" s="161" t="s">
        <v>363</v>
      </c>
      <c r="C115" s="146">
        <v>1720060</v>
      </c>
      <c r="D115" s="146">
        <v>1775338</v>
      </c>
      <c r="E115" s="146">
        <f t="shared" si="6"/>
        <v>55278</v>
      </c>
      <c r="F115" s="150">
        <f t="shared" si="7"/>
        <v>0.032137251026126995</v>
      </c>
      <c r="G115" s="155"/>
    </row>
    <row r="116" spans="1:7" ht="15" customHeight="1">
      <c r="A116" s="141">
        <v>5</v>
      </c>
      <c r="B116" s="161" t="s">
        <v>364</v>
      </c>
      <c r="C116" s="146">
        <v>407571</v>
      </c>
      <c r="D116" s="146">
        <v>372657</v>
      </c>
      <c r="E116" s="146">
        <f t="shared" si="6"/>
        <v>-34914</v>
      </c>
      <c r="F116" s="150">
        <f t="shared" si="7"/>
        <v>-0.08566360216992867</v>
      </c>
      <c r="G116" s="155"/>
    </row>
    <row r="117" spans="1:7" ht="15" customHeight="1">
      <c r="A117" s="141">
        <v>6</v>
      </c>
      <c r="B117" s="161" t="s">
        <v>365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>
      <c r="A118" s="141"/>
      <c r="B118" s="154" t="s">
        <v>366</v>
      </c>
      <c r="C118" s="147">
        <f>SUM(C112:C117)</f>
        <v>4722671</v>
      </c>
      <c r="D118" s="147">
        <f>SUM(D112:D117)</f>
        <v>4815843</v>
      </c>
      <c r="E118" s="147">
        <f t="shared" si="6"/>
        <v>93172</v>
      </c>
      <c r="F118" s="148">
        <f t="shared" si="7"/>
        <v>0.01972866625687032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258</v>
      </c>
      <c r="B120" s="145" t="s">
        <v>367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368</v>
      </c>
      <c r="C121" s="146">
        <v>12316051</v>
      </c>
      <c r="D121" s="146">
        <v>12359237</v>
      </c>
      <c r="E121" s="146">
        <f aca="true" t="shared" si="8" ref="E121:E155">D121-C121</f>
        <v>43186</v>
      </c>
      <c r="F121" s="150">
        <f aca="true" t="shared" si="9" ref="F121:F155">IF(C121=0,0,E121/C121)</f>
        <v>0.0035064810952796475</v>
      </c>
      <c r="G121" s="155"/>
    </row>
    <row r="122" spans="1:7" ht="15" customHeight="1">
      <c r="A122" s="141">
        <v>2</v>
      </c>
      <c r="B122" s="161" t="s">
        <v>369</v>
      </c>
      <c r="C122" s="146">
        <v>1037039</v>
      </c>
      <c r="D122" s="146">
        <v>1154841</v>
      </c>
      <c r="E122" s="146">
        <f t="shared" si="8"/>
        <v>117802</v>
      </c>
      <c r="F122" s="150">
        <f t="shared" si="9"/>
        <v>0.11359457069599119</v>
      </c>
      <c r="G122" s="155"/>
    </row>
    <row r="123" spans="1:7" ht="15" customHeight="1">
      <c r="A123" s="141">
        <v>3</v>
      </c>
      <c r="B123" s="161" t="s">
        <v>370</v>
      </c>
      <c r="C123" s="146">
        <v>832685</v>
      </c>
      <c r="D123" s="146">
        <v>720211</v>
      </c>
      <c r="E123" s="146">
        <f t="shared" si="8"/>
        <v>-112474</v>
      </c>
      <c r="F123" s="150">
        <f t="shared" si="9"/>
        <v>-0.13507388748446292</v>
      </c>
      <c r="G123" s="155"/>
    </row>
    <row r="124" spans="1:7" ht="15" customHeight="1">
      <c r="A124" s="141">
        <v>4</v>
      </c>
      <c r="B124" s="161" t="s">
        <v>371</v>
      </c>
      <c r="C124" s="146">
        <v>1967727</v>
      </c>
      <c r="D124" s="146">
        <v>2949018</v>
      </c>
      <c r="E124" s="146">
        <f t="shared" si="8"/>
        <v>981291</v>
      </c>
      <c r="F124" s="150">
        <f t="shared" si="9"/>
        <v>0.49869265401145585</v>
      </c>
      <c r="G124" s="155"/>
    </row>
    <row r="125" spans="1:7" ht="15" customHeight="1">
      <c r="A125" s="141">
        <v>5</v>
      </c>
      <c r="B125" s="161" t="s">
        <v>372</v>
      </c>
      <c r="C125" s="146">
        <v>2765006</v>
      </c>
      <c r="D125" s="146">
        <v>2823486</v>
      </c>
      <c r="E125" s="146">
        <f t="shared" si="8"/>
        <v>58480</v>
      </c>
      <c r="F125" s="150">
        <f t="shared" si="9"/>
        <v>0.02115004452069905</v>
      </c>
      <c r="G125" s="155"/>
    </row>
    <row r="126" spans="1:7" ht="15" customHeight="1">
      <c r="A126" s="141">
        <v>6</v>
      </c>
      <c r="B126" s="161" t="s">
        <v>373</v>
      </c>
      <c r="C126" s="146">
        <v>527156</v>
      </c>
      <c r="D126" s="146">
        <v>458115</v>
      </c>
      <c r="E126" s="146">
        <f t="shared" si="8"/>
        <v>-69041</v>
      </c>
      <c r="F126" s="150">
        <f t="shared" si="9"/>
        <v>-0.13096882137355925</v>
      </c>
      <c r="G126" s="155"/>
    </row>
    <row r="127" spans="1:7" ht="15" customHeight="1">
      <c r="A127" s="141">
        <v>7</v>
      </c>
      <c r="B127" s="161" t="s">
        <v>374</v>
      </c>
      <c r="C127" s="146">
        <v>0</v>
      </c>
      <c r="D127" s="146">
        <v>0</v>
      </c>
      <c r="E127" s="146">
        <f t="shared" si="8"/>
        <v>0</v>
      </c>
      <c r="F127" s="150">
        <f t="shared" si="9"/>
        <v>0</v>
      </c>
      <c r="G127" s="155"/>
    </row>
    <row r="128" spans="1:7" ht="15" customHeight="1">
      <c r="A128" s="141">
        <v>8</v>
      </c>
      <c r="B128" s="161" t="s">
        <v>375</v>
      </c>
      <c r="C128" s="146">
        <v>766759</v>
      </c>
      <c r="D128" s="146">
        <v>695830</v>
      </c>
      <c r="E128" s="146">
        <f t="shared" si="8"/>
        <v>-70929</v>
      </c>
      <c r="F128" s="150">
        <f t="shared" si="9"/>
        <v>-0.09250494614344272</v>
      </c>
      <c r="G128" s="155"/>
    </row>
    <row r="129" spans="1:7" ht="15" customHeight="1">
      <c r="A129" s="141">
        <v>9</v>
      </c>
      <c r="B129" s="161" t="s">
        <v>376</v>
      </c>
      <c r="C129" s="146">
        <v>893784</v>
      </c>
      <c r="D129" s="146">
        <v>898048</v>
      </c>
      <c r="E129" s="146">
        <f t="shared" si="8"/>
        <v>4264</v>
      </c>
      <c r="F129" s="150">
        <f t="shared" si="9"/>
        <v>0.0047707276030897845</v>
      </c>
      <c r="G129" s="155"/>
    </row>
    <row r="130" spans="1:7" ht="15" customHeight="1">
      <c r="A130" s="141">
        <v>10</v>
      </c>
      <c r="B130" s="161" t="s">
        <v>377</v>
      </c>
      <c r="C130" s="146">
        <v>11295824</v>
      </c>
      <c r="D130" s="146">
        <v>12027896</v>
      </c>
      <c r="E130" s="146">
        <f t="shared" si="8"/>
        <v>732072</v>
      </c>
      <c r="F130" s="150">
        <f t="shared" si="9"/>
        <v>0.06480908342764548</v>
      </c>
      <c r="G130" s="155"/>
    </row>
    <row r="131" spans="1:7" ht="15" customHeight="1">
      <c r="A131" s="141">
        <v>11</v>
      </c>
      <c r="B131" s="161" t="s">
        <v>378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>
      <c r="A132" s="141">
        <v>12</v>
      </c>
      <c r="B132" s="161" t="s">
        <v>379</v>
      </c>
      <c r="C132" s="146">
        <v>1437798</v>
      </c>
      <c r="D132" s="146">
        <v>1526725</v>
      </c>
      <c r="E132" s="146">
        <f t="shared" si="8"/>
        <v>88927</v>
      </c>
      <c r="F132" s="150">
        <f t="shared" si="9"/>
        <v>0.061849439211905985</v>
      </c>
      <c r="G132" s="155"/>
    </row>
    <row r="133" spans="1:7" ht="15" customHeight="1">
      <c r="A133" s="141">
        <v>13</v>
      </c>
      <c r="B133" s="161" t="s">
        <v>380</v>
      </c>
      <c r="C133" s="146">
        <v>259654</v>
      </c>
      <c r="D133" s="146">
        <v>252466</v>
      </c>
      <c r="E133" s="146">
        <f t="shared" si="8"/>
        <v>-7188</v>
      </c>
      <c r="F133" s="150">
        <f t="shared" si="9"/>
        <v>-0.027682993522148706</v>
      </c>
      <c r="G133" s="155"/>
    </row>
    <row r="134" spans="1:7" ht="15" customHeight="1">
      <c r="A134" s="141">
        <v>14</v>
      </c>
      <c r="B134" s="161" t="s">
        <v>381</v>
      </c>
      <c r="C134" s="146">
        <v>50289</v>
      </c>
      <c r="D134" s="146">
        <v>53066</v>
      </c>
      <c r="E134" s="146">
        <f t="shared" si="8"/>
        <v>2777</v>
      </c>
      <c r="F134" s="150">
        <f t="shared" si="9"/>
        <v>0.05522082363936447</v>
      </c>
      <c r="G134" s="155"/>
    </row>
    <row r="135" spans="1:7" ht="15" customHeight="1">
      <c r="A135" s="141">
        <v>15</v>
      </c>
      <c r="B135" s="161" t="s">
        <v>382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>
      <c r="A136" s="141">
        <v>16</v>
      </c>
      <c r="B136" s="161" t="s">
        <v>383</v>
      </c>
      <c r="C136" s="146">
        <v>48641</v>
      </c>
      <c r="D136" s="146">
        <v>49168</v>
      </c>
      <c r="E136" s="146">
        <f t="shared" si="8"/>
        <v>527</v>
      </c>
      <c r="F136" s="150">
        <f t="shared" si="9"/>
        <v>0.010834481198988508</v>
      </c>
      <c r="G136" s="155"/>
    </row>
    <row r="137" spans="1:7" ht="15" customHeight="1">
      <c r="A137" s="141">
        <v>17</v>
      </c>
      <c r="B137" s="161" t="s">
        <v>384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385</v>
      </c>
      <c r="C138" s="146">
        <v>0</v>
      </c>
      <c r="D138" s="146">
        <v>0</v>
      </c>
      <c r="E138" s="146">
        <f t="shared" si="8"/>
        <v>0</v>
      </c>
      <c r="F138" s="150">
        <f t="shared" si="9"/>
        <v>0</v>
      </c>
      <c r="G138" s="155"/>
    </row>
    <row r="139" spans="1:7" ht="15" customHeight="1">
      <c r="A139" s="141">
        <v>19</v>
      </c>
      <c r="B139" s="161" t="s">
        <v>386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>
      <c r="A140" s="141">
        <v>20</v>
      </c>
      <c r="B140" s="161" t="s">
        <v>387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>
      <c r="A141" s="141">
        <v>21</v>
      </c>
      <c r="B141" s="161" t="s">
        <v>388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389</v>
      </c>
      <c r="C142" s="146">
        <v>3967717</v>
      </c>
      <c r="D142" s="146">
        <v>4140756</v>
      </c>
      <c r="E142" s="146">
        <f t="shared" si="8"/>
        <v>173039</v>
      </c>
      <c r="F142" s="150">
        <f t="shared" si="9"/>
        <v>0.04361172936477072</v>
      </c>
      <c r="G142" s="155"/>
    </row>
    <row r="143" spans="1:7" ht="15" customHeight="1">
      <c r="A143" s="141">
        <v>23</v>
      </c>
      <c r="B143" s="161" t="s">
        <v>390</v>
      </c>
      <c r="C143" s="146">
        <v>146261</v>
      </c>
      <c r="D143" s="146">
        <v>202035</v>
      </c>
      <c r="E143" s="146">
        <f t="shared" si="8"/>
        <v>55774</v>
      </c>
      <c r="F143" s="150">
        <f t="shared" si="9"/>
        <v>0.3813320023793082</v>
      </c>
      <c r="G143" s="155"/>
    </row>
    <row r="144" spans="1:7" ht="15" customHeight="1">
      <c r="A144" s="141">
        <v>24</v>
      </c>
      <c r="B144" s="161" t="s">
        <v>391</v>
      </c>
      <c r="C144" s="146">
        <v>8328859</v>
      </c>
      <c r="D144" s="146">
        <v>8702117</v>
      </c>
      <c r="E144" s="146">
        <f t="shared" si="8"/>
        <v>373258</v>
      </c>
      <c r="F144" s="150">
        <f t="shared" si="9"/>
        <v>0.04481502208165608</v>
      </c>
      <c r="G144" s="155"/>
    </row>
    <row r="145" spans="1:7" ht="15" customHeight="1">
      <c r="A145" s="141">
        <v>25</v>
      </c>
      <c r="B145" s="161" t="s">
        <v>392</v>
      </c>
      <c r="C145" s="146">
        <v>1169325</v>
      </c>
      <c r="D145" s="146">
        <v>341240</v>
      </c>
      <c r="E145" s="146">
        <f t="shared" si="8"/>
        <v>-828085</v>
      </c>
      <c r="F145" s="150">
        <f t="shared" si="9"/>
        <v>-0.7081735189104825</v>
      </c>
      <c r="G145" s="155"/>
    </row>
    <row r="146" spans="1:7" ht="15" customHeight="1">
      <c r="A146" s="141">
        <v>26</v>
      </c>
      <c r="B146" s="161" t="s">
        <v>393</v>
      </c>
      <c r="C146" s="146">
        <v>382126</v>
      </c>
      <c r="D146" s="146">
        <v>419400</v>
      </c>
      <c r="E146" s="146">
        <f t="shared" si="8"/>
        <v>37274</v>
      </c>
      <c r="F146" s="150">
        <f t="shared" si="9"/>
        <v>0.09754374211647467</v>
      </c>
      <c r="G146" s="155"/>
    </row>
    <row r="147" spans="1:7" ht="15" customHeight="1">
      <c r="A147" s="141">
        <v>27</v>
      </c>
      <c r="B147" s="161" t="s">
        <v>394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395</v>
      </c>
      <c r="C148" s="146">
        <v>3095136</v>
      </c>
      <c r="D148" s="146">
        <v>2712705</v>
      </c>
      <c r="E148" s="146">
        <f t="shared" si="8"/>
        <v>-382431</v>
      </c>
      <c r="F148" s="150">
        <f t="shared" si="9"/>
        <v>-0.12355870630563569</v>
      </c>
      <c r="G148" s="155"/>
    </row>
    <row r="149" spans="1:7" ht="15" customHeight="1">
      <c r="A149" s="141">
        <v>29</v>
      </c>
      <c r="B149" s="161" t="s">
        <v>396</v>
      </c>
      <c r="C149" s="146">
        <v>1153411</v>
      </c>
      <c r="D149" s="146">
        <v>1086901</v>
      </c>
      <c r="E149" s="146">
        <f t="shared" si="8"/>
        <v>-66510</v>
      </c>
      <c r="F149" s="150">
        <f t="shared" si="9"/>
        <v>-0.05766374692108884</v>
      </c>
      <c r="G149" s="155"/>
    </row>
    <row r="150" spans="1:7" ht="15" customHeight="1">
      <c r="A150" s="141">
        <v>30</v>
      </c>
      <c r="B150" s="161" t="s">
        <v>397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398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>
      <c r="A152" s="141">
        <v>32</v>
      </c>
      <c r="B152" s="161" t="s">
        <v>399</v>
      </c>
      <c r="C152" s="146">
        <v>1586714</v>
      </c>
      <c r="D152" s="146">
        <v>1635318</v>
      </c>
      <c r="E152" s="146">
        <f t="shared" si="8"/>
        <v>48604</v>
      </c>
      <c r="F152" s="150">
        <f t="shared" si="9"/>
        <v>0.030631859301676296</v>
      </c>
      <c r="G152" s="155"/>
    </row>
    <row r="153" spans="1:7" ht="15" customHeight="1">
      <c r="A153" s="141">
        <v>33</v>
      </c>
      <c r="B153" s="161" t="s">
        <v>400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>
      <c r="A154" s="141">
        <v>34</v>
      </c>
      <c r="B154" s="161" t="s">
        <v>401</v>
      </c>
      <c r="C154" s="146">
        <v>4491991</v>
      </c>
      <c r="D154" s="146">
        <v>4886146</v>
      </c>
      <c r="E154" s="146">
        <f t="shared" si="8"/>
        <v>394155</v>
      </c>
      <c r="F154" s="150">
        <f t="shared" si="9"/>
        <v>0.08774616868110377</v>
      </c>
      <c r="G154" s="155"/>
    </row>
    <row r="155" spans="1:7" ht="15.75" customHeight="1">
      <c r="A155" s="141"/>
      <c r="B155" s="154" t="s">
        <v>402</v>
      </c>
      <c r="C155" s="147">
        <f>SUM(C121:C154)</f>
        <v>58519953</v>
      </c>
      <c r="D155" s="147">
        <f>SUM(D121:D154)</f>
        <v>60094725</v>
      </c>
      <c r="E155" s="147">
        <f t="shared" si="8"/>
        <v>1574772</v>
      </c>
      <c r="F155" s="148">
        <f t="shared" si="9"/>
        <v>0.026910001106801983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288</v>
      </c>
      <c r="B157" s="145" t="s">
        <v>403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404</v>
      </c>
      <c r="C158" s="146">
        <v>6326271</v>
      </c>
      <c r="D158" s="146">
        <v>6823226</v>
      </c>
      <c r="E158" s="146">
        <f aca="true" t="shared" si="10" ref="E158:E171">D158-C158</f>
        <v>496955</v>
      </c>
      <c r="F158" s="150">
        <f aca="true" t="shared" si="11" ref="F158:F171">IF(C158=0,0,E158/C158)</f>
        <v>0.07855417512148942</v>
      </c>
      <c r="G158" s="155"/>
    </row>
    <row r="159" spans="1:7" ht="15" customHeight="1">
      <c r="A159" s="141">
        <v>2</v>
      </c>
      <c r="B159" s="161" t="s">
        <v>405</v>
      </c>
      <c r="C159" s="146">
        <v>5149204</v>
      </c>
      <c r="D159" s="146">
        <v>5949785</v>
      </c>
      <c r="E159" s="146">
        <f t="shared" si="10"/>
        <v>800581</v>
      </c>
      <c r="F159" s="150">
        <f t="shared" si="11"/>
        <v>0.15547665231363916</v>
      </c>
      <c r="G159" s="155"/>
    </row>
    <row r="160" spans="1:7" ht="15" customHeight="1">
      <c r="A160" s="141">
        <v>3</v>
      </c>
      <c r="B160" s="161" t="s">
        <v>406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407</v>
      </c>
      <c r="C161" s="146">
        <v>3572306</v>
      </c>
      <c r="D161" s="146">
        <v>3760980</v>
      </c>
      <c r="E161" s="146">
        <f t="shared" si="10"/>
        <v>188674</v>
      </c>
      <c r="F161" s="150">
        <f t="shared" si="11"/>
        <v>0.052815744227958074</v>
      </c>
      <c r="G161" s="155"/>
    </row>
    <row r="162" spans="1:7" ht="15" customHeight="1">
      <c r="A162" s="141">
        <v>5</v>
      </c>
      <c r="B162" s="161" t="s">
        <v>408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>
      <c r="A163" s="141">
        <v>6</v>
      </c>
      <c r="B163" s="161" t="s">
        <v>409</v>
      </c>
      <c r="C163" s="146">
        <v>1967726</v>
      </c>
      <c r="D163" s="146">
        <v>1266868</v>
      </c>
      <c r="E163" s="146">
        <f t="shared" si="10"/>
        <v>-700858</v>
      </c>
      <c r="F163" s="150">
        <f t="shared" si="11"/>
        <v>-0.35617662215166135</v>
      </c>
      <c r="G163" s="155"/>
    </row>
    <row r="164" spans="1:7" ht="15" customHeight="1">
      <c r="A164" s="141">
        <v>7</v>
      </c>
      <c r="B164" s="161" t="s">
        <v>410</v>
      </c>
      <c r="C164" s="146">
        <v>0</v>
      </c>
      <c r="D164" s="146">
        <v>0</v>
      </c>
      <c r="E164" s="146">
        <f t="shared" si="10"/>
        <v>0</v>
      </c>
      <c r="F164" s="150">
        <f t="shared" si="11"/>
        <v>0</v>
      </c>
      <c r="G164" s="155"/>
    </row>
    <row r="165" spans="1:7" ht="15" customHeight="1">
      <c r="A165" s="141">
        <v>8</v>
      </c>
      <c r="B165" s="161" t="s">
        <v>411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>
      <c r="A166" s="141">
        <v>9</v>
      </c>
      <c r="B166" s="161" t="s">
        <v>412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>
      <c r="A167" s="141">
        <v>10</v>
      </c>
      <c r="B167" s="161" t="s">
        <v>413</v>
      </c>
      <c r="C167" s="146">
        <v>1391485</v>
      </c>
      <c r="D167" s="146">
        <v>1472610</v>
      </c>
      <c r="E167" s="146">
        <f t="shared" si="10"/>
        <v>81125</v>
      </c>
      <c r="F167" s="150">
        <f t="shared" si="11"/>
        <v>0.05830102372645052</v>
      </c>
      <c r="G167" s="155"/>
    </row>
    <row r="168" spans="1:7" ht="15" customHeight="1">
      <c r="A168" s="141">
        <v>11</v>
      </c>
      <c r="B168" s="161" t="s">
        <v>414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415</v>
      </c>
      <c r="C169" s="146">
        <v>0</v>
      </c>
      <c r="D169" s="146">
        <v>0</v>
      </c>
      <c r="E169" s="146">
        <f t="shared" si="10"/>
        <v>0</v>
      </c>
      <c r="F169" s="150">
        <f t="shared" si="11"/>
        <v>0</v>
      </c>
      <c r="G169" s="155"/>
    </row>
    <row r="170" spans="1:7" ht="15" customHeight="1">
      <c r="A170" s="141">
        <v>13</v>
      </c>
      <c r="B170" s="161" t="s">
        <v>416</v>
      </c>
      <c r="C170" s="146">
        <v>1102785</v>
      </c>
      <c r="D170" s="146">
        <v>985517</v>
      </c>
      <c r="E170" s="146">
        <f t="shared" si="10"/>
        <v>-117268</v>
      </c>
      <c r="F170" s="150">
        <f t="shared" si="11"/>
        <v>-0.106338044133716</v>
      </c>
      <c r="G170" s="155"/>
    </row>
    <row r="171" spans="1:7" ht="15.75" customHeight="1">
      <c r="A171" s="141"/>
      <c r="B171" s="154" t="s">
        <v>417</v>
      </c>
      <c r="C171" s="147">
        <f>SUM(C158:C170)</f>
        <v>19509777</v>
      </c>
      <c r="D171" s="147">
        <f>SUM(D158:D170)</f>
        <v>20258986</v>
      </c>
      <c r="E171" s="147">
        <f t="shared" si="10"/>
        <v>749209</v>
      </c>
      <c r="F171" s="148">
        <f t="shared" si="11"/>
        <v>0.038401720327198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293</v>
      </c>
      <c r="B173" s="145" t="s">
        <v>418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419</v>
      </c>
      <c r="C174" s="146">
        <v>0</v>
      </c>
      <c r="D174" s="146">
        <v>0</v>
      </c>
      <c r="E174" s="146">
        <f>D174-C174</f>
        <v>0</v>
      </c>
      <c r="F174" s="150">
        <f>IF(C174=0,0,E174/C174)</f>
        <v>0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420</v>
      </c>
      <c r="C176" s="147">
        <f>+C174+C171+C155+C118+C109</f>
        <v>161925493</v>
      </c>
      <c r="D176" s="147">
        <f>+D174+D171+D155+D118+D109</f>
        <v>170017184</v>
      </c>
      <c r="E176" s="147">
        <f>D176-C176</f>
        <v>8091691</v>
      </c>
      <c r="F176" s="148">
        <f>IF(C176=0,0,E176/C176)</f>
        <v>0.04997169284517788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116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FILING&amp;RMANCHESTER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117</v>
      </c>
      <c r="C1" s="3"/>
      <c r="D1" s="3"/>
      <c r="E1" s="4"/>
      <c r="F1" s="5"/>
    </row>
    <row r="2" spans="1:6" ht="24" customHeight="1">
      <c r="A2" s="35"/>
      <c r="B2" s="3" t="s">
        <v>118</v>
      </c>
      <c r="C2" s="3"/>
      <c r="D2" s="3"/>
      <c r="E2" s="4"/>
      <c r="F2" s="5"/>
    </row>
    <row r="3" spans="1:6" ht="24" customHeight="1">
      <c r="A3" s="35"/>
      <c r="B3" s="3" t="s">
        <v>119</v>
      </c>
      <c r="C3" s="3"/>
      <c r="D3" s="3"/>
      <c r="E3" s="4"/>
      <c r="F3" s="5"/>
    </row>
    <row r="4" spans="1:6" ht="24" customHeight="1">
      <c r="A4" s="35"/>
      <c r="B4" s="3" t="s">
        <v>421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127</v>
      </c>
      <c r="D7" s="11" t="s">
        <v>127</v>
      </c>
      <c r="E7" s="11" t="s">
        <v>127</v>
      </c>
      <c r="F7" s="11"/>
    </row>
    <row r="8" spans="1:6" ht="24" customHeight="1">
      <c r="A8" s="13" t="s">
        <v>125</v>
      </c>
      <c r="B8" s="16" t="s">
        <v>126</v>
      </c>
      <c r="C8" s="13" t="s">
        <v>422</v>
      </c>
      <c r="D8" s="13" t="s">
        <v>121</v>
      </c>
      <c r="E8" s="13" t="s">
        <v>122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131</v>
      </c>
      <c r="B10" s="30" t="s">
        <v>423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192</v>
      </c>
      <c r="C11" s="51">
        <v>149979081</v>
      </c>
      <c r="D11" s="164">
        <v>158787196</v>
      </c>
      <c r="E11" s="51">
        <v>167264862</v>
      </c>
      <c r="F11" s="13"/>
    </row>
    <row r="12" spans="1:6" ht="24" customHeight="1">
      <c r="A12" s="44">
        <v>2</v>
      </c>
      <c r="B12" s="165" t="s">
        <v>424</v>
      </c>
      <c r="C12" s="49">
        <v>12504852</v>
      </c>
      <c r="D12" s="49">
        <v>12748275</v>
      </c>
      <c r="E12" s="49">
        <v>10165345</v>
      </c>
      <c r="F12" s="13"/>
    </row>
    <row r="13" spans="1:6" ht="24" customHeight="1">
      <c r="A13" s="44">
        <v>3</v>
      </c>
      <c r="B13" s="48" t="s">
        <v>195</v>
      </c>
      <c r="C13" s="51">
        <f>+C11+C12</f>
        <v>162483933</v>
      </c>
      <c r="D13" s="51">
        <f>+D11+D12</f>
        <v>171535471</v>
      </c>
      <c r="E13" s="51">
        <f>+E11+E12</f>
        <v>177430207</v>
      </c>
      <c r="F13" s="13"/>
    </row>
    <row r="14" spans="1:6" ht="24" customHeight="1">
      <c r="A14" s="44">
        <v>4</v>
      </c>
      <c r="B14" s="166" t="s">
        <v>206</v>
      </c>
      <c r="C14" s="49">
        <v>159620350</v>
      </c>
      <c r="D14" s="49">
        <v>161925493</v>
      </c>
      <c r="E14" s="49">
        <v>170017184</v>
      </c>
      <c r="F14" s="13"/>
    </row>
    <row r="15" spans="1:6" ht="24" customHeight="1">
      <c r="A15" s="44">
        <v>5</v>
      </c>
      <c r="B15" s="48" t="s">
        <v>207</v>
      </c>
      <c r="C15" s="51">
        <f>+C13-C14</f>
        <v>2863583</v>
      </c>
      <c r="D15" s="51">
        <f>+D13-D14</f>
        <v>9609978</v>
      </c>
      <c r="E15" s="51">
        <f>+E13-E14</f>
        <v>7413023</v>
      </c>
      <c r="F15" s="13"/>
    </row>
    <row r="16" spans="1:6" ht="24" customHeight="1">
      <c r="A16" s="44">
        <v>6</v>
      </c>
      <c r="B16" s="166" t="s">
        <v>212</v>
      </c>
      <c r="C16" s="49">
        <v>266916</v>
      </c>
      <c r="D16" s="49">
        <v>-686641</v>
      </c>
      <c r="E16" s="49">
        <v>-1467453</v>
      </c>
      <c r="F16" s="13"/>
    </row>
    <row r="17" spans="1:6" ht="24" customHeight="1">
      <c r="A17" s="44">
        <v>7</v>
      </c>
      <c r="B17" s="45" t="s">
        <v>425</v>
      </c>
      <c r="C17" s="51">
        <f>C15+C16</f>
        <v>3130499</v>
      </c>
      <c r="D17" s="51">
        <f>D15+D16</f>
        <v>8923337</v>
      </c>
      <c r="E17" s="51">
        <f>E15+E16</f>
        <v>5945570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143</v>
      </c>
      <c r="B19" s="30" t="s">
        <v>426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427</v>
      </c>
      <c r="C20" s="169">
        <f>IF(+C27=0,0,+C24/+C27)</f>
        <v>0.017594888245406327</v>
      </c>
      <c r="D20" s="169">
        <f>IF(+D27=0,0,+D24/+D27)</f>
        <v>0.05624842733778159</v>
      </c>
      <c r="E20" s="169">
        <f>IF(+E27=0,0,+E24/+E27)</f>
        <v>0.04212836427872685</v>
      </c>
      <c r="F20" s="13"/>
    </row>
    <row r="21" spans="1:6" ht="24" customHeight="1">
      <c r="A21" s="25">
        <v>2</v>
      </c>
      <c r="B21" s="48" t="s">
        <v>428</v>
      </c>
      <c r="C21" s="169">
        <f>IF(C27=0,0,+C26/C27)</f>
        <v>0.001640028311004387</v>
      </c>
      <c r="D21" s="169">
        <f>IF(D27=0,0,+D26/D27)</f>
        <v>-0.004018997379145061</v>
      </c>
      <c r="E21" s="169">
        <f>IF(E27=0,0,+E26/E27)</f>
        <v>-0.008339565997017755</v>
      </c>
      <c r="F21" s="13"/>
    </row>
    <row r="22" spans="1:6" ht="24" customHeight="1">
      <c r="A22" s="25">
        <v>3</v>
      </c>
      <c r="B22" s="48" t="s">
        <v>429</v>
      </c>
      <c r="C22" s="169">
        <f>IF(C27=0,0,+C28/C27)</f>
        <v>0.019234916556410714</v>
      </c>
      <c r="D22" s="169">
        <f>IF(D27=0,0,+D28/D27)</f>
        <v>0.05222942995863653</v>
      </c>
      <c r="E22" s="169">
        <f>IF(E27=0,0,+E28/E27)</f>
        <v>0.033788798281709095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207</v>
      </c>
      <c r="C24" s="51">
        <f>+C15</f>
        <v>2863583</v>
      </c>
      <c r="D24" s="51">
        <f>+D15</f>
        <v>9609978</v>
      </c>
      <c r="E24" s="51">
        <f>+E15</f>
        <v>7413023</v>
      </c>
      <c r="F24" s="13"/>
    </row>
    <row r="25" spans="1:6" ht="24" customHeight="1">
      <c r="A25" s="21">
        <v>5</v>
      </c>
      <c r="B25" s="48" t="s">
        <v>195</v>
      </c>
      <c r="C25" s="51">
        <f>+C13</f>
        <v>162483933</v>
      </c>
      <c r="D25" s="51">
        <f>+D13</f>
        <v>171535471</v>
      </c>
      <c r="E25" s="51">
        <f>+E13</f>
        <v>177430207</v>
      </c>
      <c r="F25" s="13"/>
    </row>
    <row r="26" spans="1:6" ht="24" customHeight="1">
      <c r="A26" s="21">
        <v>6</v>
      </c>
      <c r="B26" s="48" t="s">
        <v>212</v>
      </c>
      <c r="C26" s="51">
        <f>+C16</f>
        <v>266916</v>
      </c>
      <c r="D26" s="51">
        <f>+D16</f>
        <v>-686641</v>
      </c>
      <c r="E26" s="51">
        <f>+E16</f>
        <v>-1467453</v>
      </c>
      <c r="F26" s="13"/>
    </row>
    <row r="27" spans="1:6" ht="24" customHeight="1">
      <c r="A27" s="21">
        <v>7</v>
      </c>
      <c r="B27" s="48" t="s">
        <v>430</v>
      </c>
      <c r="C27" s="51">
        <f>+C25+C26</f>
        <v>162750849</v>
      </c>
      <c r="D27" s="51">
        <f>+D25+D26</f>
        <v>170848830</v>
      </c>
      <c r="E27" s="51">
        <f>+E25+E26</f>
        <v>175962754</v>
      </c>
      <c r="F27" s="13"/>
    </row>
    <row r="28" spans="1:6" ht="24" customHeight="1">
      <c r="A28" s="21">
        <v>8</v>
      </c>
      <c r="B28" s="45" t="s">
        <v>425</v>
      </c>
      <c r="C28" s="51">
        <f>+C17</f>
        <v>3130499</v>
      </c>
      <c r="D28" s="51">
        <f>+D17</f>
        <v>8923337</v>
      </c>
      <c r="E28" s="51">
        <f>+E17</f>
        <v>5945570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153</v>
      </c>
      <c r="B30" s="41" t="s">
        <v>431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432</v>
      </c>
      <c r="C31" s="51">
        <v>25263048</v>
      </c>
      <c r="D31" s="51">
        <v>28644838</v>
      </c>
      <c r="E31" s="51">
        <v>12898050</v>
      </c>
      <c r="F31" s="13"/>
    </row>
    <row r="32" spans="1:6" ht="24" customHeight="1">
      <c r="A32" s="25">
        <v>2</v>
      </c>
      <c r="B32" s="48" t="s">
        <v>433</v>
      </c>
      <c r="C32" s="51">
        <v>35762930</v>
      </c>
      <c r="D32" s="51">
        <v>38639896</v>
      </c>
      <c r="E32" s="51">
        <v>21927867</v>
      </c>
      <c r="F32" s="13"/>
    </row>
    <row r="33" spans="1:6" ht="24" customHeight="1">
      <c r="A33" s="25">
        <v>3</v>
      </c>
      <c r="B33" s="48" t="s">
        <v>434</v>
      </c>
      <c r="C33" s="51">
        <v>35762930</v>
      </c>
      <c r="D33" s="51">
        <f>+D32-C32</f>
        <v>2876966</v>
      </c>
      <c r="E33" s="51">
        <f>+E32-D32</f>
        <v>-16712029</v>
      </c>
      <c r="F33" s="5"/>
    </row>
    <row r="34" spans="1:6" ht="24" customHeight="1">
      <c r="A34" s="25">
        <v>4</v>
      </c>
      <c r="B34" s="48" t="s">
        <v>435</v>
      </c>
      <c r="C34" s="171">
        <v>0</v>
      </c>
      <c r="D34" s="171">
        <f>IF(C32=0,0,+D33/C32)</f>
        <v>0.08044547804108891</v>
      </c>
      <c r="E34" s="171">
        <f>IF(D32=0,0,+E33/D32)</f>
        <v>-0.43250709059879455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436</v>
      </c>
      <c r="B36" s="41" t="s">
        <v>437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438</v>
      </c>
      <c r="C38" s="172">
        <f>IF((C40+C41)=0,0,+C39/(C40+C41))</f>
        <v>0.43290508424924967</v>
      </c>
      <c r="D38" s="172">
        <f>IF((D40+D41)=0,0,+D39/(D40+D41))</f>
        <v>0.3860672034921531</v>
      </c>
      <c r="E38" s="172">
        <f>IF((E40+E41)=0,0,+E39/(E40+E41))</f>
        <v>0.40453577727559603</v>
      </c>
      <c r="F38" s="5"/>
    </row>
    <row r="39" spans="1:6" ht="24" customHeight="1">
      <c r="A39" s="21">
        <v>2</v>
      </c>
      <c r="B39" s="48" t="s">
        <v>439</v>
      </c>
      <c r="C39" s="51">
        <v>153544374</v>
      </c>
      <c r="D39" s="51">
        <v>155638490</v>
      </c>
      <c r="E39" s="23">
        <v>170017184</v>
      </c>
      <c r="F39" s="5"/>
    </row>
    <row r="40" spans="1:6" ht="24" customHeight="1">
      <c r="A40" s="21">
        <v>3</v>
      </c>
      <c r="B40" s="48" t="s">
        <v>440</v>
      </c>
      <c r="C40" s="51">
        <v>342217300</v>
      </c>
      <c r="D40" s="51">
        <v>390427455</v>
      </c>
      <c r="E40" s="23">
        <v>410211496</v>
      </c>
      <c r="F40" s="5"/>
    </row>
    <row r="41" spans="1:6" ht="24" customHeight="1">
      <c r="A41" s="21">
        <v>4</v>
      </c>
      <c r="B41" s="48" t="s">
        <v>441</v>
      </c>
      <c r="C41" s="51">
        <v>12466393</v>
      </c>
      <c r="D41" s="51">
        <v>12710881</v>
      </c>
      <c r="E41" s="23">
        <v>10065754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442</v>
      </c>
      <c r="C43" s="173">
        <f>IF(C38=0,0,IF((C46-C47)=0,0,((+C44-C45)/(C46-C47)/C38)))</f>
        <v>1.1917744918818751</v>
      </c>
      <c r="D43" s="173">
        <f>IF(D38=0,0,IF((D46-D47)=0,0,((+D44-D45)/(D46-D47)/D38)))</f>
        <v>1.2398982172990154</v>
      </c>
      <c r="E43" s="173">
        <f>IF(E38=0,0,IF((E46-E47)=0,0,((+E44-E45)/(E46-E47)/E38)))</f>
        <v>1.167105247705224</v>
      </c>
      <c r="F43" s="5"/>
    </row>
    <row r="44" spans="1:6" ht="24" customHeight="1">
      <c r="A44" s="21">
        <v>6</v>
      </c>
      <c r="B44" s="48" t="s">
        <v>443</v>
      </c>
      <c r="C44" s="51">
        <v>80656170</v>
      </c>
      <c r="D44" s="51">
        <v>84486715</v>
      </c>
      <c r="E44" s="23">
        <v>82007197</v>
      </c>
      <c r="F44" s="5"/>
    </row>
    <row r="45" spans="1:6" ht="24" customHeight="1">
      <c r="A45" s="21">
        <v>7</v>
      </c>
      <c r="B45" s="48" t="s">
        <v>444</v>
      </c>
      <c r="C45" s="51">
        <v>4497229</v>
      </c>
      <c r="D45" s="51">
        <v>2403734</v>
      </c>
      <c r="E45" s="23">
        <v>3455438</v>
      </c>
      <c r="F45" s="5"/>
    </row>
    <row r="46" spans="1:6" ht="24" customHeight="1">
      <c r="A46" s="21">
        <v>8</v>
      </c>
      <c r="B46" s="48" t="s">
        <v>445</v>
      </c>
      <c r="C46" s="51">
        <v>159786021</v>
      </c>
      <c r="D46" s="51">
        <v>179797206</v>
      </c>
      <c r="E46" s="23">
        <v>178865005</v>
      </c>
      <c r="F46" s="5"/>
    </row>
    <row r="47" spans="1:6" ht="24" customHeight="1">
      <c r="A47" s="21">
        <v>9</v>
      </c>
      <c r="B47" s="48" t="s">
        <v>446</v>
      </c>
      <c r="C47" s="51">
        <v>12169786</v>
      </c>
      <c r="D47" s="51">
        <v>8320878</v>
      </c>
      <c r="E47" s="174">
        <v>12489665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447</v>
      </c>
      <c r="C49" s="175">
        <f>IF(C38=0,0,IF(C51=0,0,(C50/C51)/C38))</f>
        <v>0.8259019899989876</v>
      </c>
      <c r="D49" s="175">
        <f>IF(D38=0,0,IF(D51=0,0,(D50/D51)/D38))</f>
        <v>0.8525815576611048</v>
      </c>
      <c r="E49" s="175">
        <f>IF(E38=0,0,IF(E51=0,0,(E50/E51)/E38))</f>
        <v>0.8346225352473416</v>
      </c>
      <c r="F49" s="7"/>
    </row>
    <row r="50" spans="1:6" ht="24" customHeight="1">
      <c r="A50" s="21">
        <v>11</v>
      </c>
      <c r="B50" s="48" t="s">
        <v>448</v>
      </c>
      <c r="C50" s="176">
        <v>52703688</v>
      </c>
      <c r="D50" s="176">
        <v>54101020</v>
      </c>
      <c r="E50" s="176">
        <v>60626146</v>
      </c>
      <c r="F50" s="11"/>
    </row>
    <row r="51" spans="1:6" ht="24" customHeight="1">
      <c r="A51" s="21">
        <v>12</v>
      </c>
      <c r="B51" s="48" t="s">
        <v>449</v>
      </c>
      <c r="C51" s="176">
        <v>147407577</v>
      </c>
      <c r="D51" s="176">
        <v>164363965</v>
      </c>
      <c r="E51" s="176">
        <v>179561373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450</v>
      </c>
      <c r="C53" s="175">
        <f>IF(C38=0,0,IF(C55=0,0,(C54/C55)/C38))</f>
        <v>0.6721610267573238</v>
      </c>
      <c r="D53" s="175">
        <f>IF(D38=0,0,IF(D55=0,0,(D54/D55)/D38))</f>
        <v>0.7637220271006931</v>
      </c>
      <c r="E53" s="175">
        <f>IF(E38=0,0,IF(E55=0,0,(E54/E55)/E38))</f>
        <v>0.7489319333084812</v>
      </c>
      <c r="F53" s="13"/>
    </row>
    <row r="54" spans="1:6" ht="24" customHeight="1">
      <c r="A54" s="21">
        <v>14</v>
      </c>
      <c r="B54" s="48" t="s">
        <v>451</v>
      </c>
      <c r="C54" s="176">
        <v>8048059</v>
      </c>
      <c r="D54" s="176">
        <v>10234972</v>
      </c>
      <c r="E54" s="176">
        <v>11951453</v>
      </c>
      <c r="F54" s="13"/>
    </row>
    <row r="55" spans="1:6" ht="24" customHeight="1">
      <c r="A55" s="21">
        <v>15</v>
      </c>
      <c r="B55" s="48" t="s">
        <v>452</v>
      </c>
      <c r="C55" s="176">
        <v>27658278</v>
      </c>
      <c r="D55" s="176">
        <v>34712703</v>
      </c>
      <c r="E55" s="176">
        <v>39447676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453</v>
      </c>
      <c r="C57" s="53">
        <f>+C60*C38</f>
        <v>3303618.612614361</v>
      </c>
      <c r="D57" s="53">
        <f>+D60*D38</f>
        <v>3153039.8059606766</v>
      </c>
      <c r="E57" s="53">
        <f>+E60*E38</f>
        <v>3767738.623028146</v>
      </c>
      <c r="F57" s="13"/>
    </row>
    <row r="58" spans="1:6" ht="24" customHeight="1">
      <c r="A58" s="21">
        <v>17</v>
      </c>
      <c r="B58" s="48" t="s">
        <v>454</v>
      </c>
      <c r="C58" s="51">
        <v>1555301</v>
      </c>
      <c r="D58" s="51">
        <v>1880071</v>
      </c>
      <c r="E58" s="52">
        <v>1418730</v>
      </c>
      <c r="F58" s="28"/>
    </row>
    <row r="59" spans="1:6" ht="24" customHeight="1">
      <c r="A59" s="21">
        <v>18</v>
      </c>
      <c r="B59" s="48" t="s">
        <v>202</v>
      </c>
      <c r="C59" s="51">
        <v>6075976</v>
      </c>
      <c r="D59" s="51">
        <v>6287004</v>
      </c>
      <c r="E59" s="52">
        <v>7895004</v>
      </c>
      <c r="F59" s="28"/>
    </row>
    <row r="60" spans="1:6" ht="24" customHeight="1">
      <c r="A60" s="21">
        <v>19</v>
      </c>
      <c r="B60" s="48" t="s">
        <v>455</v>
      </c>
      <c r="C60" s="51">
        <v>7631277</v>
      </c>
      <c r="D60" s="51">
        <v>8167075</v>
      </c>
      <c r="E60" s="52">
        <v>9313734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456</v>
      </c>
      <c r="C62" s="178">
        <f>IF(C63=0,0,+C57/C63)</f>
        <v>0.0215157255622688</v>
      </c>
      <c r="D62" s="178">
        <f>IF(D63=0,0,+D57/D63)</f>
        <v>0.020258740662163176</v>
      </c>
      <c r="E62" s="178">
        <f>IF(E63=0,0,+E57/E63)</f>
        <v>0.022160928291978688</v>
      </c>
      <c r="F62" s="13"/>
    </row>
    <row r="63" spans="1:6" ht="24" customHeight="1">
      <c r="A63" s="21">
        <v>21</v>
      </c>
      <c r="B63" s="45" t="s">
        <v>439</v>
      </c>
      <c r="C63" s="176">
        <v>153544374</v>
      </c>
      <c r="D63" s="176">
        <v>155638490</v>
      </c>
      <c r="E63" s="176">
        <v>170017184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457</v>
      </c>
      <c r="B65" s="41" t="s">
        <v>458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459</v>
      </c>
      <c r="C67" s="179">
        <f>IF(C69=0,0,C68/C69)</f>
        <v>0.8507049231612143</v>
      </c>
      <c r="D67" s="179">
        <f>IF(D69=0,0,D68/D69)</f>
        <v>1.3653520668791923</v>
      </c>
      <c r="E67" s="179">
        <f>IF(E69=0,0,E68/E69)</f>
        <v>1.165222851594371</v>
      </c>
      <c r="F67" s="28"/>
    </row>
    <row r="68" spans="1:6" ht="24" customHeight="1">
      <c r="A68" s="21">
        <v>2</v>
      </c>
      <c r="B68" s="48" t="s">
        <v>142</v>
      </c>
      <c r="C68" s="180">
        <v>27476299</v>
      </c>
      <c r="D68" s="180">
        <v>55670943</v>
      </c>
      <c r="E68" s="180">
        <v>46072012</v>
      </c>
      <c r="F68" s="28"/>
    </row>
    <row r="69" spans="1:6" ht="24" customHeight="1">
      <c r="A69" s="21">
        <v>3</v>
      </c>
      <c r="B69" s="48" t="s">
        <v>171</v>
      </c>
      <c r="C69" s="180">
        <v>32298272</v>
      </c>
      <c r="D69" s="180">
        <v>40774057</v>
      </c>
      <c r="E69" s="180">
        <v>39539228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460</v>
      </c>
      <c r="C71" s="181">
        <f>IF((C77/365)=0,0,+C74/(C77/365))</f>
        <v>1.7126631025608468</v>
      </c>
      <c r="D71" s="181">
        <f>IF((D77/365)=0,0,+D74/(D77/365))</f>
        <v>19.242728984908563</v>
      </c>
      <c r="E71" s="181">
        <f>IF((E77/365)=0,0,+E74/(E77/365))</f>
        <v>24.047916188400613</v>
      </c>
      <c r="F71" s="28"/>
    </row>
    <row r="72" spans="1:6" ht="24" customHeight="1">
      <c r="A72" s="21">
        <v>5</v>
      </c>
      <c r="B72" s="22" t="s">
        <v>133</v>
      </c>
      <c r="C72" s="182">
        <v>713179</v>
      </c>
      <c r="D72" s="182">
        <v>8080207</v>
      </c>
      <c r="E72" s="182">
        <v>10660990</v>
      </c>
      <c r="F72" s="28"/>
    </row>
    <row r="73" spans="1:6" ht="24" customHeight="1">
      <c r="A73" s="21">
        <v>6</v>
      </c>
      <c r="B73" s="183" t="s">
        <v>134</v>
      </c>
      <c r="C73" s="184">
        <v>0</v>
      </c>
      <c r="D73" s="184">
        <v>0</v>
      </c>
      <c r="E73" s="184">
        <v>0</v>
      </c>
      <c r="F73" s="28"/>
    </row>
    <row r="74" spans="1:6" ht="24" customHeight="1">
      <c r="A74" s="21">
        <v>7</v>
      </c>
      <c r="B74" s="48" t="s">
        <v>461</v>
      </c>
      <c r="C74" s="180">
        <f>+C72+C73</f>
        <v>713179</v>
      </c>
      <c r="D74" s="180">
        <f>+D72+D73</f>
        <v>8080207</v>
      </c>
      <c r="E74" s="180">
        <f>+E72+E73</f>
        <v>10660990</v>
      </c>
      <c r="F74" s="28"/>
    </row>
    <row r="75" spans="1:6" ht="24" customHeight="1">
      <c r="A75" s="21">
        <v>8</v>
      </c>
      <c r="B75" s="48" t="s">
        <v>439</v>
      </c>
      <c r="C75" s="180">
        <f>+C14</f>
        <v>159620350</v>
      </c>
      <c r="D75" s="180">
        <f>+D14</f>
        <v>161925493</v>
      </c>
      <c r="E75" s="180">
        <f>+E14</f>
        <v>170017184</v>
      </c>
      <c r="F75" s="28"/>
    </row>
    <row r="76" spans="1:6" ht="24" customHeight="1">
      <c r="A76" s="21">
        <v>9</v>
      </c>
      <c r="B76" s="45" t="s">
        <v>462</v>
      </c>
      <c r="C76" s="180">
        <v>7628791</v>
      </c>
      <c r="D76" s="180">
        <v>8658482</v>
      </c>
      <c r="E76" s="180">
        <v>8204355</v>
      </c>
      <c r="F76" s="28"/>
    </row>
    <row r="77" spans="1:6" ht="24" customHeight="1">
      <c r="A77" s="21">
        <v>10</v>
      </c>
      <c r="B77" s="45" t="s">
        <v>463</v>
      </c>
      <c r="C77" s="180">
        <f>+C75-C76</f>
        <v>151991559</v>
      </c>
      <c r="D77" s="180">
        <f>+D75-D76</f>
        <v>153267011</v>
      </c>
      <c r="E77" s="180">
        <f>+E75-E76</f>
        <v>161812829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464</v>
      </c>
      <c r="C79" s="179">
        <f>IF((C84/365)=0,0,+C83/(C84/365))</f>
        <v>56.13846103644281</v>
      </c>
      <c r="D79" s="179">
        <f>IF((D84/365)=0,0,+D83/(D84/365))</f>
        <v>56.35108299286298</v>
      </c>
      <c r="E79" s="179">
        <f>IF((E84/365)=0,0,+E83/(E84/365))</f>
        <v>54.16390616458345</v>
      </c>
      <c r="F79" s="28"/>
    </row>
    <row r="80" spans="1:6" ht="24" customHeight="1">
      <c r="A80" s="21">
        <v>12</v>
      </c>
      <c r="B80" s="188" t="s">
        <v>465</v>
      </c>
      <c r="C80" s="189">
        <v>23067383</v>
      </c>
      <c r="D80" s="189">
        <v>25254121</v>
      </c>
      <c r="E80" s="189">
        <v>24557822</v>
      </c>
      <c r="F80" s="28"/>
    </row>
    <row r="81" spans="1:6" ht="24" customHeight="1">
      <c r="A81" s="21">
        <v>13</v>
      </c>
      <c r="B81" s="188" t="s">
        <v>138</v>
      </c>
      <c r="C81" s="190">
        <v>0</v>
      </c>
      <c r="D81" s="190">
        <v>879184</v>
      </c>
      <c r="E81" s="190">
        <v>514722</v>
      </c>
      <c r="F81" s="28"/>
    </row>
    <row r="82" spans="1:6" ht="24" customHeight="1">
      <c r="A82" s="21">
        <v>14</v>
      </c>
      <c r="B82" s="188" t="s">
        <v>166</v>
      </c>
      <c r="C82" s="190">
        <v>0</v>
      </c>
      <c r="D82" s="190">
        <v>1618701</v>
      </c>
      <c r="E82" s="190">
        <v>251398</v>
      </c>
      <c r="F82" s="28"/>
    </row>
    <row r="83" spans="1:6" ht="33.75" customHeight="1">
      <c r="A83" s="21">
        <v>15</v>
      </c>
      <c r="B83" s="45" t="s">
        <v>466</v>
      </c>
      <c r="C83" s="191">
        <f>+C80+C81-C82</f>
        <v>23067383</v>
      </c>
      <c r="D83" s="191">
        <f>+D80+D81-D82</f>
        <v>24514604</v>
      </c>
      <c r="E83" s="191">
        <f>+E80+E81-E82</f>
        <v>24821146</v>
      </c>
      <c r="F83" s="28"/>
    </row>
    <row r="84" spans="1:6" ht="24" customHeight="1">
      <c r="A84" s="21">
        <v>16</v>
      </c>
      <c r="B84" s="48" t="s">
        <v>192</v>
      </c>
      <c r="C84" s="180">
        <f>+C11</f>
        <v>149979081</v>
      </c>
      <c r="D84" s="191">
        <f>+D11</f>
        <v>158787196</v>
      </c>
      <c r="E84" s="191">
        <f>+E11</f>
        <v>167264862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467</v>
      </c>
      <c r="C86" s="179">
        <f>IF((C90/365)=0,0,+C87/(C90/365))</f>
        <v>77.5626578052272</v>
      </c>
      <c r="D86" s="179">
        <f>IF((D90/365)=0,0,+D87/(D90/365))</f>
        <v>97.10198370737457</v>
      </c>
      <c r="E86" s="179">
        <f>IF((E90/365)=0,0,+E87/(E90/365))</f>
        <v>89.18834377464596</v>
      </c>
      <c r="F86" s="13"/>
    </row>
    <row r="87" spans="1:6" ht="24" customHeight="1">
      <c r="A87" s="21">
        <v>18</v>
      </c>
      <c r="B87" s="48" t="s">
        <v>171</v>
      </c>
      <c r="C87" s="51">
        <f>+C69</f>
        <v>32298272</v>
      </c>
      <c r="D87" s="51">
        <f>+D69</f>
        <v>40774057</v>
      </c>
      <c r="E87" s="51">
        <f>+E69</f>
        <v>39539228</v>
      </c>
      <c r="F87" s="28"/>
    </row>
    <row r="88" spans="1:6" ht="24" customHeight="1">
      <c r="A88" s="21">
        <v>19</v>
      </c>
      <c r="B88" s="48" t="s">
        <v>439</v>
      </c>
      <c r="C88" s="51">
        <f aca="true" t="shared" si="0" ref="C88:E89">+C75</f>
        <v>159620350</v>
      </c>
      <c r="D88" s="51">
        <f t="shared" si="0"/>
        <v>161925493</v>
      </c>
      <c r="E88" s="51">
        <f t="shared" si="0"/>
        <v>170017184</v>
      </c>
      <c r="F88" s="28"/>
    </row>
    <row r="89" spans="1:6" ht="24" customHeight="1">
      <c r="A89" s="21">
        <v>20</v>
      </c>
      <c r="B89" s="48" t="s">
        <v>462</v>
      </c>
      <c r="C89" s="52">
        <f t="shared" si="0"/>
        <v>7628791</v>
      </c>
      <c r="D89" s="52">
        <f t="shared" si="0"/>
        <v>8658482</v>
      </c>
      <c r="E89" s="52">
        <f t="shared" si="0"/>
        <v>8204355</v>
      </c>
      <c r="F89" s="28"/>
    </row>
    <row r="90" spans="1:6" ht="24" customHeight="1">
      <c r="A90" s="21">
        <v>21</v>
      </c>
      <c r="B90" s="48" t="s">
        <v>468</v>
      </c>
      <c r="C90" s="51">
        <f>+C88-C89</f>
        <v>151991559</v>
      </c>
      <c r="D90" s="51">
        <f>+D88-D89</f>
        <v>153267011</v>
      </c>
      <c r="E90" s="51">
        <f>+E88-E89</f>
        <v>161812829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469</v>
      </c>
      <c r="B92" s="41" t="s">
        <v>470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471</v>
      </c>
      <c r="C94" s="192">
        <f>IF(C96=0,0,(C95/C96)*100)</f>
        <v>27.009241154086144</v>
      </c>
      <c r="D94" s="192">
        <f>IF(D96=0,0,(D95/D96)*100)</f>
        <v>27.030791246135845</v>
      </c>
      <c r="E94" s="192">
        <f>IF(E96=0,0,(E95/E96)*100)</f>
        <v>14.55952708180755</v>
      </c>
      <c r="F94" s="28"/>
    </row>
    <row r="95" spans="1:6" ht="24" customHeight="1">
      <c r="A95" s="21">
        <v>2</v>
      </c>
      <c r="B95" s="48" t="s">
        <v>184</v>
      </c>
      <c r="C95" s="51">
        <f>+C32</f>
        <v>35762930</v>
      </c>
      <c r="D95" s="51">
        <f>+D32</f>
        <v>38639896</v>
      </c>
      <c r="E95" s="51">
        <f>+E32</f>
        <v>21927867</v>
      </c>
      <c r="F95" s="28"/>
    </row>
    <row r="96" spans="1:6" ht="24" customHeight="1">
      <c r="A96" s="21">
        <v>3</v>
      </c>
      <c r="B96" s="48" t="s">
        <v>160</v>
      </c>
      <c r="C96" s="51">
        <v>132409977</v>
      </c>
      <c r="D96" s="51">
        <v>142947706</v>
      </c>
      <c r="E96" s="51">
        <v>150608374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472</v>
      </c>
      <c r="C98" s="192">
        <f>IF(C104=0,0,(C101/C104)*100)</f>
        <v>14.742582861043987</v>
      </c>
      <c r="D98" s="192">
        <f>IF(D104=0,0,(D101/D104)*100)</f>
        <v>21.379582402917126</v>
      </c>
      <c r="E98" s="192">
        <f>IF(E104=0,0,(E101/E104)*100)</f>
        <v>15.939997924973017</v>
      </c>
      <c r="F98" s="28"/>
    </row>
    <row r="99" spans="1:6" ht="24" customHeight="1">
      <c r="A99" s="21">
        <v>5</v>
      </c>
      <c r="B99" s="48" t="s">
        <v>473</v>
      </c>
      <c r="C99" s="51">
        <f>+C28</f>
        <v>3130499</v>
      </c>
      <c r="D99" s="51">
        <f>+D28</f>
        <v>8923337</v>
      </c>
      <c r="E99" s="51">
        <f>+E28</f>
        <v>5945570</v>
      </c>
      <c r="F99" s="28"/>
    </row>
    <row r="100" spans="1:6" ht="24" customHeight="1">
      <c r="A100" s="21">
        <v>6</v>
      </c>
      <c r="B100" s="48" t="s">
        <v>462</v>
      </c>
      <c r="C100" s="52">
        <f>+C76</f>
        <v>7628791</v>
      </c>
      <c r="D100" s="52">
        <f>+D76</f>
        <v>8658482</v>
      </c>
      <c r="E100" s="52">
        <f>+E76</f>
        <v>8204355</v>
      </c>
      <c r="F100" s="28"/>
    </row>
    <row r="101" spans="1:6" ht="24" customHeight="1">
      <c r="A101" s="21">
        <v>7</v>
      </c>
      <c r="B101" s="48" t="s">
        <v>474</v>
      </c>
      <c r="C101" s="51">
        <f>+C99+C100</f>
        <v>10759290</v>
      </c>
      <c r="D101" s="51">
        <f>+D99+D100</f>
        <v>17581819</v>
      </c>
      <c r="E101" s="51">
        <f>+E99+E100</f>
        <v>14149925</v>
      </c>
      <c r="F101" s="28"/>
    </row>
    <row r="102" spans="1:6" ht="24" customHeight="1">
      <c r="A102" s="21">
        <v>8</v>
      </c>
      <c r="B102" s="48" t="s">
        <v>171</v>
      </c>
      <c r="C102" s="180">
        <f>+C69</f>
        <v>32298272</v>
      </c>
      <c r="D102" s="180">
        <f>+D69</f>
        <v>40774057</v>
      </c>
      <c r="E102" s="180">
        <f>+E69</f>
        <v>39539228</v>
      </c>
      <c r="F102" s="28"/>
    </row>
    <row r="103" spans="1:6" ht="24" customHeight="1">
      <c r="A103" s="21">
        <v>9</v>
      </c>
      <c r="B103" s="48" t="s">
        <v>175</v>
      </c>
      <c r="C103" s="194">
        <v>40682766</v>
      </c>
      <c r="D103" s="194">
        <v>41462437</v>
      </c>
      <c r="E103" s="194">
        <v>49230702</v>
      </c>
      <c r="F103" s="28"/>
    </row>
    <row r="104" spans="1:6" ht="24" customHeight="1">
      <c r="A104" s="21">
        <v>10</v>
      </c>
      <c r="B104" s="195" t="s">
        <v>475</v>
      </c>
      <c r="C104" s="180">
        <f>+C102+C103</f>
        <v>72981038</v>
      </c>
      <c r="D104" s="180">
        <f>+D102+D103</f>
        <v>82236494</v>
      </c>
      <c r="E104" s="180">
        <f>+E102+E103</f>
        <v>88769930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476</v>
      </c>
      <c r="C106" s="197">
        <f>IF(C109=0,0,(C107/C109)*100)</f>
        <v>53.21786330521472</v>
      </c>
      <c r="D106" s="197">
        <f>IF(D109=0,0,(D107/D109)*100)</f>
        <v>51.76183445243724</v>
      </c>
      <c r="E106" s="197">
        <f>IF(E109=0,0,(E107/E109)*100)</f>
        <v>69.18450257199524</v>
      </c>
      <c r="F106" s="28"/>
    </row>
    <row r="107" spans="1:6" ht="24" customHeight="1">
      <c r="A107" s="17">
        <v>12</v>
      </c>
      <c r="B107" s="48" t="s">
        <v>175</v>
      </c>
      <c r="C107" s="180">
        <f>+C103</f>
        <v>40682766</v>
      </c>
      <c r="D107" s="180">
        <f>+D103</f>
        <v>41462437</v>
      </c>
      <c r="E107" s="180">
        <f>+E103</f>
        <v>49230702</v>
      </c>
      <c r="F107" s="28"/>
    </row>
    <row r="108" spans="1:6" ht="24" customHeight="1">
      <c r="A108" s="17">
        <v>13</v>
      </c>
      <c r="B108" s="48" t="s">
        <v>184</v>
      </c>
      <c r="C108" s="180">
        <f>+C32</f>
        <v>35762930</v>
      </c>
      <c r="D108" s="180">
        <f>+D32</f>
        <v>38639896</v>
      </c>
      <c r="E108" s="180">
        <f>+E32</f>
        <v>21927867</v>
      </c>
      <c r="F108" s="28"/>
    </row>
    <row r="109" spans="1:6" ht="24" customHeight="1">
      <c r="A109" s="17">
        <v>14</v>
      </c>
      <c r="B109" s="48" t="s">
        <v>477</v>
      </c>
      <c r="C109" s="180">
        <f>+C107+C108</f>
        <v>76445696</v>
      </c>
      <c r="D109" s="180">
        <f>+D107+D108</f>
        <v>80102333</v>
      </c>
      <c r="E109" s="180">
        <f>+E107+E108</f>
        <v>71158569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478</v>
      </c>
      <c r="C111" s="197">
        <f>IF((+C113+C115)=0,0,((+C112+C113+C114)/(+C113+C115)))</f>
        <v>5.946506620986617</v>
      </c>
      <c r="D111" s="197">
        <f>IF((+D113+D115)=0,0,((+D112+D113+D114)/(+D113+D115)))</f>
        <v>9.469904359718836</v>
      </c>
      <c r="E111" s="197">
        <f>IF((+E113+E115)=0,0,((+E112+E113+E114)/(+E113+E115)))</f>
        <v>2.852423779369995</v>
      </c>
    </row>
    <row r="112" spans="1:6" ht="24" customHeight="1">
      <c r="A112" s="17">
        <v>16</v>
      </c>
      <c r="B112" s="48" t="s">
        <v>479</v>
      </c>
      <c r="C112" s="180">
        <f>+C17</f>
        <v>3130499</v>
      </c>
      <c r="D112" s="180">
        <f>+D17</f>
        <v>8923337</v>
      </c>
      <c r="E112" s="180">
        <f>+E17</f>
        <v>5945570</v>
      </c>
      <c r="F112" s="28"/>
    </row>
    <row r="113" spans="1:6" ht="24" customHeight="1">
      <c r="A113" s="17">
        <v>17</v>
      </c>
      <c r="B113" s="48" t="s">
        <v>303</v>
      </c>
      <c r="C113" s="180">
        <v>2175129</v>
      </c>
      <c r="D113" s="180">
        <v>2075799</v>
      </c>
      <c r="E113" s="180">
        <v>2265597</v>
      </c>
      <c r="F113" s="28"/>
    </row>
    <row r="114" spans="1:6" ht="24" customHeight="1">
      <c r="A114" s="17">
        <v>18</v>
      </c>
      <c r="B114" s="48" t="s">
        <v>480</v>
      </c>
      <c r="C114" s="180">
        <v>7628791</v>
      </c>
      <c r="D114" s="180">
        <v>8658482</v>
      </c>
      <c r="E114" s="180">
        <v>8204355</v>
      </c>
      <c r="F114" s="28"/>
    </row>
    <row r="115" spans="1:6" ht="24" customHeight="1">
      <c r="A115" s="17">
        <v>19</v>
      </c>
      <c r="B115" s="48" t="s">
        <v>219</v>
      </c>
      <c r="C115" s="180">
        <v>0</v>
      </c>
      <c r="D115" s="180">
        <v>0</v>
      </c>
      <c r="E115" s="180">
        <v>3489341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481</v>
      </c>
      <c r="B117" s="30" t="s">
        <v>482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483</v>
      </c>
      <c r="C119" s="197">
        <f>IF(+C121=0,0,(+C120)/(+C121))</f>
        <v>15.99374029253128</v>
      </c>
      <c r="D119" s="197">
        <f>IF(+D121=0,0,(+D120)/(+D121))</f>
        <v>14.895146978419543</v>
      </c>
      <c r="E119" s="197">
        <f>IF(+E121=0,0,(+E120)/(+E121))</f>
        <v>15.100087209780659</v>
      </c>
    </row>
    <row r="120" spans="1:6" ht="24" customHeight="1">
      <c r="A120" s="17">
        <v>21</v>
      </c>
      <c r="B120" s="48" t="s">
        <v>484</v>
      </c>
      <c r="C120" s="180">
        <v>122012902</v>
      </c>
      <c r="D120" s="180">
        <v>128969362</v>
      </c>
      <c r="E120" s="180">
        <v>123886476</v>
      </c>
      <c r="F120" s="28"/>
    </row>
    <row r="121" spans="1:6" ht="24" customHeight="1">
      <c r="A121" s="17">
        <v>22</v>
      </c>
      <c r="B121" s="48" t="s">
        <v>480</v>
      </c>
      <c r="C121" s="180">
        <v>7628791</v>
      </c>
      <c r="D121" s="180">
        <v>8658482</v>
      </c>
      <c r="E121" s="180">
        <v>8204355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485</v>
      </c>
      <c r="B123" s="30" t="s">
        <v>486</v>
      </c>
      <c r="C123" s="27"/>
      <c r="D123" s="27"/>
      <c r="E123" s="53"/>
    </row>
    <row r="124" spans="1:5" ht="24" customHeight="1">
      <c r="A124" s="44">
        <v>1</v>
      </c>
      <c r="B124" s="48" t="s">
        <v>487</v>
      </c>
      <c r="C124" s="198">
        <v>44817</v>
      </c>
      <c r="D124" s="198">
        <v>43813</v>
      </c>
      <c r="E124" s="198">
        <v>44631</v>
      </c>
    </row>
    <row r="125" spans="1:5" ht="24" customHeight="1">
      <c r="A125" s="44">
        <v>2</v>
      </c>
      <c r="B125" s="48" t="s">
        <v>488</v>
      </c>
      <c r="C125" s="198">
        <v>9085</v>
      </c>
      <c r="D125" s="198">
        <v>8972</v>
      </c>
      <c r="E125" s="198">
        <v>8989</v>
      </c>
    </row>
    <row r="126" spans="1:5" ht="24" customHeight="1">
      <c r="A126" s="44">
        <v>3</v>
      </c>
      <c r="B126" s="48" t="s">
        <v>489</v>
      </c>
      <c r="C126" s="199">
        <f>IF(C125=0,0,C124/C125)</f>
        <v>4.933076499724821</v>
      </c>
      <c r="D126" s="199">
        <f>IF(D125=0,0,D124/D125)</f>
        <v>4.883303611234953</v>
      </c>
      <c r="E126" s="199">
        <f>IF(E125=0,0,E124/E125)</f>
        <v>4.965068416954055</v>
      </c>
    </row>
    <row r="127" spans="1:5" ht="24" customHeight="1">
      <c r="A127" s="44">
        <v>4</v>
      </c>
      <c r="B127" s="48" t="s">
        <v>490</v>
      </c>
      <c r="C127" s="198">
        <v>140</v>
      </c>
      <c r="D127" s="198">
        <v>140</v>
      </c>
      <c r="E127" s="198">
        <v>140</v>
      </c>
    </row>
    <row r="128" spans="1:8" ht="24" customHeight="1">
      <c r="A128" s="44">
        <v>5</v>
      </c>
      <c r="B128" s="48" t="s">
        <v>491</v>
      </c>
      <c r="C128" s="198">
        <v>0</v>
      </c>
      <c r="D128" s="198">
        <v>0</v>
      </c>
      <c r="E128" s="198">
        <v>283</v>
      </c>
      <c r="G128" s="6"/>
      <c r="H128" s="12"/>
    </row>
    <row r="129" spans="1:8" ht="24" customHeight="1">
      <c r="A129" s="44">
        <v>6</v>
      </c>
      <c r="B129" s="48" t="s">
        <v>492</v>
      </c>
      <c r="C129" s="198">
        <v>283</v>
      </c>
      <c r="D129" s="198">
        <v>283</v>
      </c>
      <c r="E129" s="198">
        <v>283</v>
      </c>
      <c r="G129" s="6"/>
      <c r="H129" s="12"/>
    </row>
    <row r="130" spans="1:5" ht="24" customHeight="1">
      <c r="A130" s="44">
        <v>6</v>
      </c>
      <c r="B130" s="48" t="s">
        <v>493</v>
      </c>
      <c r="C130" s="171">
        <v>0.877</v>
      </c>
      <c r="D130" s="171">
        <v>0.8573</v>
      </c>
      <c r="E130" s="171">
        <v>0.8734</v>
      </c>
    </row>
    <row r="131" spans="1:5" ht="24" customHeight="1">
      <c r="A131" s="44">
        <v>7</v>
      </c>
      <c r="B131" s="48" t="s">
        <v>494</v>
      </c>
      <c r="C131" s="171">
        <v>0.4338</v>
      </c>
      <c r="D131" s="171">
        <v>0.4241</v>
      </c>
      <c r="E131" s="171">
        <v>0.432</v>
      </c>
    </row>
    <row r="132" spans="1:5" ht="24" customHeight="1">
      <c r="A132" s="44">
        <v>8</v>
      </c>
      <c r="B132" s="48" t="s">
        <v>495</v>
      </c>
      <c r="C132" s="199">
        <v>1173.6</v>
      </c>
      <c r="D132" s="199">
        <v>1151.3</v>
      </c>
      <c r="E132" s="199">
        <v>1155.3</v>
      </c>
    </row>
    <row r="133" ht="24" customHeight="1">
      <c r="B133" s="55"/>
    </row>
    <row r="134" spans="1:6" ht="19.5" customHeight="1">
      <c r="A134" s="200" t="s">
        <v>129</v>
      </c>
      <c r="B134" s="30" t="s">
        <v>496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497</v>
      </c>
      <c r="C135" s="203">
        <f>IF(C149=0,0,C143/C149)</f>
        <v>0.4313523454249683</v>
      </c>
      <c r="D135" s="203">
        <f>IF(D149=0,0,D143/D149)</f>
        <v>0.43920151055975304</v>
      </c>
      <c r="E135" s="203">
        <f>IF(E149=0,0,E143/E149)</f>
        <v>0.4055842940101318</v>
      </c>
      <c r="G135" s="6"/>
    </row>
    <row r="136" spans="1:5" ht="19.5" customHeight="1">
      <c r="A136" s="202">
        <v>2</v>
      </c>
      <c r="B136" s="195" t="s">
        <v>498</v>
      </c>
      <c r="C136" s="203">
        <f>IF(C149=0,0,C144/C149)</f>
        <v>0.430742621720176</v>
      </c>
      <c r="D136" s="203">
        <f>IF(D149=0,0,D144/D149)</f>
        <v>0.42098464873583236</v>
      </c>
      <c r="E136" s="203">
        <f>IF(E149=0,0,E144/E149)</f>
        <v>0.4377287685764906</v>
      </c>
    </row>
    <row r="137" spans="1:7" ht="19.5" customHeight="1">
      <c r="A137" s="202">
        <v>3</v>
      </c>
      <c r="B137" s="195" t="s">
        <v>499</v>
      </c>
      <c r="C137" s="203">
        <f>IF(C149=0,0,C145/C149)</f>
        <v>0.08082080596159225</v>
      </c>
      <c r="D137" s="203">
        <f>IF(D149=0,0,D145/D149)</f>
        <v>0.08890948255675309</v>
      </c>
      <c r="E137" s="203">
        <f>IF(E149=0,0,E145/E149)</f>
        <v>0.09616423816654812</v>
      </c>
      <c r="G137" s="6"/>
    </row>
    <row r="138" spans="1:7" ht="19.5" customHeight="1">
      <c r="A138" s="202">
        <v>4</v>
      </c>
      <c r="B138" s="195" t="s">
        <v>500</v>
      </c>
      <c r="C138" s="203">
        <f>IF(C149=0,0,C146/C149)</f>
        <v>0.0202510013374543</v>
      </c>
      <c r="D138" s="203">
        <f>IF(D149=0,0,D146/D149)</f>
        <v>0.02777625359364136</v>
      </c>
      <c r="E138" s="203">
        <f>IF(E149=0,0,E146/E149)</f>
        <v>0.0275567240563146</v>
      </c>
      <c r="G138" s="6"/>
    </row>
    <row r="139" spans="1:5" ht="19.5" customHeight="1">
      <c r="A139" s="202">
        <v>5</v>
      </c>
      <c r="B139" s="195" t="s">
        <v>501</v>
      </c>
      <c r="C139" s="203">
        <f>IF(C149=0,0,C147/C149)</f>
        <v>0.035561574473295186</v>
      </c>
      <c r="D139" s="203">
        <f>IF(D149=0,0,D147/D149)</f>
        <v>0.021312225596429944</v>
      </c>
      <c r="E139" s="203">
        <f>IF(E149=0,0,E147/E149)</f>
        <v>0.0304468917175349</v>
      </c>
    </row>
    <row r="140" spans="1:5" ht="19.5" customHeight="1">
      <c r="A140" s="202">
        <v>6</v>
      </c>
      <c r="B140" s="195" t="s">
        <v>502</v>
      </c>
      <c r="C140" s="203">
        <f>IF(C149=0,0,C148/C149)</f>
        <v>0.0012716510825139466</v>
      </c>
      <c r="D140" s="203">
        <f>IF(D149=0,0,D148/D149)</f>
        <v>0.0018158789575902134</v>
      </c>
      <c r="E140" s="203">
        <f>IF(E149=0,0,E148/E149)</f>
        <v>0.002519083472979997</v>
      </c>
    </row>
    <row r="141" spans="1:5" ht="19.5" customHeight="1">
      <c r="A141" s="202">
        <v>7</v>
      </c>
      <c r="B141" s="195" t="s">
        <v>503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504</v>
      </c>
      <c r="C143" s="204">
        <f>+C46-C147</f>
        <v>147616235</v>
      </c>
      <c r="D143" s="205">
        <f>+D46-D147</f>
        <v>171476328</v>
      </c>
      <c r="E143" s="205">
        <f>+E46-E147</f>
        <v>166375340</v>
      </c>
    </row>
    <row r="144" spans="1:5" ht="19.5" customHeight="1">
      <c r="A144" s="202">
        <v>9</v>
      </c>
      <c r="B144" s="201" t="s">
        <v>505</v>
      </c>
      <c r="C144" s="206">
        <f>+C51</f>
        <v>147407577</v>
      </c>
      <c r="D144" s="205">
        <f>+D51</f>
        <v>164363965</v>
      </c>
      <c r="E144" s="205">
        <f>+E51</f>
        <v>179561373</v>
      </c>
    </row>
    <row r="145" spans="1:5" ht="19.5" customHeight="1">
      <c r="A145" s="202">
        <v>10</v>
      </c>
      <c r="B145" s="201" t="s">
        <v>506</v>
      </c>
      <c r="C145" s="206">
        <f>+C55</f>
        <v>27658278</v>
      </c>
      <c r="D145" s="205">
        <f>+D55</f>
        <v>34712703</v>
      </c>
      <c r="E145" s="205">
        <f>+E55</f>
        <v>39447676</v>
      </c>
    </row>
    <row r="146" spans="1:5" ht="19.5" customHeight="1">
      <c r="A146" s="202">
        <v>11</v>
      </c>
      <c r="B146" s="201" t="s">
        <v>507</v>
      </c>
      <c r="C146" s="204">
        <v>6930243</v>
      </c>
      <c r="D146" s="205">
        <v>10844612</v>
      </c>
      <c r="E146" s="205">
        <v>11304085</v>
      </c>
    </row>
    <row r="147" spans="1:5" ht="19.5" customHeight="1">
      <c r="A147" s="202">
        <v>12</v>
      </c>
      <c r="B147" s="201" t="s">
        <v>508</v>
      </c>
      <c r="C147" s="206">
        <f>+C47</f>
        <v>12169786</v>
      </c>
      <c r="D147" s="205">
        <f>+D47</f>
        <v>8320878</v>
      </c>
      <c r="E147" s="205">
        <f>+E47</f>
        <v>12489665</v>
      </c>
    </row>
    <row r="148" spans="1:5" ht="19.5" customHeight="1">
      <c r="A148" s="202">
        <v>13</v>
      </c>
      <c r="B148" s="201" t="s">
        <v>509</v>
      </c>
      <c r="C148" s="206">
        <v>435181</v>
      </c>
      <c r="D148" s="205">
        <v>708969</v>
      </c>
      <c r="E148" s="205">
        <v>1033357</v>
      </c>
    </row>
    <row r="149" spans="1:5" ht="19.5" customHeight="1">
      <c r="A149" s="202">
        <v>14</v>
      </c>
      <c r="B149" s="201" t="s">
        <v>510</v>
      </c>
      <c r="C149" s="204">
        <f>SUM(C143:C148)</f>
        <v>342217300</v>
      </c>
      <c r="D149" s="205">
        <f>SUM(D143:D148)</f>
        <v>390427455</v>
      </c>
      <c r="E149" s="205">
        <f>SUM(E143:E148)</f>
        <v>410211496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511</v>
      </c>
      <c r="B151" s="30" t="s">
        <v>512</v>
      </c>
      <c r="C151" s="201"/>
      <c r="D151" s="201"/>
      <c r="E151" s="201"/>
    </row>
    <row r="152" spans="1:5" ht="19.5" customHeight="1">
      <c r="A152" s="202">
        <v>1</v>
      </c>
      <c r="B152" s="195" t="s">
        <v>513</v>
      </c>
      <c r="C152" s="203">
        <f>IF(C166=0,0,C160/C166)</f>
        <v>0.531481241999887</v>
      </c>
      <c r="D152" s="203">
        <f>IF(D166=0,0,D160/D166)</f>
        <v>0.5411811824818498</v>
      </c>
      <c r="E152" s="203">
        <f>IF(E166=0,0,E160/E166)</f>
        <v>0.4950231468396344</v>
      </c>
    </row>
    <row r="153" spans="1:5" ht="19.5" customHeight="1">
      <c r="A153" s="202">
        <v>2</v>
      </c>
      <c r="B153" s="195" t="s">
        <v>514</v>
      </c>
      <c r="C153" s="203">
        <f>IF(C166=0,0,C161/C166)</f>
        <v>0.3677968888277286</v>
      </c>
      <c r="D153" s="203">
        <f>IF(D166=0,0,D161/D166)</f>
        <v>0.35669335616690384</v>
      </c>
      <c r="E153" s="203">
        <f>IF(E166=0,0,E161/E166)</f>
        <v>0.3820582244845607</v>
      </c>
    </row>
    <row r="154" spans="1:5" ht="19.5" customHeight="1">
      <c r="A154" s="202">
        <v>3</v>
      </c>
      <c r="B154" s="195" t="s">
        <v>515</v>
      </c>
      <c r="C154" s="203">
        <f>IF(C166=0,0,C162/C166)</f>
        <v>0.056164021411594586</v>
      </c>
      <c r="D154" s="203">
        <f>IF(D166=0,0,D162/D166)</f>
        <v>0.0674801789865383</v>
      </c>
      <c r="E154" s="203">
        <f>IF(E166=0,0,E162/E166)</f>
        <v>0.07531652949192377</v>
      </c>
    </row>
    <row r="155" spans="1:7" ht="19.5" customHeight="1">
      <c r="A155" s="202">
        <v>4</v>
      </c>
      <c r="B155" s="195" t="s">
        <v>516</v>
      </c>
      <c r="C155" s="203">
        <f>IF(C166=0,0,C163/C166)</f>
        <v>0.01164150619998308</v>
      </c>
      <c r="D155" s="203">
        <f>IF(D166=0,0,D163/D166)</f>
        <v>0.01586113584200689</v>
      </c>
      <c r="E155" s="203">
        <f>IF(E166=0,0,E163/E166)</f>
        <v>0.021142560688384254</v>
      </c>
      <c r="G155" s="6"/>
    </row>
    <row r="156" spans="1:5" ht="19.5" customHeight="1">
      <c r="A156" s="202">
        <v>5</v>
      </c>
      <c r="B156" s="195" t="s">
        <v>517</v>
      </c>
      <c r="C156" s="203">
        <f>IF(C166=0,0,C164/C166)</f>
        <v>0.03138427114523441</v>
      </c>
      <c r="D156" s="203">
        <f>IF(D166=0,0,D164/D166)</f>
        <v>0.015848055134496473</v>
      </c>
      <c r="E156" s="203">
        <f>IF(E166=0,0,E164/E166)</f>
        <v>0.02177572869462099</v>
      </c>
    </row>
    <row r="157" spans="1:5" ht="19.5" customHeight="1">
      <c r="A157" s="202">
        <v>6</v>
      </c>
      <c r="B157" s="195" t="s">
        <v>518</v>
      </c>
      <c r="C157" s="203">
        <f>IF(C166=0,0,C165/C166)</f>
        <v>0.0015320704155722597</v>
      </c>
      <c r="D157" s="203">
        <f>IF(D166=0,0,D165/D166)</f>
        <v>0.002936091388204787</v>
      </c>
      <c r="E157" s="203">
        <f>IF(E166=0,0,E165/E166)</f>
        <v>0.004683809800875837</v>
      </c>
    </row>
    <row r="158" spans="1:5" ht="19.5" customHeight="1">
      <c r="A158" s="202">
        <v>7</v>
      </c>
      <c r="B158" s="195" t="s">
        <v>519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520</v>
      </c>
      <c r="C160" s="207">
        <f>+C44-C164</f>
        <v>76158941</v>
      </c>
      <c r="D160" s="208">
        <f>+D44-D164</f>
        <v>82082981</v>
      </c>
      <c r="E160" s="208">
        <f>+E44-E164</f>
        <v>78551759</v>
      </c>
    </row>
    <row r="161" spans="1:5" ht="19.5" customHeight="1">
      <c r="A161" s="202">
        <v>9</v>
      </c>
      <c r="B161" s="201" t="s">
        <v>521</v>
      </c>
      <c r="C161" s="209">
        <f>+C50</f>
        <v>52703688</v>
      </c>
      <c r="D161" s="208">
        <f>+D50</f>
        <v>54101020</v>
      </c>
      <c r="E161" s="208">
        <f>+E50</f>
        <v>60626146</v>
      </c>
    </row>
    <row r="162" spans="1:5" ht="19.5" customHeight="1">
      <c r="A162" s="202">
        <v>10</v>
      </c>
      <c r="B162" s="201" t="s">
        <v>522</v>
      </c>
      <c r="C162" s="209">
        <f>+C54</f>
        <v>8048059</v>
      </c>
      <c r="D162" s="208">
        <f>+D54</f>
        <v>10234972</v>
      </c>
      <c r="E162" s="208">
        <f>+E54</f>
        <v>11951453</v>
      </c>
    </row>
    <row r="163" spans="1:5" ht="19.5" customHeight="1">
      <c r="A163" s="202">
        <v>11</v>
      </c>
      <c r="B163" s="201" t="s">
        <v>523</v>
      </c>
      <c r="C163" s="207">
        <v>1668177</v>
      </c>
      <c r="D163" s="208">
        <v>2405718</v>
      </c>
      <c r="E163" s="208">
        <v>3354965</v>
      </c>
    </row>
    <row r="164" spans="1:5" ht="19.5" customHeight="1">
      <c r="A164" s="202">
        <v>12</v>
      </c>
      <c r="B164" s="201" t="s">
        <v>524</v>
      </c>
      <c r="C164" s="209">
        <f>+C45</f>
        <v>4497229</v>
      </c>
      <c r="D164" s="208">
        <f>+D45</f>
        <v>2403734</v>
      </c>
      <c r="E164" s="208">
        <f>+E45</f>
        <v>3455438</v>
      </c>
    </row>
    <row r="165" spans="1:5" ht="19.5" customHeight="1">
      <c r="A165" s="202">
        <v>13</v>
      </c>
      <c r="B165" s="201" t="s">
        <v>525</v>
      </c>
      <c r="C165" s="209">
        <v>219539</v>
      </c>
      <c r="D165" s="208">
        <v>445328</v>
      </c>
      <c r="E165" s="208">
        <v>743241</v>
      </c>
    </row>
    <row r="166" spans="1:5" ht="19.5" customHeight="1">
      <c r="A166" s="202">
        <v>14</v>
      </c>
      <c r="B166" s="201" t="s">
        <v>526</v>
      </c>
      <c r="C166" s="207">
        <f>SUM(C160:C165)</f>
        <v>143295633</v>
      </c>
      <c r="D166" s="208">
        <f>SUM(D160:D165)</f>
        <v>151673753</v>
      </c>
      <c r="E166" s="208">
        <f>SUM(E160:E165)</f>
        <v>158683002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527</v>
      </c>
      <c r="B168" s="30" t="s">
        <v>488</v>
      </c>
      <c r="C168" s="201"/>
      <c r="D168" s="201"/>
      <c r="E168" s="201"/>
    </row>
    <row r="169" spans="1:5" ht="19.5" customHeight="1">
      <c r="A169" s="202">
        <v>1</v>
      </c>
      <c r="B169" s="201" t="s">
        <v>528</v>
      </c>
      <c r="C169" s="198">
        <v>3962</v>
      </c>
      <c r="D169" s="198">
        <v>3837</v>
      </c>
      <c r="E169" s="198">
        <v>3712</v>
      </c>
    </row>
    <row r="170" spans="1:5" ht="19.5" customHeight="1">
      <c r="A170" s="202">
        <v>2</v>
      </c>
      <c r="B170" s="201" t="s">
        <v>529</v>
      </c>
      <c r="C170" s="198">
        <v>3763</v>
      </c>
      <c r="D170" s="198">
        <v>3655</v>
      </c>
      <c r="E170" s="198">
        <v>3770</v>
      </c>
    </row>
    <row r="171" spans="1:5" ht="19.5" customHeight="1">
      <c r="A171" s="202">
        <v>3</v>
      </c>
      <c r="B171" s="201" t="s">
        <v>530</v>
      </c>
      <c r="C171" s="198">
        <v>1348</v>
      </c>
      <c r="D171" s="198">
        <v>1466</v>
      </c>
      <c r="E171" s="198">
        <v>1488</v>
      </c>
    </row>
    <row r="172" spans="1:5" ht="19.5" customHeight="1">
      <c r="A172" s="202">
        <v>4</v>
      </c>
      <c r="B172" s="201" t="s">
        <v>531</v>
      </c>
      <c r="C172" s="198">
        <v>1081</v>
      </c>
      <c r="D172" s="198">
        <v>1145</v>
      </c>
      <c r="E172" s="198">
        <v>1166</v>
      </c>
    </row>
    <row r="173" spans="1:5" ht="19.5" customHeight="1">
      <c r="A173" s="202">
        <v>5</v>
      </c>
      <c r="B173" s="201" t="s">
        <v>532</v>
      </c>
      <c r="C173" s="198">
        <v>267</v>
      </c>
      <c r="D173" s="198">
        <v>321</v>
      </c>
      <c r="E173" s="198">
        <v>322</v>
      </c>
    </row>
    <row r="174" spans="1:5" ht="19.5" customHeight="1">
      <c r="A174" s="202">
        <v>6</v>
      </c>
      <c r="B174" s="201" t="s">
        <v>533</v>
      </c>
      <c r="C174" s="198">
        <v>12</v>
      </c>
      <c r="D174" s="198">
        <v>14</v>
      </c>
      <c r="E174" s="198">
        <v>19</v>
      </c>
    </row>
    <row r="175" spans="1:5" ht="19.5" customHeight="1">
      <c r="A175" s="202">
        <v>7</v>
      </c>
      <c r="B175" s="201" t="s">
        <v>534</v>
      </c>
      <c r="C175" s="198">
        <v>165</v>
      </c>
      <c r="D175" s="198">
        <v>176</v>
      </c>
      <c r="E175" s="198">
        <v>182</v>
      </c>
    </row>
    <row r="176" spans="1:5" ht="19.5" customHeight="1">
      <c r="A176" s="202">
        <v>8</v>
      </c>
      <c r="B176" s="201" t="s">
        <v>535</v>
      </c>
      <c r="C176" s="198">
        <f>+C169+C170+C171+C174</f>
        <v>9085</v>
      </c>
      <c r="D176" s="198">
        <f>+D169+D170+D171+D174</f>
        <v>8972</v>
      </c>
      <c r="E176" s="198">
        <f>+E169+E170+E171+E174</f>
        <v>8989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536</v>
      </c>
      <c r="B178" s="30" t="s">
        <v>537</v>
      </c>
      <c r="C178" s="201"/>
      <c r="D178" s="201"/>
      <c r="E178" s="201"/>
    </row>
    <row r="179" spans="1:5" ht="19.5" customHeight="1">
      <c r="A179" s="202">
        <v>1</v>
      </c>
      <c r="B179" s="201" t="s">
        <v>528</v>
      </c>
      <c r="C179" s="210">
        <v>0.9538</v>
      </c>
      <c r="D179" s="210">
        <v>1.03192</v>
      </c>
      <c r="E179" s="210">
        <v>1.03265</v>
      </c>
    </row>
    <row r="180" spans="1:5" ht="19.5" customHeight="1">
      <c r="A180" s="202">
        <v>2</v>
      </c>
      <c r="B180" s="201" t="s">
        <v>529</v>
      </c>
      <c r="C180" s="210">
        <v>1.38037</v>
      </c>
      <c r="D180" s="210">
        <v>1.44836</v>
      </c>
      <c r="E180" s="210">
        <v>1.53069</v>
      </c>
    </row>
    <row r="181" spans="1:5" ht="19.5" customHeight="1">
      <c r="A181" s="202">
        <v>3</v>
      </c>
      <c r="B181" s="201" t="s">
        <v>530</v>
      </c>
      <c r="C181" s="210">
        <v>0.903062</v>
      </c>
      <c r="D181" s="210">
        <v>0.968726</v>
      </c>
      <c r="E181" s="210">
        <v>0.970106</v>
      </c>
    </row>
    <row r="182" spans="1:5" ht="19.5" customHeight="1">
      <c r="A182" s="202">
        <v>4</v>
      </c>
      <c r="B182" s="201" t="s">
        <v>531</v>
      </c>
      <c r="C182" s="210">
        <v>0.89282</v>
      </c>
      <c r="D182" s="210">
        <v>0.94884</v>
      </c>
      <c r="E182" s="210">
        <v>0.94313</v>
      </c>
    </row>
    <row r="183" spans="1:5" ht="19.5" customHeight="1">
      <c r="A183" s="202">
        <v>5</v>
      </c>
      <c r="B183" s="201" t="s">
        <v>532</v>
      </c>
      <c r="C183" s="210">
        <v>0.94453</v>
      </c>
      <c r="D183" s="210">
        <v>1.03966</v>
      </c>
      <c r="E183" s="210">
        <v>1.06779</v>
      </c>
    </row>
    <row r="184" spans="1:5" ht="19.5" customHeight="1">
      <c r="A184" s="202">
        <v>6</v>
      </c>
      <c r="B184" s="201" t="s">
        <v>533</v>
      </c>
      <c r="C184" s="210">
        <v>0.99889</v>
      </c>
      <c r="D184" s="210">
        <v>1.01299</v>
      </c>
      <c r="E184" s="210">
        <v>1.31369</v>
      </c>
    </row>
    <row r="185" spans="1:5" ht="19.5" customHeight="1">
      <c r="A185" s="202">
        <v>7</v>
      </c>
      <c r="B185" s="201" t="s">
        <v>534</v>
      </c>
      <c r="C185" s="210">
        <v>0.97081</v>
      </c>
      <c r="D185" s="210">
        <v>0.9304</v>
      </c>
      <c r="E185" s="210">
        <v>0.98663</v>
      </c>
    </row>
    <row r="186" spans="1:5" ht="19.5" customHeight="1">
      <c r="A186" s="202">
        <v>8</v>
      </c>
      <c r="B186" s="201" t="s">
        <v>538</v>
      </c>
      <c r="C186" s="210">
        <v>1.123016</v>
      </c>
      <c r="D186" s="210">
        <v>1.191213</v>
      </c>
      <c r="E186" s="210">
        <v>1.231769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539</v>
      </c>
      <c r="B188" s="30" t="s">
        <v>540</v>
      </c>
      <c r="C188" s="201"/>
      <c r="D188" s="201"/>
      <c r="E188" s="201"/>
    </row>
    <row r="189" spans="1:5" ht="19.5" customHeight="1">
      <c r="A189" s="202">
        <v>1</v>
      </c>
      <c r="B189" s="201" t="s">
        <v>541</v>
      </c>
      <c r="C189" s="198">
        <v>5234</v>
      </c>
      <c r="D189" s="198">
        <v>5138</v>
      </c>
      <c r="E189" s="198">
        <v>5142</v>
      </c>
    </row>
    <row r="190" spans="1:5" ht="19.5" customHeight="1">
      <c r="A190" s="202">
        <v>2</v>
      </c>
      <c r="B190" s="201" t="s">
        <v>542</v>
      </c>
      <c r="C190" s="198">
        <v>39598</v>
      </c>
      <c r="D190" s="198">
        <v>38996</v>
      </c>
      <c r="E190" s="198">
        <v>40513</v>
      </c>
    </row>
    <row r="191" spans="1:5" ht="19.5" customHeight="1">
      <c r="A191" s="202">
        <v>3</v>
      </c>
      <c r="B191" s="201" t="s">
        <v>543</v>
      </c>
      <c r="C191" s="198">
        <f>+C190+C189</f>
        <v>44832</v>
      </c>
      <c r="D191" s="198">
        <f>+D190+D189</f>
        <v>44134</v>
      </c>
      <c r="E191" s="198">
        <f>+E190+E189</f>
        <v>45655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FILING&amp;RMANCHESTER MEMORIAL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6" sqref="A6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5" width="21.140625" style="211" customWidth="1"/>
    <col min="6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117</v>
      </c>
      <c r="B2" s="687"/>
      <c r="C2" s="687"/>
      <c r="D2" s="687"/>
      <c r="E2" s="687"/>
      <c r="F2" s="687"/>
    </row>
    <row r="3" spans="1:6" ht="20.25" customHeight="1">
      <c r="A3" s="687" t="s">
        <v>118</v>
      </c>
      <c r="B3" s="687"/>
      <c r="C3" s="687"/>
      <c r="D3" s="687"/>
      <c r="E3" s="687"/>
      <c r="F3" s="687"/>
    </row>
    <row r="4" spans="1:6" ht="20.25" customHeight="1">
      <c r="A4" s="687" t="s">
        <v>119</v>
      </c>
      <c r="B4" s="687"/>
      <c r="C4" s="687"/>
      <c r="D4" s="687"/>
      <c r="E4" s="687"/>
      <c r="F4" s="687"/>
    </row>
    <row r="5" spans="1:6" ht="20.25" customHeight="1">
      <c r="A5" s="687" t="s">
        <v>544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271</v>
      </c>
      <c r="B8" s="221" t="s">
        <v>126</v>
      </c>
      <c r="C8" s="222" t="s">
        <v>545</v>
      </c>
      <c r="D8" s="223" t="s">
        <v>546</v>
      </c>
      <c r="E8" s="223" t="s">
        <v>547</v>
      </c>
      <c r="F8" s="224" t="s">
        <v>225</v>
      </c>
      <c r="G8" s="212"/>
    </row>
    <row r="9" spans="1:7" ht="20.25" customHeight="1">
      <c r="A9" s="225"/>
      <c r="B9" s="226"/>
      <c r="C9" s="676"/>
      <c r="D9" s="677"/>
      <c r="E9" s="677"/>
      <c r="F9" s="678"/>
      <c r="G9" s="212"/>
    </row>
    <row r="10" spans="1:6" ht="20.25" customHeight="1">
      <c r="A10" s="679" t="s">
        <v>129</v>
      </c>
      <c r="B10" s="681" t="s">
        <v>230</v>
      </c>
      <c r="C10" s="683"/>
      <c r="D10" s="684"/>
      <c r="E10" s="684"/>
      <c r="F10" s="685"/>
    </row>
    <row r="11" spans="1:6" ht="20.25" customHeight="1">
      <c r="A11" s="680"/>
      <c r="B11" s="682"/>
      <c r="C11" s="686"/>
      <c r="D11" s="660"/>
      <c r="E11" s="660"/>
      <c r="F11" s="661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227</v>
      </c>
      <c r="B13" s="231" t="s">
        <v>548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65063</v>
      </c>
      <c r="D14" s="237">
        <v>168747</v>
      </c>
      <c r="E14" s="237">
        <f aca="true" t="shared" si="0" ref="E14:E24">D14-C14</f>
        <v>103684</v>
      </c>
      <c r="F14" s="238">
        <f aca="true" t="shared" si="1" ref="F14:F24">IF(C14=0,0,E14/C14)</f>
        <v>1.5935939012956672</v>
      </c>
    </row>
    <row r="15" spans="1:6" ht="20.25" customHeight="1">
      <c r="A15" s="235">
        <v>2</v>
      </c>
      <c r="B15" s="236" t="s">
        <v>550</v>
      </c>
      <c r="C15" s="237">
        <v>23543</v>
      </c>
      <c r="D15" s="237">
        <v>55967</v>
      </c>
      <c r="E15" s="237">
        <f t="shared" si="0"/>
        <v>32424</v>
      </c>
      <c r="F15" s="238">
        <f t="shared" si="1"/>
        <v>1.3772246527630294</v>
      </c>
    </row>
    <row r="16" spans="1:6" ht="20.25" customHeight="1">
      <c r="A16" s="235">
        <v>3</v>
      </c>
      <c r="B16" s="236" t="s">
        <v>551</v>
      </c>
      <c r="C16" s="237">
        <v>186038</v>
      </c>
      <c r="D16" s="237">
        <v>257427</v>
      </c>
      <c r="E16" s="237">
        <f t="shared" si="0"/>
        <v>71389</v>
      </c>
      <c r="F16" s="238">
        <f t="shared" si="1"/>
        <v>0.3837334308044593</v>
      </c>
    </row>
    <row r="17" spans="1:6" ht="20.25" customHeight="1">
      <c r="A17" s="235">
        <v>4</v>
      </c>
      <c r="B17" s="236" t="s">
        <v>552</v>
      </c>
      <c r="C17" s="237">
        <v>63999</v>
      </c>
      <c r="D17" s="237">
        <v>91726</v>
      </c>
      <c r="E17" s="237">
        <f t="shared" si="0"/>
        <v>27727</v>
      </c>
      <c r="F17" s="238">
        <f t="shared" si="1"/>
        <v>0.43324114439288114</v>
      </c>
    </row>
    <row r="18" spans="1:6" ht="20.25" customHeight="1">
      <c r="A18" s="235">
        <v>5</v>
      </c>
      <c r="B18" s="236" t="s">
        <v>488</v>
      </c>
      <c r="C18" s="239">
        <v>5</v>
      </c>
      <c r="D18" s="239">
        <v>9</v>
      </c>
      <c r="E18" s="239">
        <f t="shared" si="0"/>
        <v>4</v>
      </c>
      <c r="F18" s="238">
        <f t="shared" si="1"/>
        <v>0.8</v>
      </c>
    </row>
    <row r="19" spans="1:6" ht="20.25" customHeight="1">
      <c r="A19" s="235">
        <v>6</v>
      </c>
      <c r="B19" s="236" t="s">
        <v>487</v>
      </c>
      <c r="C19" s="239">
        <v>12</v>
      </c>
      <c r="D19" s="239">
        <v>35</v>
      </c>
      <c r="E19" s="239">
        <f t="shared" si="0"/>
        <v>23</v>
      </c>
      <c r="F19" s="238">
        <f t="shared" si="1"/>
        <v>1.9166666666666667</v>
      </c>
    </row>
    <row r="20" spans="1:6" ht="20.25" customHeight="1">
      <c r="A20" s="235">
        <v>7</v>
      </c>
      <c r="B20" s="236" t="s">
        <v>553</v>
      </c>
      <c r="C20" s="239">
        <v>232</v>
      </c>
      <c r="D20" s="239">
        <v>258</v>
      </c>
      <c r="E20" s="239">
        <f t="shared" si="0"/>
        <v>26</v>
      </c>
      <c r="F20" s="238">
        <f t="shared" si="1"/>
        <v>0.11206896551724138</v>
      </c>
    </row>
    <row r="21" spans="1:6" ht="20.25" customHeight="1">
      <c r="A21" s="235">
        <v>8</v>
      </c>
      <c r="B21" s="236" t="s">
        <v>554</v>
      </c>
      <c r="C21" s="239">
        <v>7</v>
      </c>
      <c r="D21" s="239">
        <v>20</v>
      </c>
      <c r="E21" s="239">
        <f t="shared" si="0"/>
        <v>13</v>
      </c>
      <c r="F21" s="238">
        <f t="shared" si="1"/>
        <v>1.8571428571428572</v>
      </c>
    </row>
    <row r="22" spans="1:6" ht="20.25" customHeight="1">
      <c r="A22" s="235">
        <v>9</v>
      </c>
      <c r="B22" s="236" t="s">
        <v>555</v>
      </c>
      <c r="C22" s="239">
        <v>3</v>
      </c>
      <c r="D22" s="239">
        <v>7</v>
      </c>
      <c r="E22" s="239">
        <f t="shared" si="0"/>
        <v>4</v>
      </c>
      <c r="F22" s="238">
        <f t="shared" si="1"/>
        <v>1.3333333333333333</v>
      </c>
    </row>
    <row r="23" spans="1:6" s="240" customFormat="1" ht="20.25" customHeight="1">
      <c r="A23" s="241"/>
      <c r="B23" s="242" t="s">
        <v>556</v>
      </c>
      <c r="C23" s="243">
        <f>+C14+C16</f>
        <v>251101</v>
      </c>
      <c r="D23" s="243">
        <f>+D14+D16</f>
        <v>426174</v>
      </c>
      <c r="E23" s="243">
        <f t="shared" si="0"/>
        <v>175073</v>
      </c>
      <c r="F23" s="244">
        <f t="shared" si="1"/>
        <v>0.6972214367923664</v>
      </c>
    </row>
    <row r="24" spans="1:6" s="240" customFormat="1" ht="20.25" customHeight="1">
      <c r="A24" s="241"/>
      <c r="B24" s="242" t="s">
        <v>557</v>
      </c>
      <c r="C24" s="243">
        <f>+C15+C17</f>
        <v>87542</v>
      </c>
      <c r="D24" s="243">
        <f>+D15+D17</f>
        <v>147693</v>
      </c>
      <c r="E24" s="243">
        <f t="shared" si="0"/>
        <v>60151</v>
      </c>
      <c r="F24" s="244">
        <f t="shared" si="1"/>
        <v>0.6871101871101871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241</v>
      </c>
      <c r="B26" s="231" t="s">
        <v>558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549</v>
      </c>
      <c r="C27" s="237">
        <v>0</v>
      </c>
      <c r="D27" s="237">
        <v>86158</v>
      </c>
      <c r="E27" s="237">
        <f aca="true" t="shared" si="2" ref="E27:E37">D27-C27</f>
        <v>86158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550</v>
      </c>
      <c r="C28" s="237">
        <v>0</v>
      </c>
      <c r="D28" s="237">
        <v>54304</v>
      </c>
      <c r="E28" s="237">
        <f t="shared" si="2"/>
        <v>54304</v>
      </c>
      <c r="F28" s="238">
        <f t="shared" si="3"/>
        <v>0</v>
      </c>
    </row>
    <row r="29" spans="1:6" ht="20.25" customHeight="1">
      <c r="A29" s="235">
        <v>3</v>
      </c>
      <c r="B29" s="236" t="s">
        <v>551</v>
      </c>
      <c r="C29" s="237">
        <v>0</v>
      </c>
      <c r="D29" s="237">
        <v>59799</v>
      </c>
      <c r="E29" s="237">
        <f t="shared" si="2"/>
        <v>59799</v>
      </c>
      <c r="F29" s="238">
        <f t="shared" si="3"/>
        <v>0</v>
      </c>
    </row>
    <row r="30" spans="1:6" ht="20.25" customHeight="1">
      <c r="A30" s="235">
        <v>4</v>
      </c>
      <c r="B30" s="236" t="s">
        <v>552</v>
      </c>
      <c r="C30" s="237">
        <v>0</v>
      </c>
      <c r="D30" s="237">
        <v>14347</v>
      </c>
      <c r="E30" s="237">
        <f t="shared" si="2"/>
        <v>14347</v>
      </c>
      <c r="F30" s="238">
        <f t="shared" si="3"/>
        <v>0</v>
      </c>
    </row>
    <row r="31" spans="1:6" ht="20.25" customHeight="1">
      <c r="A31" s="235">
        <v>5</v>
      </c>
      <c r="B31" s="236" t="s">
        <v>488</v>
      </c>
      <c r="C31" s="239">
        <v>0</v>
      </c>
      <c r="D31" s="239">
        <v>3</v>
      </c>
      <c r="E31" s="239">
        <f t="shared" si="2"/>
        <v>3</v>
      </c>
      <c r="F31" s="238">
        <f t="shared" si="3"/>
        <v>0</v>
      </c>
    </row>
    <row r="32" spans="1:6" ht="20.25" customHeight="1">
      <c r="A32" s="235">
        <v>6</v>
      </c>
      <c r="B32" s="236" t="s">
        <v>487</v>
      </c>
      <c r="C32" s="239">
        <v>0</v>
      </c>
      <c r="D32" s="239">
        <v>19</v>
      </c>
      <c r="E32" s="239">
        <f t="shared" si="2"/>
        <v>19</v>
      </c>
      <c r="F32" s="238">
        <f t="shared" si="3"/>
        <v>0</v>
      </c>
    </row>
    <row r="33" spans="1:6" ht="20.25" customHeight="1">
      <c r="A33" s="235">
        <v>7</v>
      </c>
      <c r="B33" s="236" t="s">
        <v>553</v>
      </c>
      <c r="C33" s="239">
        <v>0</v>
      </c>
      <c r="D33" s="239">
        <v>116</v>
      </c>
      <c r="E33" s="239">
        <f t="shared" si="2"/>
        <v>116</v>
      </c>
      <c r="F33" s="238">
        <f t="shared" si="3"/>
        <v>0</v>
      </c>
    </row>
    <row r="34" spans="1:6" ht="20.25" customHeight="1">
      <c r="A34" s="235">
        <v>8</v>
      </c>
      <c r="B34" s="236" t="s">
        <v>554</v>
      </c>
      <c r="C34" s="239">
        <v>0</v>
      </c>
      <c r="D34" s="239">
        <v>1</v>
      </c>
      <c r="E34" s="239">
        <f t="shared" si="2"/>
        <v>1</v>
      </c>
      <c r="F34" s="238">
        <f t="shared" si="3"/>
        <v>0</v>
      </c>
    </row>
    <row r="35" spans="1:6" ht="20.25" customHeight="1">
      <c r="A35" s="235">
        <v>9</v>
      </c>
      <c r="B35" s="236" t="s">
        <v>555</v>
      </c>
      <c r="C35" s="239">
        <v>0</v>
      </c>
      <c r="D35" s="239">
        <v>1</v>
      </c>
      <c r="E35" s="239">
        <f t="shared" si="2"/>
        <v>1</v>
      </c>
      <c r="F35" s="238">
        <f t="shared" si="3"/>
        <v>0</v>
      </c>
    </row>
    <row r="36" spans="1:6" s="240" customFormat="1" ht="20.25" customHeight="1">
      <c r="A36" s="241"/>
      <c r="B36" s="242" t="s">
        <v>556</v>
      </c>
      <c r="C36" s="243">
        <f>+C27+C29</f>
        <v>0</v>
      </c>
      <c r="D36" s="243">
        <f>+D27+D29</f>
        <v>145957</v>
      </c>
      <c r="E36" s="243">
        <f t="shared" si="2"/>
        <v>145957</v>
      </c>
      <c r="F36" s="244">
        <f t="shared" si="3"/>
        <v>0</v>
      </c>
    </row>
    <row r="37" spans="1:6" s="240" customFormat="1" ht="20.25" customHeight="1">
      <c r="A37" s="241"/>
      <c r="B37" s="242" t="s">
        <v>557</v>
      </c>
      <c r="C37" s="243">
        <f>+C28+C30</f>
        <v>0</v>
      </c>
      <c r="D37" s="243">
        <f>+D28+D30</f>
        <v>68651</v>
      </c>
      <c r="E37" s="243">
        <f t="shared" si="2"/>
        <v>68651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258</v>
      </c>
      <c r="B39" s="231" t="s">
        <v>559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549</v>
      </c>
      <c r="C40" s="237">
        <v>345772</v>
      </c>
      <c r="D40" s="237">
        <v>1843242</v>
      </c>
      <c r="E40" s="237">
        <f aca="true" t="shared" si="4" ref="E40:E50">D40-C40</f>
        <v>1497470</v>
      </c>
      <c r="F40" s="238">
        <f aca="true" t="shared" si="5" ref="F40:F50">IF(C40=0,0,E40/C40)</f>
        <v>4.330801800030078</v>
      </c>
    </row>
    <row r="41" spans="1:6" ht="20.25" customHeight="1">
      <c r="A41" s="235">
        <v>2</v>
      </c>
      <c r="B41" s="236" t="s">
        <v>550</v>
      </c>
      <c r="C41" s="237">
        <v>154849</v>
      </c>
      <c r="D41" s="237">
        <v>720298</v>
      </c>
      <c r="E41" s="237">
        <f t="shared" si="4"/>
        <v>565449</v>
      </c>
      <c r="F41" s="238">
        <f t="shared" si="5"/>
        <v>3.6516154447235696</v>
      </c>
    </row>
    <row r="42" spans="1:6" ht="20.25" customHeight="1">
      <c r="A42" s="235">
        <v>3</v>
      </c>
      <c r="B42" s="236" t="s">
        <v>551</v>
      </c>
      <c r="C42" s="237">
        <v>460526</v>
      </c>
      <c r="D42" s="237">
        <v>2967345</v>
      </c>
      <c r="E42" s="237">
        <f t="shared" si="4"/>
        <v>2506819</v>
      </c>
      <c r="F42" s="238">
        <f t="shared" si="5"/>
        <v>5.443382132604891</v>
      </c>
    </row>
    <row r="43" spans="1:6" ht="20.25" customHeight="1">
      <c r="A43" s="235">
        <v>4</v>
      </c>
      <c r="B43" s="236" t="s">
        <v>552</v>
      </c>
      <c r="C43" s="237">
        <v>122676</v>
      </c>
      <c r="D43" s="237">
        <v>810406</v>
      </c>
      <c r="E43" s="237">
        <f t="shared" si="4"/>
        <v>687730</v>
      </c>
      <c r="F43" s="238">
        <f t="shared" si="5"/>
        <v>5.606068016563957</v>
      </c>
    </row>
    <row r="44" spans="1:6" ht="20.25" customHeight="1">
      <c r="A44" s="235">
        <v>5</v>
      </c>
      <c r="B44" s="236" t="s">
        <v>488</v>
      </c>
      <c r="C44" s="239">
        <v>9</v>
      </c>
      <c r="D44" s="239">
        <v>82</v>
      </c>
      <c r="E44" s="239">
        <f t="shared" si="4"/>
        <v>73</v>
      </c>
      <c r="F44" s="238">
        <f t="shared" si="5"/>
        <v>8.11111111111111</v>
      </c>
    </row>
    <row r="45" spans="1:6" ht="20.25" customHeight="1">
      <c r="A45" s="235">
        <v>6</v>
      </c>
      <c r="B45" s="236" t="s">
        <v>487</v>
      </c>
      <c r="C45" s="239">
        <v>85</v>
      </c>
      <c r="D45" s="239">
        <v>426</v>
      </c>
      <c r="E45" s="239">
        <f t="shared" si="4"/>
        <v>341</v>
      </c>
      <c r="F45" s="238">
        <f t="shared" si="5"/>
        <v>4.011764705882353</v>
      </c>
    </row>
    <row r="46" spans="1:6" ht="20.25" customHeight="1">
      <c r="A46" s="235">
        <v>7</v>
      </c>
      <c r="B46" s="236" t="s">
        <v>553</v>
      </c>
      <c r="C46" s="239">
        <v>416</v>
      </c>
      <c r="D46" s="239">
        <v>3099</v>
      </c>
      <c r="E46" s="239">
        <f t="shared" si="4"/>
        <v>2683</v>
      </c>
      <c r="F46" s="238">
        <f t="shared" si="5"/>
        <v>6.449519230769231</v>
      </c>
    </row>
    <row r="47" spans="1:6" ht="20.25" customHeight="1">
      <c r="A47" s="235">
        <v>8</v>
      </c>
      <c r="B47" s="236" t="s">
        <v>554</v>
      </c>
      <c r="C47" s="239">
        <v>27</v>
      </c>
      <c r="D47" s="239">
        <v>130</v>
      </c>
      <c r="E47" s="239">
        <f t="shared" si="4"/>
        <v>103</v>
      </c>
      <c r="F47" s="238">
        <f t="shared" si="5"/>
        <v>3.814814814814815</v>
      </c>
    </row>
    <row r="48" spans="1:6" ht="20.25" customHeight="1">
      <c r="A48" s="235">
        <v>9</v>
      </c>
      <c r="B48" s="236" t="s">
        <v>555</v>
      </c>
      <c r="C48" s="239">
        <v>5</v>
      </c>
      <c r="D48" s="239">
        <v>56</v>
      </c>
      <c r="E48" s="239">
        <f t="shared" si="4"/>
        <v>51</v>
      </c>
      <c r="F48" s="238">
        <f t="shared" si="5"/>
        <v>10.2</v>
      </c>
    </row>
    <row r="49" spans="1:6" s="240" customFormat="1" ht="20.25" customHeight="1">
      <c r="A49" s="241"/>
      <c r="B49" s="242" t="s">
        <v>556</v>
      </c>
      <c r="C49" s="243">
        <f>+C40+C42</f>
        <v>806298</v>
      </c>
      <c r="D49" s="243">
        <f>+D40+D42</f>
        <v>4810587</v>
      </c>
      <c r="E49" s="243">
        <f t="shared" si="4"/>
        <v>4004289</v>
      </c>
      <c r="F49" s="244">
        <f t="shared" si="5"/>
        <v>4.966264334030346</v>
      </c>
    </row>
    <row r="50" spans="1:6" s="240" customFormat="1" ht="20.25" customHeight="1">
      <c r="A50" s="241"/>
      <c r="B50" s="242" t="s">
        <v>557</v>
      </c>
      <c r="C50" s="243">
        <f>+C41+C43</f>
        <v>277525</v>
      </c>
      <c r="D50" s="243">
        <f>+D41+D43</f>
        <v>1530704</v>
      </c>
      <c r="E50" s="243">
        <f t="shared" si="4"/>
        <v>1253179</v>
      </c>
      <c r="F50" s="244">
        <f t="shared" si="5"/>
        <v>4.5155535537338976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288</v>
      </c>
      <c r="B52" s="231" t="s">
        <v>560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549</v>
      </c>
      <c r="C53" s="237">
        <v>6916893</v>
      </c>
      <c r="D53" s="237">
        <v>8450502</v>
      </c>
      <c r="E53" s="237">
        <f aca="true" t="shared" si="6" ref="E53:E63">D53-C53</f>
        <v>1533609</v>
      </c>
      <c r="F53" s="238">
        <f aca="true" t="shared" si="7" ref="F53:F63">IF(C53=0,0,E53/C53)</f>
        <v>0.2217193471114849</v>
      </c>
    </row>
    <row r="54" spans="1:6" ht="20.25" customHeight="1">
      <c r="A54" s="235">
        <v>2</v>
      </c>
      <c r="B54" s="236" t="s">
        <v>550</v>
      </c>
      <c r="C54" s="237">
        <v>2540229</v>
      </c>
      <c r="D54" s="237">
        <v>3279601</v>
      </c>
      <c r="E54" s="237">
        <f t="shared" si="6"/>
        <v>739372</v>
      </c>
      <c r="F54" s="238">
        <f t="shared" si="7"/>
        <v>0.2910650968869342</v>
      </c>
    </row>
    <row r="55" spans="1:6" ht="20.25" customHeight="1">
      <c r="A55" s="235">
        <v>3</v>
      </c>
      <c r="B55" s="236" t="s">
        <v>551</v>
      </c>
      <c r="C55" s="237">
        <v>7319605</v>
      </c>
      <c r="D55" s="237">
        <v>7273257</v>
      </c>
      <c r="E55" s="237">
        <f t="shared" si="6"/>
        <v>-46348</v>
      </c>
      <c r="F55" s="238">
        <f t="shared" si="7"/>
        <v>-0.00633203567678857</v>
      </c>
    </row>
    <row r="56" spans="1:6" ht="20.25" customHeight="1">
      <c r="A56" s="235">
        <v>4</v>
      </c>
      <c r="B56" s="236" t="s">
        <v>552</v>
      </c>
      <c r="C56" s="237">
        <v>1972361</v>
      </c>
      <c r="D56" s="237">
        <v>1963117</v>
      </c>
      <c r="E56" s="237">
        <f t="shared" si="6"/>
        <v>-9244</v>
      </c>
      <c r="F56" s="238">
        <f t="shared" si="7"/>
        <v>-0.004686768801451661</v>
      </c>
    </row>
    <row r="57" spans="1:6" ht="20.25" customHeight="1">
      <c r="A57" s="235">
        <v>5</v>
      </c>
      <c r="B57" s="236" t="s">
        <v>488</v>
      </c>
      <c r="C57" s="239">
        <v>353</v>
      </c>
      <c r="D57" s="239">
        <v>293</v>
      </c>
      <c r="E57" s="239">
        <f t="shared" si="6"/>
        <v>-60</v>
      </c>
      <c r="F57" s="238">
        <f t="shared" si="7"/>
        <v>-0.16997167138810199</v>
      </c>
    </row>
    <row r="58" spans="1:6" ht="20.25" customHeight="1">
      <c r="A58" s="235">
        <v>6</v>
      </c>
      <c r="B58" s="236" t="s">
        <v>487</v>
      </c>
      <c r="C58" s="239">
        <v>1850</v>
      </c>
      <c r="D58" s="239">
        <v>1859</v>
      </c>
      <c r="E58" s="239">
        <f t="shared" si="6"/>
        <v>9</v>
      </c>
      <c r="F58" s="238">
        <f t="shared" si="7"/>
        <v>0.004864864864864865</v>
      </c>
    </row>
    <row r="59" spans="1:6" ht="20.25" customHeight="1">
      <c r="A59" s="235">
        <v>7</v>
      </c>
      <c r="B59" s="236" t="s">
        <v>553</v>
      </c>
      <c r="C59" s="239">
        <v>8082</v>
      </c>
      <c r="D59" s="239">
        <v>7231</v>
      </c>
      <c r="E59" s="239">
        <f t="shared" si="6"/>
        <v>-851</v>
      </c>
      <c r="F59" s="238">
        <f t="shared" si="7"/>
        <v>-0.10529571888146498</v>
      </c>
    </row>
    <row r="60" spans="1:6" ht="20.25" customHeight="1">
      <c r="A60" s="235">
        <v>8</v>
      </c>
      <c r="B60" s="236" t="s">
        <v>554</v>
      </c>
      <c r="C60" s="239">
        <v>515</v>
      </c>
      <c r="D60" s="239">
        <v>497</v>
      </c>
      <c r="E60" s="239">
        <f t="shared" si="6"/>
        <v>-18</v>
      </c>
      <c r="F60" s="238">
        <f t="shared" si="7"/>
        <v>-0.03495145631067961</v>
      </c>
    </row>
    <row r="61" spans="1:6" ht="20.25" customHeight="1">
      <c r="A61" s="235">
        <v>9</v>
      </c>
      <c r="B61" s="236" t="s">
        <v>555</v>
      </c>
      <c r="C61" s="239">
        <v>236</v>
      </c>
      <c r="D61" s="239">
        <v>214</v>
      </c>
      <c r="E61" s="239">
        <f t="shared" si="6"/>
        <v>-22</v>
      </c>
      <c r="F61" s="238">
        <f t="shared" si="7"/>
        <v>-0.09322033898305085</v>
      </c>
    </row>
    <row r="62" spans="1:6" s="240" customFormat="1" ht="20.25" customHeight="1">
      <c r="A62" s="241"/>
      <c r="B62" s="242" t="s">
        <v>556</v>
      </c>
      <c r="C62" s="243">
        <f>+C53+C55</f>
        <v>14236498</v>
      </c>
      <c r="D62" s="243">
        <f>+D53+D55</f>
        <v>15723759</v>
      </c>
      <c r="E62" s="243">
        <f t="shared" si="6"/>
        <v>1487261</v>
      </c>
      <c r="F62" s="244">
        <f t="shared" si="7"/>
        <v>0.10446817749702209</v>
      </c>
    </row>
    <row r="63" spans="1:6" s="240" customFormat="1" ht="20.25" customHeight="1">
      <c r="A63" s="241"/>
      <c r="B63" s="242" t="s">
        <v>557</v>
      </c>
      <c r="C63" s="243">
        <f>+C54+C56</f>
        <v>4512590</v>
      </c>
      <c r="D63" s="243">
        <f>+D54+D56</f>
        <v>5242718</v>
      </c>
      <c r="E63" s="243">
        <f t="shared" si="6"/>
        <v>730128</v>
      </c>
      <c r="F63" s="244">
        <f t="shared" si="7"/>
        <v>0.16179799184060595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293</v>
      </c>
      <c r="B65" s="231" t="s">
        <v>561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549</v>
      </c>
      <c r="C66" s="237">
        <v>1120143</v>
      </c>
      <c r="D66" s="237">
        <v>1000569</v>
      </c>
      <c r="E66" s="237">
        <f aca="true" t="shared" si="8" ref="E66:E76">D66-C66</f>
        <v>-119574</v>
      </c>
      <c r="F66" s="238">
        <f aca="true" t="shared" si="9" ref="F66:F76">IF(C66=0,0,E66/C66)</f>
        <v>-0.10674887045671848</v>
      </c>
    </row>
    <row r="67" spans="1:6" ht="20.25" customHeight="1">
      <c r="A67" s="235">
        <v>2</v>
      </c>
      <c r="B67" s="236" t="s">
        <v>550</v>
      </c>
      <c r="C67" s="237">
        <v>436520</v>
      </c>
      <c r="D67" s="237">
        <v>401389</v>
      </c>
      <c r="E67" s="237">
        <f t="shared" si="8"/>
        <v>-35131</v>
      </c>
      <c r="F67" s="238">
        <f t="shared" si="9"/>
        <v>-0.08047970310638687</v>
      </c>
    </row>
    <row r="68" spans="1:6" ht="20.25" customHeight="1">
      <c r="A68" s="235">
        <v>3</v>
      </c>
      <c r="B68" s="236" t="s">
        <v>551</v>
      </c>
      <c r="C68" s="237">
        <v>775161</v>
      </c>
      <c r="D68" s="237">
        <v>1186762</v>
      </c>
      <c r="E68" s="237">
        <f t="shared" si="8"/>
        <v>411601</v>
      </c>
      <c r="F68" s="238">
        <f t="shared" si="9"/>
        <v>0.5309877560919603</v>
      </c>
    </row>
    <row r="69" spans="1:6" ht="20.25" customHeight="1">
      <c r="A69" s="235">
        <v>4</v>
      </c>
      <c r="B69" s="236" t="s">
        <v>552</v>
      </c>
      <c r="C69" s="237">
        <v>224796</v>
      </c>
      <c r="D69" s="237">
        <v>329754</v>
      </c>
      <c r="E69" s="237">
        <f t="shared" si="8"/>
        <v>104958</v>
      </c>
      <c r="F69" s="238">
        <f t="shared" si="9"/>
        <v>0.46690332568195164</v>
      </c>
    </row>
    <row r="70" spans="1:6" ht="20.25" customHeight="1">
      <c r="A70" s="235">
        <v>5</v>
      </c>
      <c r="B70" s="236" t="s">
        <v>488</v>
      </c>
      <c r="C70" s="239">
        <v>59</v>
      </c>
      <c r="D70" s="239">
        <v>48</v>
      </c>
      <c r="E70" s="239">
        <f t="shared" si="8"/>
        <v>-11</v>
      </c>
      <c r="F70" s="238">
        <f t="shared" si="9"/>
        <v>-0.1864406779661017</v>
      </c>
    </row>
    <row r="71" spans="1:6" ht="20.25" customHeight="1">
      <c r="A71" s="235">
        <v>6</v>
      </c>
      <c r="B71" s="236" t="s">
        <v>487</v>
      </c>
      <c r="C71" s="239">
        <v>352</v>
      </c>
      <c r="D71" s="239">
        <v>288</v>
      </c>
      <c r="E71" s="239">
        <f t="shared" si="8"/>
        <v>-64</v>
      </c>
      <c r="F71" s="238">
        <f t="shared" si="9"/>
        <v>-0.18181818181818182</v>
      </c>
    </row>
    <row r="72" spans="1:6" ht="20.25" customHeight="1">
      <c r="A72" s="235">
        <v>7</v>
      </c>
      <c r="B72" s="236" t="s">
        <v>553</v>
      </c>
      <c r="C72" s="239">
        <v>754</v>
      </c>
      <c r="D72" s="239">
        <v>1155</v>
      </c>
      <c r="E72" s="239">
        <f t="shared" si="8"/>
        <v>401</v>
      </c>
      <c r="F72" s="238">
        <f t="shared" si="9"/>
        <v>0.5318302387267905</v>
      </c>
    </row>
    <row r="73" spans="1:6" ht="20.25" customHeight="1">
      <c r="A73" s="235">
        <v>8</v>
      </c>
      <c r="B73" s="236" t="s">
        <v>554</v>
      </c>
      <c r="C73" s="239">
        <v>144</v>
      </c>
      <c r="D73" s="239">
        <v>174</v>
      </c>
      <c r="E73" s="239">
        <f t="shared" si="8"/>
        <v>30</v>
      </c>
      <c r="F73" s="238">
        <f t="shared" si="9"/>
        <v>0.20833333333333334</v>
      </c>
    </row>
    <row r="74" spans="1:6" ht="20.25" customHeight="1">
      <c r="A74" s="235">
        <v>9</v>
      </c>
      <c r="B74" s="236" t="s">
        <v>555</v>
      </c>
      <c r="C74" s="239">
        <v>44</v>
      </c>
      <c r="D74" s="239">
        <v>37</v>
      </c>
      <c r="E74" s="239">
        <f t="shared" si="8"/>
        <v>-7</v>
      </c>
      <c r="F74" s="238">
        <f t="shared" si="9"/>
        <v>-0.1590909090909091</v>
      </c>
    </row>
    <row r="75" spans="1:6" s="240" customFormat="1" ht="20.25" customHeight="1">
      <c r="A75" s="241"/>
      <c r="B75" s="242" t="s">
        <v>556</v>
      </c>
      <c r="C75" s="243">
        <f>+C66+C68</f>
        <v>1895304</v>
      </c>
      <c r="D75" s="243">
        <f>+D66+D68</f>
        <v>2187331</v>
      </c>
      <c r="E75" s="243">
        <f t="shared" si="8"/>
        <v>292027</v>
      </c>
      <c r="F75" s="244">
        <f t="shared" si="9"/>
        <v>0.15407924005858692</v>
      </c>
    </row>
    <row r="76" spans="1:6" s="240" customFormat="1" ht="20.25" customHeight="1">
      <c r="A76" s="241"/>
      <c r="B76" s="242" t="s">
        <v>557</v>
      </c>
      <c r="C76" s="243">
        <f>+C67+C69</f>
        <v>661316</v>
      </c>
      <c r="D76" s="243">
        <f>+D67+D69</f>
        <v>731143</v>
      </c>
      <c r="E76" s="243">
        <f t="shared" si="8"/>
        <v>69827</v>
      </c>
      <c r="F76" s="244">
        <f t="shared" si="9"/>
        <v>0.10558794887769236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299</v>
      </c>
      <c r="B78" s="231" t="s">
        <v>562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549</v>
      </c>
      <c r="C79" s="237">
        <v>0</v>
      </c>
      <c r="D79" s="237">
        <v>0</v>
      </c>
      <c r="E79" s="237">
        <f aca="true" t="shared" si="10" ref="E79:E89">D79-C79</f>
        <v>0</v>
      </c>
      <c r="F79" s="238">
        <f aca="true" t="shared" si="11" ref="F79:F89">IF(C79=0,0,E79/C79)</f>
        <v>0</v>
      </c>
    </row>
    <row r="80" spans="1:6" ht="20.25" customHeight="1">
      <c r="A80" s="235">
        <v>2</v>
      </c>
      <c r="B80" s="236" t="s">
        <v>550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>
      <c r="A81" s="235">
        <v>3</v>
      </c>
      <c r="B81" s="236" t="s">
        <v>551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>
      <c r="A82" s="235">
        <v>4</v>
      </c>
      <c r="B82" s="236" t="s">
        <v>552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>
      <c r="A83" s="235">
        <v>5</v>
      </c>
      <c r="B83" s="236" t="s">
        <v>488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>
      <c r="A84" s="235">
        <v>6</v>
      </c>
      <c r="B84" s="236" t="s">
        <v>487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>
      <c r="A85" s="235">
        <v>7</v>
      </c>
      <c r="B85" s="236" t="s">
        <v>553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>
      <c r="A86" s="235">
        <v>8</v>
      </c>
      <c r="B86" s="236" t="s">
        <v>554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>
      <c r="A87" s="235">
        <v>9</v>
      </c>
      <c r="B87" s="236" t="s">
        <v>555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>
      <c r="A88" s="241"/>
      <c r="B88" s="242" t="s">
        <v>556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>
      <c r="A89" s="241"/>
      <c r="B89" s="242" t="s">
        <v>557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301</v>
      </c>
      <c r="B91" s="231" t="s">
        <v>563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549</v>
      </c>
      <c r="C92" s="237">
        <v>0</v>
      </c>
      <c r="D92" s="237">
        <v>0</v>
      </c>
      <c r="E92" s="237">
        <f aca="true" t="shared" si="12" ref="E92:E102">D92-C92</f>
        <v>0</v>
      </c>
      <c r="F92" s="238">
        <f aca="true" t="shared" si="13" ref="F92:F102">IF(C92=0,0,E92/C92)</f>
        <v>0</v>
      </c>
    </row>
    <row r="93" spans="1:6" ht="20.25" customHeight="1">
      <c r="A93" s="235">
        <v>2</v>
      </c>
      <c r="B93" s="236" t="s">
        <v>550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>
      <c r="A94" s="235">
        <v>3</v>
      </c>
      <c r="B94" s="236" t="s">
        <v>551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>
      <c r="A95" s="235">
        <v>4</v>
      </c>
      <c r="B95" s="236" t="s">
        <v>552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>
      <c r="A96" s="235">
        <v>5</v>
      </c>
      <c r="B96" s="236" t="s">
        <v>488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>
      <c r="A97" s="235">
        <v>6</v>
      </c>
      <c r="B97" s="236" t="s">
        <v>487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>
      <c r="A98" s="235">
        <v>7</v>
      </c>
      <c r="B98" s="236" t="s">
        <v>553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>
      <c r="A99" s="235">
        <v>8</v>
      </c>
      <c r="B99" s="236" t="s">
        <v>554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>
      <c r="A100" s="235">
        <v>9</v>
      </c>
      <c r="B100" s="236" t="s">
        <v>555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>
      <c r="A101" s="241"/>
      <c r="B101" s="242" t="s">
        <v>556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>
      <c r="A102" s="241"/>
      <c r="B102" s="242" t="s">
        <v>557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304</v>
      </c>
      <c r="B104" s="231" t="s">
        <v>564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549</v>
      </c>
      <c r="C105" s="237">
        <v>312963</v>
      </c>
      <c r="D105" s="237">
        <v>200517</v>
      </c>
      <c r="E105" s="237">
        <f aca="true" t="shared" si="14" ref="E105:E115">D105-C105</f>
        <v>-112446</v>
      </c>
      <c r="F105" s="238">
        <f aca="true" t="shared" si="15" ref="F105:F115">IF(C105=0,0,E105/C105)</f>
        <v>-0.3592948687225007</v>
      </c>
    </row>
    <row r="106" spans="1:6" ht="20.25" customHeight="1">
      <c r="A106" s="235">
        <v>2</v>
      </c>
      <c r="B106" s="236" t="s">
        <v>550</v>
      </c>
      <c r="C106" s="237">
        <v>130254</v>
      </c>
      <c r="D106" s="237">
        <v>106141</v>
      </c>
      <c r="E106" s="237">
        <f t="shared" si="14"/>
        <v>-24113</v>
      </c>
      <c r="F106" s="238">
        <f t="shared" si="15"/>
        <v>-0.18512291369171005</v>
      </c>
    </row>
    <row r="107" spans="1:6" ht="20.25" customHeight="1">
      <c r="A107" s="235">
        <v>3</v>
      </c>
      <c r="B107" s="236" t="s">
        <v>551</v>
      </c>
      <c r="C107" s="237">
        <v>265402</v>
      </c>
      <c r="D107" s="237">
        <v>527741</v>
      </c>
      <c r="E107" s="237">
        <f t="shared" si="14"/>
        <v>262339</v>
      </c>
      <c r="F107" s="238">
        <f t="shared" si="15"/>
        <v>0.9884590168875894</v>
      </c>
    </row>
    <row r="108" spans="1:6" ht="20.25" customHeight="1">
      <c r="A108" s="235">
        <v>4</v>
      </c>
      <c r="B108" s="236" t="s">
        <v>552</v>
      </c>
      <c r="C108" s="237">
        <v>74093</v>
      </c>
      <c r="D108" s="237">
        <v>148029</v>
      </c>
      <c r="E108" s="237">
        <f t="shared" si="14"/>
        <v>73936</v>
      </c>
      <c r="F108" s="238">
        <f t="shared" si="15"/>
        <v>0.9978810413939239</v>
      </c>
    </row>
    <row r="109" spans="1:6" ht="20.25" customHeight="1">
      <c r="A109" s="235">
        <v>5</v>
      </c>
      <c r="B109" s="236" t="s">
        <v>488</v>
      </c>
      <c r="C109" s="239">
        <v>14</v>
      </c>
      <c r="D109" s="239">
        <v>14</v>
      </c>
      <c r="E109" s="239">
        <f t="shared" si="14"/>
        <v>0</v>
      </c>
      <c r="F109" s="238">
        <f t="shared" si="15"/>
        <v>0</v>
      </c>
    </row>
    <row r="110" spans="1:6" ht="20.25" customHeight="1">
      <c r="A110" s="235">
        <v>6</v>
      </c>
      <c r="B110" s="236" t="s">
        <v>487</v>
      </c>
      <c r="C110" s="239">
        <v>97</v>
      </c>
      <c r="D110" s="239">
        <v>66</v>
      </c>
      <c r="E110" s="239">
        <f t="shared" si="14"/>
        <v>-31</v>
      </c>
      <c r="F110" s="238">
        <f t="shared" si="15"/>
        <v>-0.31958762886597936</v>
      </c>
    </row>
    <row r="111" spans="1:6" ht="20.25" customHeight="1">
      <c r="A111" s="235">
        <v>7</v>
      </c>
      <c r="B111" s="236" t="s">
        <v>553</v>
      </c>
      <c r="C111" s="239">
        <v>247</v>
      </c>
      <c r="D111" s="239">
        <v>501</v>
      </c>
      <c r="E111" s="239">
        <f t="shared" si="14"/>
        <v>254</v>
      </c>
      <c r="F111" s="238">
        <f t="shared" si="15"/>
        <v>1.0283400809716599</v>
      </c>
    </row>
    <row r="112" spans="1:6" ht="20.25" customHeight="1">
      <c r="A112" s="235">
        <v>8</v>
      </c>
      <c r="B112" s="236" t="s">
        <v>554</v>
      </c>
      <c r="C112" s="239">
        <v>42</v>
      </c>
      <c r="D112" s="239">
        <v>97</v>
      </c>
      <c r="E112" s="239">
        <f t="shared" si="14"/>
        <v>55</v>
      </c>
      <c r="F112" s="238">
        <f t="shared" si="15"/>
        <v>1.3095238095238095</v>
      </c>
    </row>
    <row r="113" spans="1:6" ht="20.25" customHeight="1">
      <c r="A113" s="235">
        <v>9</v>
      </c>
      <c r="B113" s="236" t="s">
        <v>555</v>
      </c>
      <c r="C113" s="239">
        <v>10</v>
      </c>
      <c r="D113" s="239">
        <v>12</v>
      </c>
      <c r="E113" s="239">
        <f t="shared" si="14"/>
        <v>2</v>
      </c>
      <c r="F113" s="238">
        <f t="shared" si="15"/>
        <v>0.2</v>
      </c>
    </row>
    <row r="114" spans="1:6" s="240" customFormat="1" ht="20.25" customHeight="1">
      <c r="A114" s="241"/>
      <c r="B114" s="242" t="s">
        <v>556</v>
      </c>
      <c r="C114" s="243">
        <f>+C105+C107</f>
        <v>578365</v>
      </c>
      <c r="D114" s="243">
        <f>+D105+D107</f>
        <v>728258</v>
      </c>
      <c r="E114" s="243">
        <f t="shared" si="14"/>
        <v>149893</v>
      </c>
      <c r="F114" s="244">
        <f t="shared" si="15"/>
        <v>0.2591667891383469</v>
      </c>
    </row>
    <row r="115" spans="1:6" s="240" customFormat="1" ht="20.25" customHeight="1">
      <c r="A115" s="241"/>
      <c r="B115" s="242" t="s">
        <v>557</v>
      </c>
      <c r="C115" s="243">
        <f>+C106+C108</f>
        <v>204347</v>
      </c>
      <c r="D115" s="243">
        <f>+D106+D108</f>
        <v>254170</v>
      </c>
      <c r="E115" s="243">
        <f t="shared" si="14"/>
        <v>49823</v>
      </c>
      <c r="F115" s="244">
        <f t="shared" si="15"/>
        <v>0.24381566648886452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307</v>
      </c>
      <c r="B117" s="231" t="s">
        <v>565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549</v>
      </c>
      <c r="C118" s="237">
        <v>1022898</v>
      </c>
      <c r="D118" s="237">
        <v>1235977</v>
      </c>
      <c r="E118" s="237">
        <f aca="true" t="shared" si="16" ref="E118:E128">D118-C118</f>
        <v>213079</v>
      </c>
      <c r="F118" s="238">
        <f aca="true" t="shared" si="17" ref="F118:F128">IF(C118=0,0,E118/C118)</f>
        <v>0.20830913737244575</v>
      </c>
    </row>
    <row r="119" spans="1:6" ht="20.25" customHeight="1">
      <c r="A119" s="235">
        <v>2</v>
      </c>
      <c r="B119" s="236" t="s">
        <v>550</v>
      </c>
      <c r="C119" s="237">
        <v>427176</v>
      </c>
      <c r="D119" s="237">
        <v>515417</v>
      </c>
      <c r="E119" s="237">
        <f t="shared" si="16"/>
        <v>88241</v>
      </c>
      <c r="F119" s="238">
        <f t="shared" si="17"/>
        <v>0.20656825289810288</v>
      </c>
    </row>
    <row r="120" spans="1:6" ht="20.25" customHeight="1">
      <c r="A120" s="235">
        <v>3</v>
      </c>
      <c r="B120" s="236" t="s">
        <v>551</v>
      </c>
      <c r="C120" s="237">
        <v>1394664</v>
      </c>
      <c r="D120" s="237">
        <v>1813290</v>
      </c>
      <c r="E120" s="237">
        <f t="shared" si="16"/>
        <v>418626</v>
      </c>
      <c r="F120" s="238">
        <f t="shared" si="17"/>
        <v>0.3001626198138046</v>
      </c>
    </row>
    <row r="121" spans="1:6" ht="20.25" customHeight="1">
      <c r="A121" s="235">
        <v>4</v>
      </c>
      <c r="B121" s="236" t="s">
        <v>552</v>
      </c>
      <c r="C121" s="237">
        <v>476617</v>
      </c>
      <c r="D121" s="237">
        <v>635594</v>
      </c>
      <c r="E121" s="237">
        <f t="shared" si="16"/>
        <v>158977</v>
      </c>
      <c r="F121" s="238">
        <f t="shared" si="17"/>
        <v>0.33355293663465635</v>
      </c>
    </row>
    <row r="122" spans="1:6" ht="20.25" customHeight="1">
      <c r="A122" s="235">
        <v>5</v>
      </c>
      <c r="B122" s="236" t="s">
        <v>488</v>
      </c>
      <c r="C122" s="239">
        <v>55</v>
      </c>
      <c r="D122" s="239">
        <v>64</v>
      </c>
      <c r="E122" s="239">
        <f t="shared" si="16"/>
        <v>9</v>
      </c>
      <c r="F122" s="238">
        <f t="shared" si="17"/>
        <v>0.16363636363636364</v>
      </c>
    </row>
    <row r="123" spans="1:6" ht="20.25" customHeight="1">
      <c r="A123" s="235">
        <v>6</v>
      </c>
      <c r="B123" s="236" t="s">
        <v>487</v>
      </c>
      <c r="C123" s="239">
        <v>312</v>
      </c>
      <c r="D123" s="239">
        <v>323</v>
      </c>
      <c r="E123" s="239">
        <f t="shared" si="16"/>
        <v>11</v>
      </c>
      <c r="F123" s="238">
        <f t="shared" si="17"/>
        <v>0.035256410256410256</v>
      </c>
    </row>
    <row r="124" spans="1:6" ht="20.25" customHeight="1">
      <c r="A124" s="235">
        <v>7</v>
      </c>
      <c r="B124" s="236" t="s">
        <v>553</v>
      </c>
      <c r="C124" s="239">
        <v>2041</v>
      </c>
      <c r="D124" s="239">
        <v>2111</v>
      </c>
      <c r="E124" s="239">
        <f t="shared" si="16"/>
        <v>70</v>
      </c>
      <c r="F124" s="238">
        <f t="shared" si="17"/>
        <v>0.034296913277805</v>
      </c>
    </row>
    <row r="125" spans="1:6" ht="20.25" customHeight="1">
      <c r="A125" s="235">
        <v>8</v>
      </c>
      <c r="B125" s="236" t="s">
        <v>554</v>
      </c>
      <c r="C125" s="239">
        <v>89</v>
      </c>
      <c r="D125" s="239">
        <v>133</v>
      </c>
      <c r="E125" s="239">
        <f t="shared" si="16"/>
        <v>44</v>
      </c>
      <c r="F125" s="238">
        <f t="shared" si="17"/>
        <v>0.4943820224719101</v>
      </c>
    </row>
    <row r="126" spans="1:6" ht="20.25" customHeight="1">
      <c r="A126" s="235">
        <v>9</v>
      </c>
      <c r="B126" s="236" t="s">
        <v>555</v>
      </c>
      <c r="C126" s="239">
        <v>40</v>
      </c>
      <c r="D126" s="239">
        <v>53</v>
      </c>
      <c r="E126" s="239">
        <f t="shared" si="16"/>
        <v>13</v>
      </c>
      <c r="F126" s="238">
        <f t="shared" si="17"/>
        <v>0.325</v>
      </c>
    </row>
    <row r="127" spans="1:6" s="240" customFormat="1" ht="20.25" customHeight="1">
      <c r="A127" s="241"/>
      <c r="B127" s="242" t="s">
        <v>556</v>
      </c>
      <c r="C127" s="243">
        <f>+C118+C120</f>
        <v>2417562</v>
      </c>
      <c r="D127" s="243">
        <f>+D118+D120</f>
        <v>3049267</v>
      </c>
      <c r="E127" s="243">
        <f t="shared" si="16"/>
        <v>631705</v>
      </c>
      <c r="F127" s="244">
        <f t="shared" si="17"/>
        <v>0.2612983658743809</v>
      </c>
    </row>
    <row r="128" spans="1:6" s="240" customFormat="1" ht="20.25" customHeight="1">
      <c r="A128" s="241"/>
      <c r="B128" s="242" t="s">
        <v>557</v>
      </c>
      <c r="C128" s="243">
        <f>+C119+C121</f>
        <v>903793</v>
      </c>
      <c r="D128" s="243">
        <f>+D119+D121</f>
        <v>1151011</v>
      </c>
      <c r="E128" s="243">
        <f t="shared" si="16"/>
        <v>247218</v>
      </c>
      <c r="F128" s="244">
        <f t="shared" si="17"/>
        <v>0.27353387335374363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316</v>
      </c>
      <c r="B130" s="231" t="s">
        <v>566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549</v>
      </c>
      <c r="C131" s="237">
        <v>27220</v>
      </c>
      <c r="D131" s="237">
        <v>82768</v>
      </c>
      <c r="E131" s="237">
        <f aca="true" t="shared" si="18" ref="E131:E141">D131-C131</f>
        <v>55548</v>
      </c>
      <c r="F131" s="238">
        <f aca="true" t="shared" si="19" ref="F131:F141">IF(C131=0,0,E131/C131)</f>
        <v>2.0407053637031596</v>
      </c>
    </row>
    <row r="132" spans="1:6" ht="20.25" customHeight="1">
      <c r="A132" s="235">
        <v>2</v>
      </c>
      <c r="B132" s="236" t="s">
        <v>550</v>
      </c>
      <c r="C132" s="237">
        <v>12727</v>
      </c>
      <c r="D132" s="237">
        <v>58344</v>
      </c>
      <c r="E132" s="237">
        <f t="shared" si="18"/>
        <v>45617</v>
      </c>
      <c r="F132" s="238">
        <f t="shared" si="19"/>
        <v>3.5842696629213484</v>
      </c>
    </row>
    <row r="133" spans="1:6" ht="20.25" customHeight="1">
      <c r="A133" s="235">
        <v>3</v>
      </c>
      <c r="B133" s="236" t="s">
        <v>551</v>
      </c>
      <c r="C133" s="237">
        <v>56012</v>
      </c>
      <c r="D133" s="237">
        <v>61465</v>
      </c>
      <c r="E133" s="237">
        <f t="shared" si="18"/>
        <v>5453</v>
      </c>
      <c r="F133" s="238">
        <f t="shared" si="19"/>
        <v>0.09735413839891452</v>
      </c>
    </row>
    <row r="134" spans="1:6" ht="20.25" customHeight="1">
      <c r="A134" s="235">
        <v>4</v>
      </c>
      <c r="B134" s="236" t="s">
        <v>552</v>
      </c>
      <c r="C134" s="237">
        <v>17330</v>
      </c>
      <c r="D134" s="237">
        <v>16769</v>
      </c>
      <c r="E134" s="237">
        <f t="shared" si="18"/>
        <v>-561</v>
      </c>
      <c r="F134" s="238">
        <f t="shared" si="19"/>
        <v>-0.03237160992498558</v>
      </c>
    </row>
    <row r="135" spans="1:6" ht="20.25" customHeight="1">
      <c r="A135" s="235">
        <v>5</v>
      </c>
      <c r="B135" s="236" t="s">
        <v>488</v>
      </c>
      <c r="C135" s="239">
        <v>2</v>
      </c>
      <c r="D135" s="239">
        <v>2</v>
      </c>
      <c r="E135" s="239">
        <f t="shared" si="18"/>
        <v>0</v>
      </c>
      <c r="F135" s="238">
        <f t="shared" si="19"/>
        <v>0</v>
      </c>
    </row>
    <row r="136" spans="1:6" ht="20.25" customHeight="1">
      <c r="A136" s="235">
        <v>6</v>
      </c>
      <c r="B136" s="236" t="s">
        <v>487</v>
      </c>
      <c r="C136" s="239">
        <v>3</v>
      </c>
      <c r="D136" s="239">
        <v>25</v>
      </c>
      <c r="E136" s="239">
        <f t="shared" si="18"/>
        <v>22</v>
      </c>
      <c r="F136" s="238">
        <f t="shared" si="19"/>
        <v>7.333333333333333</v>
      </c>
    </row>
    <row r="137" spans="1:6" ht="20.25" customHeight="1">
      <c r="A137" s="235">
        <v>7</v>
      </c>
      <c r="B137" s="236" t="s">
        <v>553</v>
      </c>
      <c r="C137" s="239">
        <v>64</v>
      </c>
      <c r="D137" s="239">
        <v>83</v>
      </c>
      <c r="E137" s="239">
        <f t="shared" si="18"/>
        <v>19</v>
      </c>
      <c r="F137" s="238">
        <f t="shared" si="19"/>
        <v>0.296875</v>
      </c>
    </row>
    <row r="138" spans="1:6" ht="20.25" customHeight="1">
      <c r="A138" s="235">
        <v>8</v>
      </c>
      <c r="B138" s="236" t="s">
        <v>554</v>
      </c>
      <c r="C138" s="239">
        <v>4</v>
      </c>
      <c r="D138" s="239">
        <v>9</v>
      </c>
      <c r="E138" s="239">
        <f t="shared" si="18"/>
        <v>5</v>
      </c>
      <c r="F138" s="238">
        <f t="shared" si="19"/>
        <v>1.25</v>
      </c>
    </row>
    <row r="139" spans="1:6" ht="20.25" customHeight="1">
      <c r="A139" s="235">
        <v>9</v>
      </c>
      <c r="B139" s="236" t="s">
        <v>555</v>
      </c>
      <c r="C139" s="239">
        <v>2</v>
      </c>
      <c r="D139" s="239">
        <v>1</v>
      </c>
      <c r="E139" s="239">
        <f t="shared" si="18"/>
        <v>-1</v>
      </c>
      <c r="F139" s="238">
        <f t="shared" si="19"/>
        <v>-0.5</v>
      </c>
    </row>
    <row r="140" spans="1:6" s="240" customFormat="1" ht="20.25" customHeight="1">
      <c r="A140" s="241"/>
      <c r="B140" s="242" t="s">
        <v>556</v>
      </c>
      <c r="C140" s="243">
        <f>+C131+C133</f>
        <v>83232</v>
      </c>
      <c r="D140" s="243">
        <f>+D131+D133</f>
        <v>144233</v>
      </c>
      <c r="E140" s="243">
        <f t="shared" si="18"/>
        <v>61001</v>
      </c>
      <c r="F140" s="244">
        <f t="shared" si="19"/>
        <v>0.7329032103037293</v>
      </c>
    </row>
    <row r="141" spans="1:6" s="240" customFormat="1" ht="20.25" customHeight="1">
      <c r="A141" s="241"/>
      <c r="B141" s="242" t="s">
        <v>557</v>
      </c>
      <c r="C141" s="243">
        <f>+C132+C134</f>
        <v>30057</v>
      </c>
      <c r="D141" s="243">
        <f>+D132+D134</f>
        <v>75113</v>
      </c>
      <c r="E141" s="243">
        <f t="shared" si="18"/>
        <v>45056</v>
      </c>
      <c r="F141" s="244">
        <f t="shared" si="19"/>
        <v>1.4990185314568985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335</v>
      </c>
      <c r="B143" s="231" t="s">
        <v>567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549</v>
      </c>
      <c r="C144" s="237">
        <v>0</v>
      </c>
      <c r="D144" s="237">
        <v>0</v>
      </c>
      <c r="E144" s="237">
        <f aca="true" t="shared" si="20" ref="E144:E154">D144-C144</f>
        <v>0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550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>
      <c r="A146" s="235">
        <v>3</v>
      </c>
      <c r="B146" s="236" t="s">
        <v>551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>
      <c r="A147" s="235">
        <v>4</v>
      </c>
      <c r="B147" s="236" t="s">
        <v>552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>
      <c r="A148" s="235">
        <v>5</v>
      </c>
      <c r="B148" s="236" t="s">
        <v>488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>
      <c r="A149" s="235">
        <v>6</v>
      </c>
      <c r="B149" s="236" t="s">
        <v>487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>
      <c r="A150" s="235">
        <v>7</v>
      </c>
      <c r="B150" s="236" t="s">
        <v>553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>
      <c r="A151" s="235">
        <v>8</v>
      </c>
      <c r="B151" s="236" t="s">
        <v>554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>
      <c r="A152" s="235">
        <v>9</v>
      </c>
      <c r="B152" s="236" t="s">
        <v>555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>
      <c r="A153" s="241"/>
      <c r="B153" s="242" t="s">
        <v>556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>
      <c r="A154" s="241"/>
      <c r="B154" s="242" t="s">
        <v>557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568</v>
      </c>
      <c r="B156" s="231" t="s">
        <v>569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549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550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551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552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488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487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553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554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555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556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557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570</v>
      </c>
      <c r="B169" s="231" t="s">
        <v>571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549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550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551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552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488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487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553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554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555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556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557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572</v>
      </c>
      <c r="B182" s="231" t="s">
        <v>573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549</v>
      </c>
      <c r="C183" s="237">
        <v>0</v>
      </c>
      <c r="D183" s="237">
        <v>0</v>
      </c>
      <c r="E183" s="237">
        <f aca="true" t="shared" si="26" ref="E183:E193">D183-C183</f>
        <v>0</v>
      </c>
      <c r="F183" s="238">
        <f aca="true" t="shared" si="27" ref="F183:F193">IF(C183=0,0,E183/C183)</f>
        <v>0</v>
      </c>
    </row>
    <row r="184" spans="1:6" ht="20.25" customHeight="1">
      <c r="A184" s="235">
        <v>2</v>
      </c>
      <c r="B184" s="236" t="s">
        <v>550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>
      <c r="A185" s="235">
        <v>3</v>
      </c>
      <c r="B185" s="236" t="s">
        <v>551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>
      <c r="A186" s="235">
        <v>4</v>
      </c>
      <c r="B186" s="236" t="s">
        <v>552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>
      <c r="A187" s="235">
        <v>5</v>
      </c>
      <c r="B187" s="236" t="s">
        <v>488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>
      <c r="A188" s="235">
        <v>6</v>
      </c>
      <c r="B188" s="236" t="s">
        <v>487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>
      <c r="A189" s="235">
        <v>7</v>
      </c>
      <c r="B189" s="236" t="s">
        <v>553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>
      <c r="A190" s="235">
        <v>8</v>
      </c>
      <c r="B190" s="236" t="s">
        <v>554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>
      <c r="A191" s="235">
        <v>9</v>
      </c>
      <c r="B191" s="236" t="s">
        <v>555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>
      <c r="A192" s="241"/>
      <c r="B192" s="242" t="s">
        <v>556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6" s="240" customFormat="1" ht="20.25" customHeight="1">
      <c r="A193" s="241"/>
      <c r="B193" s="242" t="s">
        <v>557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88" t="s">
        <v>161</v>
      </c>
      <c r="B195" s="689" t="s">
        <v>574</v>
      </c>
      <c r="C195" s="691"/>
      <c r="D195" s="692"/>
      <c r="E195" s="692"/>
      <c r="F195" s="693"/>
      <c r="G195" s="694"/>
      <c r="H195" s="694"/>
      <c r="I195" s="694"/>
    </row>
    <row r="196" spans="1:9" ht="20.25" customHeight="1">
      <c r="A196" s="680"/>
      <c r="B196" s="690"/>
      <c r="C196" s="686"/>
      <c r="D196" s="660"/>
      <c r="E196" s="660"/>
      <c r="F196" s="661"/>
      <c r="G196" s="694"/>
      <c r="H196" s="694"/>
      <c r="I196" s="694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575</v>
      </c>
      <c r="C198" s="243">
        <f aca="true" t="shared" si="28" ref="C198:D206">+C183+C170+C157+C144+C131+C118+C105+C92+C79+C66+C53+C40+C27+C14</f>
        <v>9810952</v>
      </c>
      <c r="D198" s="243">
        <f t="shared" si="28"/>
        <v>13068480</v>
      </c>
      <c r="E198" s="243">
        <f aca="true" t="shared" si="29" ref="E198:E208">D198-C198</f>
        <v>3257528</v>
      </c>
      <c r="F198" s="251">
        <f aca="true" t="shared" si="30" ref="F198:F208">IF(C198=0,0,E198/C198)</f>
        <v>0.33202975613375746</v>
      </c>
    </row>
    <row r="199" spans="1:6" ht="20.25" customHeight="1">
      <c r="A199" s="249"/>
      <c r="B199" s="250" t="s">
        <v>576</v>
      </c>
      <c r="C199" s="243">
        <f t="shared" si="28"/>
        <v>3725298</v>
      </c>
      <c r="D199" s="243">
        <f t="shared" si="28"/>
        <v>5191461</v>
      </c>
      <c r="E199" s="243">
        <f t="shared" si="29"/>
        <v>1466163</v>
      </c>
      <c r="F199" s="251">
        <f t="shared" si="30"/>
        <v>0.39356931982354165</v>
      </c>
    </row>
    <row r="200" spans="1:6" ht="20.25" customHeight="1">
      <c r="A200" s="249"/>
      <c r="B200" s="250" t="s">
        <v>577</v>
      </c>
      <c r="C200" s="243">
        <f t="shared" si="28"/>
        <v>10457408</v>
      </c>
      <c r="D200" s="243">
        <f t="shared" si="28"/>
        <v>14147086</v>
      </c>
      <c r="E200" s="243">
        <f t="shared" si="29"/>
        <v>3689678</v>
      </c>
      <c r="F200" s="251">
        <f t="shared" si="30"/>
        <v>0.35282911405962164</v>
      </c>
    </row>
    <row r="201" spans="1:6" ht="20.25" customHeight="1">
      <c r="A201" s="249"/>
      <c r="B201" s="250" t="s">
        <v>578</v>
      </c>
      <c r="C201" s="243">
        <f t="shared" si="28"/>
        <v>2951872</v>
      </c>
      <c r="D201" s="243">
        <f t="shared" si="28"/>
        <v>4009742</v>
      </c>
      <c r="E201" s="243">
        <f t="shared" si="29"/>
        <v>1057870</v>
      </c>
      <c r="F201" s="251">
        <f t="shared" si="30"/>
        <v>0.3583725852611495</v>
      </c>
    </row>
    <row r="202" spans="1:6" ht="20.25" customHeight="1">
      <c r="A202" s="249"/>
      <c r="B202" s="250" t="s">
        <v>579</v>
      </c>
      <c r="C202" s="252">
        <f t="shared" si="28"/>
        <v>497</v>
      </c>
      <c r="D202" s="252">
        <f t="shared" si="28"/>
        <v>515</v>
      </c>
      <c r="E202" s="252">
        <f t="shared" si="29"/>
        <v>18</v>
      </c>
      <c r="F202" s="251">
        <f t="shared" si="30"/>
        <v>0.03621730382293763</v>
      </c>
    </row>
    <row r="203" spans="1:6" ht="20.25" customHeight="1">
      <c r="A203" s="249"/>
      <c r="B203" s="250" t="s">
        <v>580</v>
      </c>
      <c r="C203" s="252">
        <f t="shared" si="28"/>
        <v>2711</v>
      </c>
      <c r="D203" s="252">
        <f t="shared" si="28"/>
        <v>3041</v>
      </c>
      <c r="E203" s="252">
        <f t="shared" si="29"/>
        <v>330</v>
      </c>
      <c r="F203" s="251">
        <f t="shared" si="30"/>
        <v>0.1217263002582073</v>
      </c>
    </row>
    <row r="204" spans="1:6" ht="39.75" customHeight="1">
      <c r="A204" s="249"/>
      <c r="B204" s="250" t="s">
        <v>581</v>
      </c>
      <c r="C204" s="252">
        <f t="shared" si="28"/>
        <v>11836</v>
      </c>
      <c r="D204" s="252">
        <f t="shared" si="28"/>
        <v>14554</v>
      </c>
      <c r="E204" s="252">
        <f t="shared" si="29"/>
        <v>2718</v>
      </c>
      <c r="F204" s="251">
        <f t="shared" si="30"/>
        <v>0.22963839134842853</v>
      </c>
    </row>
    <row r="205" spans="1:6" ht="39.75" customHeight="1">
      <c r="A205" s="249"/>
      <c r="B205" s="250" t="s">
        <v>582</v>
      </c>
      <c r="C205" s="252">
        <f t="shared" si="28"/>
        <v>828</v>
      </c>
      <c r="D205" s="252">
        <f t="shared" si="28"/>
        <v>1061</v>
      </c>
      <c r="E205" s="252">
        <f t="shared" si="29"/>
        <v>233</v>
      </c>
      <c r="F205" s="251">
        <f t="shared" si="30"/>
        <v>0.28140096618357485</v>
      </c>
    </row>
    <row r="206" spans="1:6" ht="39.75" customHeight="1">
      <c r="A206" s="249"/>
      <c r="B206" s="250" t="s">
        <v>583</v>
      </c>
      <c r="C206" s="252">
        <f t="shared" si="28"/>
        <v>340</v>
      </c>
      <c r="D206" s="252">
        <f t="shared" si="28"/>
        <v>381</v>
      </c>
      <c r="E206" s="252">
        <f t="shared" si="29"/>
        <v>41</v>
      </c>
      <c r="F206" s="251">
        <f t="shared" si="30"/>
        <v>0.12058823529411765</v>
      </c>
    </row>
    <row r="207" spans="1:6" ht="20.25" customHeight="1">
      <c r="A207" s="249"/>
      <c r="B207" s="242" t="s">
        <v>584</v>
      </c>
      <c r="C207" s="243">
        <f>+C198+C200</f>
        <v>20268360</v>
      </c>
      <c r="D207" s="243">
        <f>+D198+D200</f>
        <v>27215566</v>
      </c>
      <c r="E207" s="243">
        <f t="shared" si="29"/>
        <v>6947206</v>
      </c>
      <c r="F207" s="251">
        <f t="shared" si="30"/>
        <v>0.3427611311423322</v>
      </c>
    </row>
    <row r="208" spans="1:6" ht="20.25" customHeight="1">
      <c r="A208" s="249"/>
      <c r="B208" s="242" t="s">
        <v>585</v>
      </c>
      <c r="C208" s="243">
        <f>+C199+C201</f>
        <v>6677170</v>
      </c>
      <c r="D208" s="243">
        <f>+D199+D201</f>
        <v>9201203</v>
      </c>
      <c r="E208" s="243">
        <f t="shared" si="29"/>
        <v>2524033</v>
      </c>
      <c r="F208" s="251">
        <f t="shared" si="30"/>
        <v>0.37800939619629276</v>
      </c>
    </row>
  </sheetData>
  <sheetProtection/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FILING&amp;RMANCHESTER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B15" sqref="B15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117</v>
      </c>
      <c r="B2" s="687"/>
      <c r="C2" s="687"/>
      <c r="D2" s="687"/>
      <c r="E2" s="687"/>
      <c r="F2" s="687"/>
    </row>
    <row r="3" spans="1:6" ht="20.25" customHeight="1">
      <c r="A3" s="687" t="s">
        <v>118</v>
      </c>
      <c r="B3" s="687"/>
      <c r="C3" s="687"/>
      <c r="D3" s="687"/>
      <c r="E3" s="687"/>
      <c r="F3" s="687"/>
    </row>
    <row r="4" spans="1:6" ht="20.25" customHeight="1">
      <c r="A4" s="687" t="s">
        <v>119</v>
      </c>
      <c r="B4" s="687"/>
      <c r="C4" s="687"/>
      <c r="D4" s="687"/>
      <c r="E4" s="687"/>
      <c r="F4" s="687"/>
    </row>
    <row r="5" spans="1:6" ht="20.25" customHeight="1">
      <c r="A5" s="687" t="s">
        <v>586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545</v>
      </c>
      <c r="D8" s="223" t="s">
        <v>546</v>
      </c>
      <c r="E8" s="223" t="s">
        <v>547</v>
      </c>
      <c r="F8" s="224" t="s">
        <v>225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88" t="s">
        <v>129</v>
      </c>
      <c r="B10" s="689" t="s">
        <v>232</v>
      </c>
      <c r="C10" s="691"/>
      <c r="D10" s="692"/>
      <c r="E10" s="692"/>
      <c r="F10" s="693"/>
    </row>
    <row r="11" spans="1:6" ht="20.25" customHeight="1">
      <c r="A11" s="680"/>
      <c r="B11" s="690"/>
      <c r="C11" s="686"/>
      <c r="D11" s="660"/>
      <c r="E11" s="660"/>
      <c r="F11" s="661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227</v>
      </c>
      <c r="B13" s="261" t="s">
        <v>587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4543150</v>
      </c>
      <c r="D14" s="237">
        <v>1502619</v>
      </c>
      <c r="E14" s="237">
        <f aca="true" t="shared" si="0" ref="E14:E24">D14-C14</f>
        <v>-3040531</v>
      </c>
      <c r="F14" s="238">
        <f aca="true" t="shared" si="1" ref="F14:F24">IF(C14=0,0,E14/C14)</f>
        <v>-0.6692561328593597</v>
      </c>
    </row>
    <row r="15" spans="1:6" ht="20.25" customHeight="1">
      <c r="A15" s="235">
        <v>2</v>
      </c>
      <c r="B15" s="236" t="s">
        <v>550</v>
      </c>
      <c r="C15" s="237">
        <v>1381020</v>
      </c>
      <c r="D15" s="237">
        <v>532553</v>
      </c>
      <c r="E15" s="237">
        <f t="shared" si="0"/>
        <v>-848467</v>
      </c>
      <c r="F15" s="238">
        <f t="shared" si="1"/>
        <v>-0.6143770546407727</v>
      </c>
    </row>
    <row r="16" spans="1:6" ht="20.25" customHeight="1">
      <c r="A16" s="235">
        <v>3</v>
      </c>
      <c r="B16" s="236" t="s">
        <v>551</v>
      </c>
      <c r="C16" s="237">
        <v>10000119</v>
      </c>
      <c r="D16" s="237">
        <v>3369292</v>
      </c>
      <c r="E16" s="237">
        <f t="shared" si="0"/>
        <v>-6630827</v>
      </c>
      <c r="F16" s="238">
        <f t="shared" si="1"/>
        <v>-0.663074809409768</v>
      </c>
    </row>
    <row r="17" spans="1:6" ht="20.25" customHeight="1">
      <c r="A17" s="235">
        <v>4</v>
      </c>
      <c r="B17" s="236" t="s">
        <v>552</v>
      </c>
      <c r="C17" s="237">
        <v>2953503</v>
      </c>
      <c r="D17" s="237">
        <v>824079</v>
      </c>
      <c r="E17" s="237">
        <f t="shared" si="0"/>
        <v>-2129424</v>
      </c>
      <c r="F17" s="238">
        <f t="shared" si="1"/>
        <v>-0.7209825078897838</v>
      </c>
    </row>
    <row r="18" spans="1:6" ht="20.25" customHeight="1">
      <c r="A18" s="235">
        <v>5</v>
      </c>
      <c r="B18" s="236" t="s">
        <v>488</v>
      </c>
      <c r="C18" s="239">
        <v>551</v>
      </c>
      <c r="D18" s="239">
        <v>168</v>
      </c>
      <c r="E18" s="239">
        <f t="shared" si="0"/>
        <v>-383</v>
      </c>
      <c r="F18" s="238">
        <f t="shared" si="1"/>
        <v>-0.6950998185117967</v>
      </c>
    </row>
    <row r="19" spans="1:6" ht="20.25" customHeight="1">
      <c r="A19" s="235">
        <v>6</v>
      </c>
      <c r="B19" s="236" t="s">
        <v>487</v>
      </c>
      <c r="C19" s="239">
        <v>1909</v>
      </c>
      <c r="D19" s="239">
        <v>594</v>
      </c>
      <c r="E19" s="239">
        <f t="shared" si="0"/>
        <v>-1315</v>
      </c>
      <c r="F19" s="238">
        <f t="shared" si="1"/>
        <v>-0.6888423258250392</v>
      </c>
    </row>
    <row r="20" spans="1:6" ht="20.25" customHeight="1">
      <c r="A20" s="235">
        <v>7</v>
      </c>
      <c r="B20" s="236" t="s">
        <v>553</v>
      </c>
      <c r="C20" s="239">
        <v>6624</v>
      </c>
      <c r="D20" s="239">
        <v>1673</v>
      </c>
      <c r="E20" s="239">
        <f t="shared" si="0"/>
        <v>-4951</v>
      </c>
      <c r="F20" s="238">
        <f t="shared" si="1"/>
        <v>-0.747433574879227</v>
      </c>
    </row>
    <row r="21" spans="1:6" ht="20.25" customHeight="1">
      <c r="A21" s="235">
        <v>8</v>
      </c>
      <c r="B21" s="236" t="s">
        <v>554</v>
      </c>
      <c r="C21" s="239">
        <v>4629</v>
      </c>
      <c r="D21" s="239">
        <v>1396</v>
      </c>
      <c r="E21" s="239">
        <f t="shared" si="0"/>
        <v>-3233</v>
      </c>
      <c r="F21" s="238">
        <f t="shared" si="1"/>
        <v>-0.6984229855260315</v>
      </c>
    </row>
    <row r="22" spans="1:6" ht="20.25" customHeight="1">
      <c r="A22" s="235">
        <v>9</v>
      </c>
      <c r="B22" s="236" t="s">
        <v>555</v>
      </c>
      <c r="C22" s="239">
        <v>133</v>
      </c>
      <c r="D22" s="239">
        <v>41</v>
      </c>
      <c r="E22" s="239">
        <f t="shared" si="0"/>
        <v>-92</v>
      </c>
      <c r="F22" s="238">
        <f t="shared" si="1"/>
        <v>-0.6917293233082706</v>
      </c>
    </row>
    <row r="23" spans="1:6" s="240" customFormat="1" ht="39.75" customHeight="1">
      <c r="A23" s="245"/>
      <c r="B23" s="242" t="s">
        <v>556</v>
      </c>
      <c r="C23" s="243">
        <f>+C14+C16</f>
        <v>14543269</v>
      </c>
      <c r="D23" s="243">
        <f>+D14+D16</f>
        <v>4871911</v>
      </c>
      <c r="E23" s="243">
        <f t="shared" si="0"/>
        <v>-9671358</v>
      </c>
      <c r="F23" s="244">
        <f t="shared" si="1"/>
        <v>-0.6650057837752984</v>
      </c>
    </row>
    <row r="24" spans="1:6" s="240" customFormat="1" ht="39.75" customHeight="1">
      <c r="A24" s="245"/>
      <c r="B24" s="242" t="s">
        <v>585</v>
      </c>
      <c r="C24" s="243">
        <f>+C15+C17</f>
        <v>4334523</v>
      </c>
      <c r="D24" s="243">
        <f>+D15+D17</f>
        <v>1356632</v>
      </c>
      <c r="E24" s="243">
        <f t="shared" si="0"/>
        <v>-2977891</v>
      </c>
      <c r="F24" s="244">
        <f t="shared" si="1"/>
        <v>-0.6870170027936177</v>
      </c>
    </row>
    <row r="25" spans="1:6" ht="42" customHeight="1">
      <c r="A25" s="227" t="s">
        <v>241</v>
      </c>
      <c r="B25" s="261" t="s">
        <v>588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549</v>
      </c>
      <c r="C26" s="237">
        <v>515557</v>
      </c>
      <c r="D26" s="237">
        <v>2552506</v>
      </c>
      <c r="E26" s="237">
        <f aca="true" t="shared" si="2" ref="E26:E36">D26-C26</f>
        <v>2036949</v>
      </c>
      <c r="F26" s="238">
        <f aca="true" t="shared" si="3" ref="F26:F36">IF(C26=0,0,E26/C26)</f>
        <v>3.9509675942718263</v>
      </c>
    </row>
    <row r="27" spans="1:6" ht="20.25" customHeight="1">
      <c r="A27" s="235">
        <v>2</v>
      </c>
      <c r="B27" s="236" t="s">
        <v>550</v>
      </c>
      <c r="C27" s="237">
        <v>165342</v>
      </c>
      <c r="D27" s="237">
        <v>1159687</v>
      </c>
      <c r="E27" s="237">
        <f t="shared" si="2"/>
        <v>994345</v>
      </c>
      <c r="F27" s="238">
        <f t="shared" si="3"/>
        <v>6.0138682246495145</v>
      </c>
    </row>
    <row r="28" spans="1:6" ht="20.25" customHeight="1">
      <c r="A28" s="235">
        <v>3</v>
      </c>
      <c r="B28" s="236" t="s">
        <v>551</v>
      </c>
      <c r="C28" s="237">
        <v>1374136</v>
      </c>
      <c r="D28" s="237">
        <v>7676007</v>
      </c>
      <c r="E28" s="237">
        <f t="shared" si="2"/>
        <v>6301871</v>
      </c>
      <c r="F28" s="238">
        <f t="shared" si="3"/>
        <v>4.586060622820448</v>
      </c>
    </row>
    <row r="29" spans="1:6" ht="20.25" customHeight="1">
      <c r="A29" s="235">
        <v>4</v>
      </c>
      <c r="B29" s="236" t="s">
        <v>552</v>
      </c>
      <c r="C29" s="237">
        <v>429927</v>
      </c>
      <c r="D29" s="237">
        <v>2399146</v>
      </c>
      <c r="E29" s="237">
        <f t="shared" si="2"/>
        <v>1969219</v>
      </c>
      <c r="F29" s="238">
        <f t="shared" si="3"/>
        <v>4.580356665201301</v>
      </c>
    </row>
    <row r="30" spans="1:6" ht="20.25" customHeight="1">
      <c r="A30" s="235">
        <v>5</v>
      </c>
      <c r="B30" s="236" t="s">
        <v>488</v>
      </c>
      <c r="C30" s="239">
        <v>68</v>
      </c>
      <c r="D30" s="239">
        <v>309</v>
      </c>
      <c r="E30" s="239">
        <f t="shared" si="2"/>
        <v>241</v>
      </c>
      <c r="F30" s="238">
        <f t="shared" si="3"/>
        <v>3.5441176470588234</v>
      </c>
    </row>
    <row r="31" spans="1:6" ht="20.25" customHeight="1">
      <c r="A31" s="235">
        <v>6</v>
      </c>
      <c r="B31" s="236" t="s">
        <v>487</v>
      </c>
      <c r="C31" s="239">
        <v>241</v>
      </c>
      <c r="D31" s="239">
        <v>1205</v>
      </c>
      <c r="E31" s="239">
        <f t="shared" si="2"/>
        <v>964</v>
      </c>
      <c r="F31" s="238">
        <f t="shared" si="3"/>
        <v>4</v>
      </c>
    </row>
    <row r="32" spans="1:6" ht="20.25" customHeight="1">
      <c r="A32" s="235">
        <v>7</v>
      </c>
      <c r="B32" s="236" t="s">
        <v>553</v>
      </c>
      <c r="C32" s="239">
        <v>841</v>
      </c>
      <c r="D32" s="239">
        <v>3888</v>
      </c>
      <c r="E32" s="239">
        <f t="shared" si="2"/>
        <v>3047</v>
      </c>
      <c r="F32" s="238">
        <f t="shared" si="3"/>
        <v>3.6230677764565993</v>
      </c>
    </row>
    <row r="33" spans="1:6" ht="20.25" customHeight="1">
      <c r="A33" s="235">
        <v>8</v>
      </c>
      <c r="B33" s="236" t="s">
        <v>554</v>
      </c>
      <c r="C33" s="239">
        <v>771</v>
      </c>
      <c r="D33" s="239">
        <v>3079</v>
      </c>
      <c r="E33" s="239">
        <f t="shared" si="2"/>
        <v>2308</v>
      </c>
      <c r="F33" s="238">
        <f t="shared" si="3"/>
        <v>2.993514915693904</v>
      </c>
    </row>
    <row r="34" spans="1:6" ht="20.25" customHeight="1">
      <c r="A34" s="235">
        <v>9</v>
      </c>
      <c r="B34" s="236" t="s">
        <v>555</v>
      </c>
      <c r="C34" s="239">
        <v>24</v>
      </c>
      <c r="D34" s="239">
        <v>80</v>
      </c>
      <c r="E34" s="239">
        <f t="shared" si="2"/>
        <v>56</v>
      </c>
      <c r="F34" s="238">
        <f t="shared" si="3"/>
        <v>2.3333333333333335</v>
      </c>
    </row>
    <row r="35" spans="1:6" s="240" customFormat="1" ht="39.75" customHeight="1">
      <c r="A35" s="245"/>
      <c r="B35" s="242" t="s">
        <v>556</v>
      </c>
      <c r="C35" s="243">
        <f>+C26+C28</f>
        <v>1889693</v>
      </c>
      <c r="D35" s="243">
        <f>+D26+D28</f>
        <v>10228513</v>
      </c>
      <c r="E35" s="243">
        <f t="shared" si="2"/>
        <v>8338820</v>
      </c>
      <c r="F35" s="244">
        <f t="shared" si="3"/>
        <v>4.412790860737696</v>
      </c>
    </row>
    <row r="36" spans="1:6" s="240" customFormat="1" ht="39.75" customHeight="1">
      <c r="A36" s="245"/>
      <c r="B36" s="242" t="s">
        <v>585</v>
      </c>
      <c r="C36" s="243">
        <f>+C27+C29</f>
        <v>595269</v>
      </c>
      <c r="D36" s="243">
        <f>+D27+D29</f>
        <v>3558833</v>
      </c>
      <c r="E36" s="243">
        <f t="shared" si="2"/>
        <v>2963564</v>
      </c>
      <c r="F36" s="244">
        <f t="shared" si="3"/>
        <v>4.978529034772515</v>
      </c>
    </row>
    <row r="37" spans="1:6" ht="42" customHeight="1">
      <c r="A37" s="227" t="s">
        <v>258</v>
      </c>
      <c r="B37" s="261" t="s">
        <v>589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549</v>
      </c>
      <c r="C38" s="237">
        <v>892577</v>
      </c>
      <c r="D38" s="237">
        <v>447447</v>
      </c>
      <c r="E38" s="237">
        <f aca="true" t="shared" si="4" ref="E38:E48">D38-C38</f>
        <v>-445130</v>
      </c>
      <c r="F38" s="238">
        <f aca="true" t="shared" si="5" ref="F38:F48">IF(C38=0,0,E38/C38)</f>
        <v>-0.4987020727623499</v>
      </c>
    </row>
    <row r="39" spans="1:6" ht="20.25" customHeight="1">
      <c r="A39" s="235">
        <v>2</v>
      </c>
      <c r="B39" s="236" t="s">
        <v>550</v>
      </c>
      <c r="C39" s="237">
        <v>332064</v>
      </c>
      <c r="D39" s="237">
        <v>160609</v>
      </c>
      <c r="E39" s="237">
        <f t="shared" si="4"/>
        <v>-171455</v>
      </c>
      <c r="F39" s="238">
        <f t="shared" si="5"/>
        <v>-0.5163311891683531</v>
      </c>
    </row>
    <row r="40" spans="1:6" ht="20.25" customHeight="1">
      <c r="A40" s="235">
        <v>3</v>
      </c>
      <c r="B40" s="236" t="s">
        <v>551</v>
      </c>
      <c r="C40" s="237">
        <v>1513862</v>
      </c>
      <c r="D40" s="237">
        <v>1557594</v>
      </c>
      <c r="E40" s="237">
        <f t="shared" si="4"/>
        <v>43732</v>
      </c>
      <c r="F40" s="238">
        <f t="shared" si="5"/>
        <v>0.028887705748608525</v>
      </c>
    </row>
    <row r="41" spans="1:6" ht="20.25" customHeight="1">
      <c r="A41" s="235">
        <v>4</v>
      </c>
      <c r="B41" s="236" t="s">
        <v>552</v>
      </c>
      <c r="C41" s="237">
        <v>429857</v>
      </c>
      <c r="D41" s="237">
        <v>378836</v>
      </c>
      <c r="E41" s="237">
        <f t="shared" si="4"/>
        <v>-51021</v>
      </c>
      <c r="F41" s="238">
        <f t="shared" si="5"/>
        <v>-0.1186929606822734</v>
      </c>
    </row>
    <row r="42" spans="1:6" ht="20.25" customHeight="1">
      <c r="A42" s="235">
        <v>5</v>
      </c>
      <c r="B42" s="236" t="s">
        <v>488</v>
      </c>
      <c r="C42" s="239">
        <v>91</v>
      </c>
      <c r="D42" s="239">
        <v>64</v>
      </c>
      <c r="E42" s="239">
        <f t="shared" si="4"/>
        <v>-27</v>
      </c>
      <c r="F42" s="238">
        <f t="shared" si="5"/>
        <v>-0.2967032967032967</v>
      </c>
    </row>
    <row r="43" spans="1:6" ht="20.25" customHeight="1">
      <c r="A43" s="235">
        <v>6</v>
      </c>
      <c r="B43" s="236" t="s">
        <v>487</v>
      </c>
      <c r="C43" s="239">
        <v>305</v>
      </c>
      <c r="D43" s="239">
        <v>188</v>
      </c>
      <c r="E43" s="239">
        <f t="shared" si="4"/>
        <v>-117</v>
      </c>
      <c r="F43" s="238">
        <f t="shared" si="5"/>
        <v>-0.3836065573770492</v>
      </c>
    </row>
    <row r="44" spans="1:6" ht="20.25" customHeight="1">
      <c r="A44" s="235">
        <v>7</v>
      </c>
      <c r="B44" s="236" t="s">
        <v>553</v>
      </c>
      <c r="C44" s="239">
        <v>1107</v>
      </c>
      <c r="D44" s="239">
        <v>965</v>
      </c>
      <c r="E44" s="239">
        <f t="shared" si="4"/>
        <v>-142</v>
      </c>
      <c r="F44" s="238">
        <f t="shared" si="5"/>
        <v>-0.12827461607949414</v>
      </c>
    </row>
    <row r="45" spans="1:6" ht="20.25" customHeight="1">
      <c r="A45" s="235">
        <v>8</v>
      </c>
      <c r="B45" s="236" t="s">
        <v>554</v>
      </c>
      <c r="C45" s="239">
        <v>617</v>
      </c>
      <c r="D45" s="239">
        <v>719</v>
      </c>
      <c r="E45" s="239">
        <f t="shared" si="4"/>
        <v>102</v>
      </c>
      <c r="F45" s="238">
        <f t="shared" si="5"/>
        <v>0.16531604538087522</v>
      </c>
    </row>
    <row r="46" spans="1:6" ht="20.25" customHeight="1">
      <c r="A46" s="235">
        <v>9</v>
      </c>
      <c r="B46" s="236" t="s">
        <v>555</v>
      </c>
      <c r="C46" s="239">
        <v>26</v>
      </c>
      <c r="D46" s="239">
        <v>19</v>
      </c>
      <c r="E46" s="239">
        <f t="shared" si="4"/>
        <v>-7</v>
      </c>
      <c r="F46" s="238">
        <f t="shared" si="5"/>
        <v>-0.2692307692307692</v>
      </c>
    </row>
    <row r="47" spans="1:6" s="240" customFormat="1" ht="39.75" customHeight="1">
      <c r="A47" s="245"/>
      <c r="B47" s="242" t="s">
        <v>556</v>
      </c>
      <c r="C47" s="243">
        <f>+C38+C40</f>
        <v>2406439</v>
      </c>
      <c r="D47" s="243">
        <f>+D38+D40</f>
        <v>2005041</v>
      </c>
      <c r="E47" s="243">
        <f t="shared" si="4"/>
        <v>-401398</v>
      </c>
      <c r="F47" s="244">
        <f t="shared" si="5"/>
        <v>-0.16680165173519879</v>
      </c>
    </row>
    <row r="48" spans="1:6" s="240" customFormat="1" ht="39.75" customHeight="1">
      <c r="A48" s="245"/>
      <c r="B48" s="242" t="s">
        <v>585</v>
      </c>
      <c r="C48" s="243">
        <f>+C39+C41</f>
        <v>761921</v>
      </c>
      <c r="D48" s="243">
        <f>+D39+D41</f>
        <v>539445</v>
      </c>
      <c r="E48" s="243">
        <f t="shared" si="4"/>
        <v>-222476</v>
      </c>
      <c r="F48" s="244">
        <f t="shared" si="5"/>
        <v>-0.2919935268879582</v>
      </c>
    </row>
    <row r="49" spans="1:6" ht="42" customHeight="1">
      <c r="A49" s="227" t="s">
        <v>288</v>
      </c>
      <c r="B49" s="261" t="s">
        <v>590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549</v>
      </c>
      <c r="C50" s="237">
        <v>0</v>
      </c>
      <c r="D50" s="237">
        <v>0</v>
      </c>
      <c r="E50" s="237">
        <f aca="true" t="shared" si="6" ref="E50:E60">D50-C50</f>
        <v>0</v>
      </c>
      <c r="F50" s="238">
        <f aca="true" t="shared" si="7" ref="F50:F60">IF(C50=0,0,E50/C50)</f>
        <v>0</v>
      </c>
    </row>
    <row r="51" spans="1:6" ht="20.25" customHeight="1">
      <c r="A51" s="235">
        <v>2</v>
      </c>
      <c r="B51" s="236" t="s">
        <v>550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>
      <c r="A52" s="235">
        <v>3</v>
      </c>
      <c r="B52" s="236" t="s">
        <v>551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>
      <c r="A53" s="235">
        <v>4</v>
      </c>
      <c r="B53" s="236" t="s">
        <v>552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>
      <c r="A54" s="235">
        <v>5</v>
      </c>
      <c r="B54" s="236" t="s">
        <v>488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>
      <c r="A55" s="235">
        <v>6</v>
      </c>
      <c r="B55" s="236" t="s">
        <v>487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>
      <c r="A56" s="235">
        <v>7</v>
      </c>
      <c r="B56" s="236" t="s">
        <v>553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>
      <c r="A57" s="235">
        <v>8</v>
      </c>
      <c r="B57" s="236" t="s">
        <v>554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>
      <c r="A58" s="235">
        <v>9</v>
      </c>
      <c r="B58" s="236" t="s">
        <v>555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75" customHeight="1">
      <c r="A59" s="245"/>
      <c r="B59" s="242" t="s">
        <v>556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75" customHeight="1">
      <c r="A60" s="245"/>
      <c r="B60" s="242" t="s">
        <v>585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>
      <c r="A61" s="227" t="s">
        <v>293</v>
      </c>
      <c r="B61" s="261" t="s">
        <v>564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549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550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551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>
      <c r="A65" s="235">
        <v>4</v>
      </c>
      <c r="B65" s="236" t="s">
        <v>552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>
      <c r="A66" s="235">
        <v>5</v>
      </c>
      <c r="B66" s="236" t="s">
        <v>488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487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553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>
      <c r="A69" s="235">
        <v>8</v>
      </c>
      <c r="B69" s="236" t="s">
        <v>554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555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556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75" customHeight="1">
      <c r="A72" s="245"/>
      <c r="B72" s="242" t="s">
        <v>585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>
      <c r="A73" s="227" t="s">
        <v>299</v>
      </c>
      <c r="B73" s="261" t="s">
        <v>591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549</v>
      </c>
      <c r="C74" s="237">
        <v>100375</v>
      </c>
      <c r="D74" s="237">
        <v>0</v>
      </c>
      <c r="E74" s="237">
        <f aca="true" t="shared" si="10" ref="E74:E84">D74-C74</f>
        <v>-100375</v>
      </c>
      <c r="F74" s="238">
        <f aca="true" t="shared" si="11" ref="F74:F84">IF(C74=0,0,E74/C74)</f>
        <v>-1</v>
      </c>
    </row>
    <row r="75" spans="1:6" ht="20.25" customHeight="1">
      <c r="A75" s="235">
        <v>2</v>
      </c>
      <c r="B75" s="236" t="s">
        <v>550</v>
      </c>
      <c r="C75" s="237">
        <v>31135</v>
      </c>
      <c r="D75" s="237">
        <v>0</v>
      </c>
      <c r="E75" s="237">
        <f t="shared" si="10"/>
        <v>-31135</v>
      </c>
      <c r="F75" s="238">
        <f t="shared" si="11"/>
        <v>-1</v>
      </c>
    </row>
    <row r="76" spans="1:6" ht="20.25" customHeight="1">
      <c r="A76" s="235">
        <v>3</v>
      </c>
      <c r="B76" s="236" t="s">
        <v>551</v>
      </c>
      <c r="C76" s="237">
        <v>288826</v>
      </c>
      <c r="D76" s="237">
        <v>0</v>
      </c>
      <c r="E76" s="237">
        <f t="shared" si="10"/>
        <v>-288826</v>
      </c>
      <c r="F76" s="238">
        <f t="shared" si="11"/>
        <v>-1</v>
      </c>
    </row>
    <row r="77" spans="1:6" ht="20.25" customHeight="1">
      <c r="A77" s="235">
        <v>4</v>
      </c>
      <c r="B77" s="236" t="s">
        <v>552</v>
      </c>
      <c r="C77" s="237">
        <v>79116</v>
      </c>
      <c r="D77" s="237">
        <v>0</v>
      </c>
      <c r="E77" s="237">
        <f t="shared" si="10"/>
        <v>-79116</v>
      </c>
      <c r="F77" s="238">
        <f t="shared" si="11"/>
        <v>-1</v>
      </c>
    </row>
    <row r="78" spans="1:6" ht="20.25" customHeight="1">
      <c r="A78" s="235">
        <v>5</v>
      </c>
      <c r="B78" s="236" t="s">
        <v>488</v>
      </c>
      <c r="C78" s="239">
        <v>13</v>
      </c>
      <c r="D78" s="239">
        <v>0</v>
      </c>
      <c r="E78" s="239">
        <f t="shared" si="10"/>
        <v>-13</v>
      </c>
      <c r="F78" s="238">
        <f t="shared" si="11"/>
        <v>-1</v>
      </c>
    </row>
    <row r="79" spans="1:6" ht="20.25" customHeight="1">
      <c r="A79" s="235">
        <v>6</v>
      </c>
      <c r="B79" s="236" t="s">
        <v>487</v>
      </c>
      <c r="C79" s="239">
        <v>42</v>
      </c>
      <c r="D79" s="239">
        <v>0</v>
      </c>
      <c r="E79" s="239">
        <f t="shared" si="10"/>
        <v>-42</v>
      </c>
      <c r="F79" s="238">
        <f t="shared" si="11"/>
        <v>-1</v>
      </c>
    </row>
    <row r="80" spans="1:6" ht="20.25" customHeight="1">
      <c r="A80" s="235">
        <v>7</v>
      </c>
      <c r="B80" s="236" t="s">
        <v>553</v>
      </c>
      <c r="C80" s="239">
        <v>118</v>
      </c>
      <c r="D80" s="239">
        <v>0</v>
      </c>
      <c r="E80" s="239">
        <f t="shared" si="10"/>
        <v>-118</v>
      </c>
      <c r="F80" s="238">
        <f t="shared" si="11"/>
        <v>-1</v>
      </c>
    </row>
    <row r="81" spans="1:6" ht="20.25" customHeight="1">
      <c r="A81" s="235">
        <v>8</v>
      </c>
      <c r="B81" s="236" t="s">
        <v>554</v>
      </c>
      <c r="C81" s="239">
        <v>119</v>
      </c>
      <c r="D81" s="239">
        <v>0</v>
      </c>
      <c r="E81" s="239">
        <f t="shared" si="10"/>
        <v>-119</v>
      </c>
      <c r="F81" s="238">
        <f t="shared" si="11"/>
        <v>-1</v>
      </c>
    </row>
    <row r="82" spans="1:6" ht="20.25" customHeight="1">
      <c r="A82" s="235">
        <v>9</v>
      </c>
      <c r="B82" s="236" t="s">
        <v>555</v>
      </c>
      <c r="C82" s="239">
        <v>11</v>
      </c>
      <c r="D82" s="239">
        <v>0</v>
      </c>
      <c r="E82" s="239">
        <f t="shared" si="10"/>
        <v>-11</v>
      </c>
      <c r="F82" s="238">
        <f t="shared" si="11"/>
        <v>-1</v>
      </c>
    </row>
    <row r="83" spans="1:6" s="240" customFormat="1" ht="39.75" customHeight="1">
      <c r="A83" s="245"/>
      <c r="B83" s="242" t="s">
        <v>556</v>
      </c>
      <c r="C83" s="243">
        <f>+C74+C76</f>
        <v>389201</v>
      </c>
      <c r="D83" s="243">
        <f>+D74+D76</f>
        <v>0</v>
      </c>
      <c r="E83" s="243">
        <f t="shared" si="10"/>
        <v>-389201</v>
      </c>
      <c r="F83" s="244">
        <f t="shared" si="11"/>
        <v>-1</v>
      </c>
    </row>
    <row r="84" spans="1:6" s="240" customFormat="1" ht="39.75" customHeight="1">
      <c r="A84" s="245"/>
      <c r="B84" s="242" t="s">
        <v>585</v>
      </c>
      <c r="C84" s="243">
        <f>+C75+C77</f>
        <v>110251</v>
      </c>
      <c r="D84" s="243">
        <f>+D75+D77</f>
        <v>0</v>
      </c>
      <c r="E84" s="243">
        <f t="shared" si="10"/>
        <v>-110251</v>
      </c>
      <c r="F84" s="244">
        <f t="shared" si="11"/>
        <v>-1</v>
      </c>
    </row>
    <row r="85" spans="1:6" ht="42" customHeight="1">
      <c r="A85" s="227" t="s">
        <v>301</v>
      </c>
      <c r="B85" s="261" t="s">
        <v>592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549</v>
      </c>
      <c r="C86" s="237">
        <v>0</v>
      </c>
      <c r="D86" s="237">
        <v>494544</v>
      </c>
      <c r="E86" s="237">
        <f aca="true" t="shared" si="12" ref="E86:E96">D86-C86</f>
        <v>494544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550</v>
      </c>
      <c r="C87" s="237">
        <v>0</v>
      </c>
      <c r="D87" s="237">
        <v>188087</v>
      </c>
      <c r="E87" s="237">
        <f t="shared" si="12"/>
        <v>188087</v>
      </c>
      <c r="F87" s="238">
        <f t="shared" si="13"/>
        <v>0</v>
      </c>
    </row>
    <row r="88" spans="1:6" ht="20.25" customHeight="1">
      <c r="A88" s="235">
        <v>3</v>
      </c>
      <c r="B88" s="236" t="s">
        <v>551</v>
      </c>
      <c r="C88" s="237">
        <v>0</v>
      </c>
      <c r="D88" s="237">
        <v>1220416</v>
      </c>
      <c r="E88" s="237">
        <f t="shared" si="12"/>
        <v>1220416</v>
      </c>
      <c r="F88" s="238">
        <f t="shared" si="13"/>
        <v>0</v>
      </c>
    </row>
    <row r="89" spans="1:6" ht="20.25" customHeight="1">
      <c r="A89" s="235">
        <v>4</v>
      </c>
      <c r="B89" s="236" t="s">
        <v>552</v>
      </c>
      <c r="C89" s="237">
        <v>0</v>
      </c>
      <c r="D89" s="237">
        <v>342310</v>
      </c>
      <c r="E89" s="237">
        <f t="shared" si="12"/>
        <v>342310</v>
      </c>
      <c r="F89" s="238">
        <f t="shared" si="13"/>
        <v>0</v>
      </c>
    </row>
    <row r="90" spans="1:6" ht="20.25" customHeight="1">
      <c r="A90" s="235">
        <v>5</v>
      </c>
      <c r="B90" s="236" t="s">
        <v>488</v>
      </c>
      <c r="C90" s="239">
        <v>0</v>
      </c>
      <c r="D90" s="239">
        <v>48</v>
      </c>
      <c r="E90" s="239">
        <f t="shared" si="12"/>
        <v>48</v>
      </c>
      <c r="F90" s="238">
        <f t="shared" si="13"/>
        <v>0</v>
      </c>
    </row>
    <row r="91" spans="1:6" ht="20.25" customHeight="1">
      <c r="A91" s="235">
        <v>6</v>
      </c>
      <c r="B91" s="236" t="s">
        <v>487</v>
      </c>
      <c r="C91" s="239">
        <v>0</v>
      </c>
      <c r="D91" s="239">
        <v>197</v>
      </c>
      <c r="E91" s="239">
        <f t="shared" si="12"/>
        <v>197</v>
      </c>
      <c r="F91" s="238">
        <f t="shared" si="13"/>
        <v>0</v>
      </c>
    </row>
    <row r="92" spans="1:6" ht="20.25" customHeight="1">
      <c r="A92" s="235">
        <v>7</v>
      </c>
      <c r="B92" s="236" t="s">
        <v>553</v>
      </c>
      <c r="C92" s="239">
        <v>0</v>
      </c>
      <c r="D92" s="239">
        <v>416</v>
      </c>
      <c r="E92" s="239">
        <f t="shared" si="12"/>
        <v>416</v>
      </c>
      <c r="F92" s="238">
        <f t="shared" si="13"/>
        <v>0</v>
      </c>
    </row>
    <row r="93" spans="1:6" ht="20.25" customHeight="1">
      <c r="A93" s="235">
        <v>8</v>
      </c>
      <c r="B93" s="236" t="s">
        <v>554</v>
      </c>
      <c r="C93" s="239">
        <v>0</v>
      </c>
      <c r="D93" s="239">
        <v>635</v>
      </c>
      <c r="E93" s="239">
        <f t="shared" si="12"/>
        <v>635</v>
      </c>
      <c r="F93" s="238">
        <f t="shared" si="13"/>
        <v>0</v>
      </c>
    </row>
    <row r="94" spans="1:6" ht="20.25" customHeight="1">
      <c r="A94" s="235">
        <v>9</v>
      </c>
      <c r="B94" s="236" t="s">
        <v>555</v>
      </c>
      <c r="C94" s="239">
        <v>0</v>
      </c>
      <c r="D94" s="239">
        <v>15</v>
      </c>
      <c r="E94" s="239">
        <f t="shared" si="12"/>
        <v>15</v>
      </c>
      <c r="F94" s="238">
        <f t="shared" si="13"/>
        <v>0</v>
      </c>
    </row>
    <row r="95" spans="1:6" s="240" customFormat="1" ht="39.75" customHeight="1">
      <c r="A95" s="245"/>
      <c r="B95" s="242" t="s">
        <v>556</v>
      </c>
      <c r="C95" s="243">
        <f>+C86+C88</f>
        <v>0</v>
      </c>
      <c r="D95" s="243">
        <f>+D86+D88</f>
        <v>1714960</v>
      </c>
      <c r="E95" s="243">
        <f t="shared" si="12"/>
        <v>1714960</v>
      </c>
      <c r="F95" s="244">
        <f t="shared" si="13"/>
        <v>0</v>
      </c>
    </row>
    <row r="96" spans="1:6" s="240" customFormat="1" ht="39.75" customHeight="1">
      <c r="A96" s="245"/>
      <c r="B96" s="242" t="s">
        <v>585</v>
      </c>
      <c r="C96" s="243">
        <f>+C87+C89</f>
        <v>0</v>
      </c>
      <c r="D96" s="243">
        <f>+D87+D89</f>
        <v>530397</v>
      </c>
      <c r="E96" s="243">
        <f t="shared" si="12"/>
        <v>530397</v>
      </c>
      <c r="F96" s="244">
        <f t="shared" si="13"/>
        <v>0</v>
      </c>
    </row>
    <row r="97" spans="1:6" ht="42" customHeight="1">
      <c r="A97" s="227" t="s">
        <v>304</v>
      </c>
      <c r="B97" s="261" t="s">
        <v>565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549</v>
      </c>
      <c r="C98" s="237">
        <v>0</v>
      </c>
      <c r="D98" s="237">
        <v>1261166</v>
      </c>
      <c r="E98" s="237">
        <f aca="true" t="shared" si="14" ref="E98:E108">D98-C98</f>
        <v>1261166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550</v>
      </c>
      <c r="C99" s="237">
        <v>0</v>
      </c>
      <c r="D99" s="237">
        <v>461797</v>
      </c>
      <c r="E99" s="237">
        <f t="shared" si="14"/>
        <v>461797</v>
      </c>
      <c r="F99" s="238">
        <f t="shared" si="15"/>
        <v>0</v>
      </c>
    </row>
    <row r="100" spans="1:6" ht="20.25" customHeight="1">
      <c r="A100" s="235">
        <v>3</v>
      </c>
      <c r="B100" s="236" t="s">
        <v>551</v>
      </c>
      <c r="C100" s="237">
        <v>0</v>
      </c>
      <c r="D100" s="237">
        <v>3525808</v>
      </c>
      <c r="E100" s="237">
        <f t="shared" si="14"/>
        <v>3525808</v>
      </c>
      <c r="F100" s="238">
        <f t="shared" si="15"/>
        <v>0</v>
      </c>
    </row>
    <row r="101" spans="1:6" ht="20.25" customHeight="1">
      <c r="A101" s="235">
        <v>4</v>
      </c>
      <c r="B101" s="236" t="s">
        <v>552</v>
      </c>
      <c r="C101" s="237">
        <v>0</v>
      </c>
      <c r="D101" s="237">
        <v>1028954</v>
      </c>
      <c r="E101" s="237">
        <f t="shared" si="14"/>
        <v>1028954</v>
      </c>
      <c r="F101" s="238">
        <f t="shared" si="15"/>
        <v>0</v>
      </c>
    </row>
    <row r="102" spans="1:6" ht="20.25" customHeight="1">
      <c r="A102" s="235">
        <v>5</v>
      </c>
      <c r="B102" s="236" t="s">
        <v>488</v>
      </c>
      <c r="C102" s="239">
        <v>0</v>
      </c>
      <c r="D102" s="239">
        <v>145</v>
      </c>
      <c r="E102" s="239">
        <f t="shared" si="14"/>
        <v>145</v>
      </c>
      <c r="F102" s="238">
        <f t="shared" si="15"/>
        <v>0</v>
      </c>
    </row>
    <row r="103" spans="1:6" ht="20.25" customHeight="1">
      <c r="A103" s="235">
        <v>6</v>
      </c>
      <c r="B103" s="236" t="s">
        <v>487</v>
      </c>
      <c r="C103" s="239">
        <v>0</v>
      </c>
      <c r="D103" s="239">
        <v>491</v>
      </c>
      <c r="E103" s="239">
        <f t="shared" si="14"/>
        <v>491</v>
      </c>
      <c r="F103" s="238">
        <f t="shared" si="15"/>
        <v>0</v>
      </c>
    </row>
    <row r="104" spans="1:6" ht="20.25" customHeight="1">
      <c r="A104" s="235">
        <v>7</v>
      </c>
      <c r="B104" s="236" t="s">
        <v>553</v>
      </c>
      <c r="C104" s="239">
        <v>0</v>
      </c>
      <c r="D104" s="239">
        <v>1551</v>
      </c>
      <c r="E104" s="239">
        <f t="shared" si="14"/>
        <v>1551</v>
      </c>
      <c r="F104" s="238">
        <f t="shared" si="15"/>
        <v>0</v>
      </c>
    </row>
    <row r="105" spans="1:6" ht="20.25" customHeight="1">
      <c r="A105" s="235">
        <v>8</v>
      </c>
      <c r="B105" s="236" t="s">
        <v>554</v>
      </c>
      <c r="C105" s="239">
        <v>0</v>
      </c>
      <c r="D105" s="239">
        <v>1530</v>
      </c>
      <c r="E105" s="239">
        <f t="shared" si="14"/>
        <v>1530</v>
      </c>
      <c r="F105" s="238">
        <f t="shared" si="15"/>
        <v>0</v>
      </c>
    </row>
    <row r="106" spans="1:6" ht="20.25" customHeight="1">
      <c r="A106" s="235">
        <v>9</v>
      </c>
      <c r="B106" s="236" t="s">
        <v>555</v>
      </c>
      <c r="C106" s="239">
        <v>0</v>
      </c>
      <c r="D106" s="239">
        <v>35</v>
      </c>
      <c r="E106" s="239">
        <f t="shared" si="14"/>
        <v>35</v>
      </c>
      <c r="F106" s="238">
        <f t="shared" si="15"/>
        <v>0</v>
      </c>
    </row>
    <row r="107" spans="1:6" s="240" customFormat="1" ht="39.75" customHeight="1">
      <c r="A107" s="245"/>
      <c r="B107" s="242" t="s">
        <v>556</v>
      </c>
      <c r="C107" s="243">
        <f>+C98+C100</f>
        <v>0</v>
      </c>
      <c r="D107" s="243">
        <f>+D98+D100</f>
        <v>4786974</v>
      </c>
      <c r="E107" s="243">
        <f t="shared" si="14"/>
        <v>4786974</v>
      </c>
      <c r="F107" s="244">
        <f t="shared" si="15"/>
        <v>0</v>
      </c>
    </row>
    <row r="108" spans="1:6" s="240" customFormat="1" ht="39.75" customHeight="1">
      <c r="A108" s="245"/>
      <c r="B108" s="242" t="s">
        <v>585</v>
      </c>
      <c r="C108" s="243">
        <f>+C99+C101</f>
        <v>0</v>
      </c>
      <c r="D108" s="243">
        <f>+D99+D101</f>
        <v>1490751</v>
      </c>
      <c r="E108" s="243">
        <f t="shared" si="14"/>
        <v>1490751</v>
      </c>
      <c r="F108" s="244">
        <f t="shared" si="15"/>
        <v>0</v>
      </c>
    </row>
    <row r="109" spans="1:7" s="240" customFormat="1" ht="20.25" customHeight="1">
      <c r="A109" s="688" t="s">
        <v>161</v>
      </c>
      <c r="B109" s="689" t="s">
        <v>593</v>
      </c>
      <c r="C109" s="691"/>
      <c r="D109" s="692"/>
      <c r="E109" s="692"/>
      <c r="F109" s="693"/>
      <c r="G109" s="212"/>
    </row>
    <row r="110" spans="1:6" ht="20.25" customHeight="1">
      <c r="A110" s="680"/>
      <c r="B110" s="690"/>
      <c r="C110" s="686"/>
      <c r="D110" s="660"/>
      <c r="E110" s="660"/>
      <c r="F110" s="661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575</v>
      </c>
      <c r="C112" s="243">
        <f aca="true" t="shared" si="16" ref="C112:D120">+C98+C86+C74+C62+C50+C38+C26+C14</f>
        <v>6051659</v>
      </c>
      <c r="D112" s="243">
        <f t="shared" si="16"/>
        <v>6258282</v>
      </c>
      <c r="E112" s="243">
        <f aca="true" t="shared" si="17" ref="E112:E122">D112-C112</f>
        <v>206623</v>
      </c>
      <c r="F112" s="244">
        <f aca="true" t="shared" si="18" ref="F112:F122">IF(C112=0,0,E112/C112)</f>
        <v>0.034143199410277415</v>
      </c>
    </row>
    <row r="113" spans="1:6" ht="20.25" customHeight="1">
      <c r="A113" s="249"/>
      <c r="B113" s="250" t="s">
        <v>576</v>
      </c>
      <c r="C113" s="243">
        <f t="shared" si="16"/>
        <v>1909561</v>
      </c>
      <c r="D113" s="243">
        <f t="shared" si="16"/>
        <v>2502733</v>
      </c>
      <c r="E113" s="243">
        <f t="shared" si="17"/>
        <v>593172</v>
      </c>
      <c r="F113" s="244">
        <f t="shared" si="18"/>
        <v>0.3106326532642843</v>
      </c>
    </row>
    <row r="114" spans="1:6" ht="20.25" customHeight="1">
      <c r="A114" s="249"/>
      <c r="B114" s="250" t="s">
        <v>577</v>
      </c>
      <c r="C114" s="243">
        <f t="shared" si="16"/>
        <v>13176943</v>
      </c>
      <c r="D114" s="243">
        <f t="shared" si="16"/>
        <v>17349117</v>
      </c>
      <c r="E114" s="243">
        <f t="shared" si="17"/>
        <v>4172174</v>
      </c>
      <c r="F114" s="244">
        <f t="shared" si="18"/>
        <v>0.3166268534363395</v>
      </c>
    </row>
    <row r="115" spans="1:6" ht="20.25" customHeight="1">
      <c r="A115" s="249"/>
      <c r="B115" s="250" t="s">
        <v>578</v>
      </c>
      <c r="C115" s="243">
        <f t="shared" si="16"/>
        <v>3892403</v>
      </c>
      <c r="D115" s="243">
        <f t="shared" si="16"/>
        <v>4973325</v>
      </c>
      <c r="E115" s="243">
        <f t="shared" si="17"/>
        <v>1080922</v>
      </c>
      <c r="F115" s="244">
        <f t="shared" si="18"/>
        <v>0.27770043338266875</v>
      </c>
    </row>
    <row r="116" spans="1:6" ht="20.25" customHeight="1">
      <c r="A116" s="249"/>
      <c r="B116" s="250" t="s">
        <v>579</v>
      </c>
      <c r="C116" s="252">
        <f t="shared" si="16"/>
        <v>723</v>
      </c>
      <c r="D116" s="252">
        <f t="shared" si="16"/>
        <v>734</v>
      </c>
      <c r="E116" s="252">
        <f t="shared" si="17"/>
        <v>11</v>
      </c>
      <c r="F116" s="244">
        <f t="shared" si="18"/>
        <v>0.015214384508990318</v>
      </c>
    </row>
    <row r="117" spans="1:6" ht="20.25" customHeight="1">
      <c r="A117" s="249"/>
      <c r="B117" s="250" t="s">
        <v>580</v>
      </c>
      <c r="C117" s="252">
        <f t="shared" si="16"/>
        <v>2497</v>
      </c>
      <c r="D117" s="252">
        <f t="shared" si="16"/>
        <v>2675</v>
      </c>
      <c r="E117" s="252">
        <f t="shared" si="17"/>
        <v>178</v>
      </c>
      <c r="F117" s="244">
        <f t="shared" si="18"/>
        <v>0.07128554265118142</v>
      </c>
    </row>
    <row r="118" spans="1:6" ht="39.75" customHeight="1">
      <c r="A118" s="249"/>
      <c r="B118" s="250" t="s">
        <v>581</v>
      </c>
      <c r="C118" s="252">
        <f t="shared" si="16"/>
        <v>8690</v>
      </c>
      <c r="D118" s="252">
        <f t="shared" si="16"/>
        <v>8493</v>
      </c>
      <c r="E118" s="252">
        <f t="shared" si="17"/>
        <v>-197</v>
      </c>
      <c r="F118" s="244">
        <f t="shared" si="18"/>
        <v>-0.022669735327963177</v>
      </c>
    </row>
    <row r="119" spans="1:6" ht="39.75" customHeight="1">
      <c r="A119" s="249"/>
      <c r="B119" s="250" t="s">
        <v>582</v>
      </c>
      <c r="C119" s="252">
        <f t="shared" si="16"/>
        <v>6136</v>
      </c>
      <c r="D119" s="252">
        <f t="shared" si="16"/>
        <v>7359</v>
      </c>
      <c r="E119" s="252">
        <f t="shared" si="17"/>
        <v>1223</v>
      </c>
      <c r="F119" s="244">
        <f t="shared" si="18"/>
        <v>0.1993155149934811</v>
      </c>
    </row>
    <row r="120" spans="1:6" ht="39.75" customHeight="1">
      <c r="A120" s="249"/>
      <c r="B120" s="250" t="s">
        <v>583</v>
      </c>
      <c r="C120" s="252">
        <f t="shared" si="16"/>
        <v>194</v>
      </c>
      <c r="D120" s="252">
        <f t="shared" si="16"/>
        <v>190</v>
      </c>
      <c r="E120" s="252">
        <f t="shared" si="17"/>
        <v>-4</v>
      </c>
      <c r="F120" s="244">
        <f t="shared" si="18"/>
        <v>-0.020618556701030927</v>
      </c>
    </row>
    <row r="121" spans="1:6" ht="39.75" customHeight="1">
      <c r="A121" s="249"/>
      <c r="B121" s="242" t="s">
        <v>556</v>
      </c>
      <c r="C121" s="243">
        <f>+C112+C114</f>
        <v>19228602</v>
      </c>
      <c r="D121" s="243">
        <f>+D112+D114</f>
        <v>23607399</v>
      </c>
      <c r="E121" s="243">
        <f t="shared" si="17"/>
        <v>4378797</v>
      </c>
      <c r="F121" s="244">
        <f t="shared" si="18"/>
        <v>0.22772310748332095</v>
      </c>
    </row>
    <row r="122" spans="1:6" ht="39.75" customHeight="1">
      <c r="A122" s="249"/>
      <c r="B122" s="242" t="s">
        <v>585</v>
      </c>
      <c r="C122" s="243">
        <f>+C113+C115</f>
        <v>5801964</v>
      </c>
      <c r="D122" s="243">
        <f>+D113+D115</f>
        <v>7476058</v>
      </c>
      <c r="E122" s="243">
        <f t="shared" si="17"/>
        <v>1674094</v>
      </c>
      <c r="F122" s="244">
        <f t="shared" si="18"/>
        <v>0.28853919121180344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FILING&amp;RMANCHESTER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594</v>
      </c>
      <c r="C1" s="3"/>
      <c r="D1" s="3"/>
      <c r="E1" s="4"/>
      <c r="F1" s="5"/>
    </row>
    <row r="2" spans="1:6" ht="24" customHeight="1">
      <c r="A2" s="3"/>
      <c r="B2" s="3" t="s">
        <v>118</v>
      </c>
      <c r="C2" s="3"/>
      <c r="D2" s="3"/>
      <c r="E2" s="4"/>
      <c r="F2" s="5"/>
    </row>
    <row r="3" spans="1:6" ht="24" customHeight="1">
      <c r="A3" s="3"/>
      <c r="B3" s="3" t="s">
        <v>119</v>
      </c>
      <c r="C3" s="3"/>
      <c r="D3" s="3"/>
      <c r="E3" s="4"/>
      <c r="F3" s="5"/>
    </row>
    <row r="4" spans="1:6" ht="24" customHeight="1">
      <c r="A4" s="3"/>
      <c r="B4" s="3" t="s">
        <v>595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121</v>
      </c>
      <c r="D7" s="10" t="s">
        <v>122</v>
      </c>
      <c r="E7" s="11" t="s">
        <v>123</v>
      </c>
      <c r="F7" s="11" t="s">
        <v>124</v>
      </c>
      <c r="H7" s="12"/>
    </row>
    <row r="8" spans="1:6" s="6" customFormat="1" ht="15.75" customHeight="1">
      <c r="A8" s="13" t="s">
        <v>125</v>
      </c>
      <c r="B8" s="13" t="s">
        <v>126</v>
      </c>
      <c r="C8" s="14" t="s">
        <v>127</v>
      </c>
      <c r="D8" s="14" t="s">
        <v>127</v>
      </c>
      <c r="E8" s="15" t="s">
        <v>128</v>
      </c>
      <c r="F8" s="15" t="s">
        <v>128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129</v>
      </c>
      <c r="B10" s="16" t="s">
        <v>130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131</v>
      </c>
      <c r="B12" s="16" t="s">
        <v>132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133</v>
      </c>
      <c r="C13" s="23">
        <v>19069672</v>
      </c>
      <c r="D13" s="23">
        <v>28001547</v>
      </c>
      <c r="E13" s="23">
        <f aca="true" t="shared" si="0" ref="E13:E22">D13-C13</f>
        <v>8931875</v>
      </c>
      <c r="F13" s="24">
        <f aca="true" t="shared" si="1" ref="F13:F22">IF(C13=0,0,E13/C13)</f>
        <v>0.46838115516617174</v>
      </c>
    </row>
    <row r="14" spans="1:6" ht="24" customHeight="1">
      <c r="A14" s="21">
        <v>2</v>
      </c>
      <c r="B14" s="22" t="s">
        <v>134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4.5" customHeight="1">
      <c r="A15" s="21">
        <v>3</v>
      </c>
      <c r="B15" s="22" t="s">
        <v>135</v>
      </c>
      <c r="C15" s="23">
        <v>39388331</v>
      </c>
      <c r="D15" s="23">
        <v>38270688</v>
      </c>
      <c r="E15" s="23">
        <f t="shared" si="0"/>
        <v>-1117643</v>
      </c>
      <c r="F15" s="24">
        <f t="shared" si="1"/>
        <v>-0.028374977350525465</v>
      </c>
    </row>
    <row r="16" spans="1:6" ht="34.5" customHeight="1">
      <c r="A16" s="21">
        <v>4</v>
      </c>
      <c r="B16" s="22" t="s">
        <v>136</v>
      </c>
      <c r="C16" s="23">
        <v>2856556</v>
      </c>
      <c r="D16" s="23">
        <v>1277330</v>
      </c>
      <c r="E16" s="23">
        <f t="shared" si="0"/>
        <v>-1579226</v>
      </c>
      <c r="F16" s="24">
        <f t="shared" si="1"/>
        <v>-0.5528426538811072</v>
      </c>
    </row>
    <row r="17" spans="1:6" ht="24" customHeight="1">
      <c r="A17" s="21">
        <v>5</v>
      </c>
      <c r="B17" s="22" t="s">
        <v>137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138</v>
      </c>
      <c r="C18" s="23">
        <v>2439694</v>
      </c>
      <c r="D18" s="23">
        <v>1491255</v>
      </c>
      <c r="E18" s="23">
        <f t="shared" si="0"/>
        <v>-948439</v>
      </c>
      <c r="F18" s="24">
        <f t="shared" si="1"/>
        <v>-0.3887532616795385</v>
      </c>
    </row>
    <row r="19" spans="1:6" ht="24" customHeight="1">
      <c r="A19" s="21">
        <v>7</v>
      </c>
      <c r="B19" s="22" t="s">
        <v>139</v>
      </c>
      <c r="C19" s="23">
        <v>3127974</v>
      </c>
      <c r="D19" s="23">
        <v>3421510</v>
      </c>
      <c r="E19" s="23">
        <f t="shared" si="0"/>
        <v>293536</v>
      </c>
      <c r="F19" s="24">
        <f t="shared" si="1"/>
        <v>0.09384221224345216</v>
      </c>
    </row>
    <row r="20" spans="1:6" ht="24" customHeight="1">
      <c r="A20" s="21">
        <v>8</v>
      </c>
      <c r="B20" s="22" t="s">
        <v>140</v>
      </c>
      <c r="C20" s="23">
        <v>551522</v>
      </c>
      <c r="D20" s="23">
        <v>1138714</v>
      </c>
      <c r="E20" s="23">
        <f t="shared" si="0"/>
        <v>587192</v>
      </c>
      <c r="F20" s="24">
        <f t="shared" si="1"/>
        <v>1.0646755705121465</v>
      </c>
    </row>
    <row r="21" spans="1:6" ht="24" customHeight="1">
      <c r="A21" s="21">
        <v>9</v>
      </c>
      <c r="B21" s="22" t="s">
        <v>141</v>
      </c>
      <c r="C21" s="23">
        <v>3173332</v>
      </c>
      <c r="D21" s="23">
        <v>4663853</v>
      </c>
      <c r="E21" s="23">
        <f t="shared" si="0"/>
        <v>1490521</v>
      </c>
      <c r="F21" s="24">
        <f t="shared" si="1"/>
        <v>0.469702193152182</v>
      </c>
    </row>
    <row r="22" spans="1:6" ht="24" customHeight="1">
      <c r="A22" s="25"/>
      <c r="B22" s="26" t="s">
        <v>142</v>
      </c>
      <c r="C22" s="27">
        <f>SUM(C13:C21)</f>
        <v>70607081</v>
      </c>
      <c r="D22" s="27">
        <f>SUM(D13:D21)</f>
        <v>78264897</v>
      </c>
      <c r="E22" s="27">
        <f t="shared" si="0"/>
        <v>7657816</v>
      </c>
      <c r="F22" s="28">
        <f t="shared" si="1"/>
        <v>0.10845677078762114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143</v>
      </c>
      <c r="B24" s="30" t="s">
        <v>144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145</v>
      </c>
      <c r="C25" s="23">
        <v>6957588</v>
      </c>
      <c r="D25" s="23">
        <v>6793869</v>
      </c>
      <c r="E25" s="23">
        <f>D25-C25</f>
        <v>-163719</v>
      </c>
      <c r="F25" s="24">
        <f>IF(C25=0,0,E25/C25)</f>
        <v>-0.023530999536046114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146</v>
      </c>
      <c r="C26" s="23">
        <v>5061160</v>
      </c>
      <c r="D26" s="23">
        <v>4947207</v>
      </c>
      <c r="E26" s="23">
        <f>D26-C26</f>
        <v>-113953</v>
      </c>
      <c r="F26" s="24">
        <f>IF(C26=0,0,E26/C26)</f>
        <v>-0.02251519414521572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147</v>
      </c>
      <c r="C27" s="23">
        <v>8174965</v>
      </c>
      <c r="D27" s="23">
        <v>8243340</v>
      </c>
      <c r="E27" s="23">
        <f>D27-C27</f>
        <v>68375</v>
      </c>
      <c r="F27" s="24">
        <f>IF(C27=0,0,E27/C27)</f>
        <v>0.008363950182049709</v>
      </c>
    </row>
    <row r="28" spans="1:6" ht="34.5" customHeight="1">
      <c r="A28" s="21">
        <v>4</v>
      </c>
      <c r="B28" s="22" t="s">
        <v>148</v>
      </c>
      <c r="C28" s="23">
        <v>29312758</v>
      </c>
      <c r="D28" s="23">
        <v>29370191</v>
      </c>
      <c r="E28" s="23">
        <f>D28-C28</f>
        <v>57433</v>
      </c>
      <c r="F28" s="24">
        <f>IF(C28=0,0,E28/C28)</f>
        <v>0.0019593175094612387</v>
      </c>
    </row>
    <row r="29" spans="1:6" ht="34.5" customHeight="1">
      <c r="A29" s="25"/>
      <c r="B29" s="26" t="s">
        <v>149</v>
      </c>
      <c r="C29" s="27">
        <f>SUM(C25:C28)</f>
        <v>49506471</v>
      </c>
      <c r="D29" s="27">
        <f>SUM(D25:D28)</f>
        <v>49354607</v>
      </c>
      <c r="E29" s="27">
        <f>D29-C29</f>
        <v>-151864</v>
      </c>
      <c r="F29" s="28">
        <f>IF(C29=0,0,E29/C29)</f>
        <v>-0.003067558582392189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150</v>
      </c>
      <c r="C31" s="23">
        <v>10850323</v>
      </c>
      <c r="D31" s="23">
        <v>9872146</v>
      </c>
      <c r="E31" s="23">
        <f>D31-C31</f>
        <v>-978177</v>
      </c>
      <c r="F31" s="24">
        <f>IF(C31=0,0,E31/C31)</f>
        <v>-0.09015187842795094</v>
      </c>
    </row>
    <row r="32" spans="1:6" ht="24" customHeight="1">
      <c r="A32" s="21">
        <v>6</v>
      </c>
      <c r="B32" s="22" t="s">
        <v>151</v>
      </c>
      <c r="C32" s="23">
        <v>13074537</v>
      </c>
      <c r="D32" s="23">
        <v>14014738</v>
      </c>
      <c r="E32" s="23">
        <f>D32-C32</f>
        <v>940201</v>
      </c>
      <c r="F32" s="24">
        <f>IF(C32=0,0,E32/C32)</f>
        <v>0.07191084472054345</v>
      </c>
    </row>
    <row r="33" spans="1:6" ht="24" customHeight="1">
      <c r="A33" s="21">
        <v>7</v>
      </c>
      <c r="B33" s="22" t="s">
        <v>152</v>
      </c>
      <c r="C33" s="23">
        <v>8995618</v>
      </c>
      <c r="D33" s="23">
        <v>8819270</v>
      </c>
      <c r="E33" s="23">
        <f>D33-C33</f>
        <v>-176348</v>
      </c>
      <c r="F33" s="24">
        <f>IF(C33=0,0,E33/C33)</f>
        <v>-0.019603767078593154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153</v>
      </c>
      <c r="B35" s="30" t="s">
        <v>154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155</v>
      </c>
      <c r="C36" s="23">
        <v>278207525</v>
      </c>
      <c r="D36" s="23">
        <v>282927246</v>
      </c>
      <c r="E36" s="23">
        <f>D36-C36</f>
        <v>4719721</v>
      </c>
      <c r="F36" s="24">
        <f>IF(C36=0,0,E36/C36)</f>
        <v>0.016964749605532778</v>
      </c>
    </row>
    <row r="37" spans="1:6" ht="24" customHeight="1">
      <c r="A37" s="21">
        <v>2</v>
      </c>
      <c r="B37" s="22" t="s">
        <v>156</v>
      </c>
      <c r="C37" s="23">
        <v>185468884</v>
      </c>
      <c r="D37" s="23">
        <v>182579690</v>
      </c>
      <c r="E37" s="23">
        <f>D37-C37</f>
        <v>-2889194</v>
      </c>
      <c r="F37" s="23">
        <f>IF(C37=0,0,E37/C37)</f>
        <v>-0.015577782847930438</v>
      </c>
    </row>
    <row r="38" spans="1:6" ht="24" customHeight="1">
      <c r="A38" s="25"/>
      <c r="B38" s="26" t="s">
        <v>157</v>
      </c>
      <c r="C38" s="27">
        <f>C36-C37</f>
        <v>92738641</v>
      </c>
      <c r="D38" s="27">
        <f>D36-D37</f>
        <v>100347556</v>
      </c>
      <c r="E38" s="27">
        <f>D38-C38</f>
        <v>7608915</v>
      </c>
      <c r="F38" s="28">
        <f>IF(C38=0,0,E38/C38)</f>
        <v>0.08204686760505796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158</v>
      </c>
      <c r="C40" s="23">
        <v>6062959</v>
      </c>
      <c r="D40" s="23">
        <v>959544</v>
      </c>
      <c r="E40" s="23">
        <f>D40-C40</f>
        <v>-5103415</v>
      </c>
      <c r="F40" s="24">
        <f>IF(C40=0,0,E40/C40)</f>
        <v>-0.8417366833587362</v>
      </c>
    </row>
    <row r="41" spans="1:6" ht="24" customHeight="1">
      <c r="A41" s="25"/>
      <c r="B41" s="26" t="s">
        <v>159</v>
      </c>
      <c r="C41" s="27">
        <f>+C38+C40</f>
        <v>98801600</v>
      </c>
      <c r="D41" s="27">
        <f>+D38+D40</f>
        <v>101307100</v>
      </c>
      <c r="E41" s="27">
        <f>D41-C41</f>
        <v>2505500</v>
      </c>
      <c r="F41" s="28">
        <f>IF(C41=0,0,E41/C41)</f>
        <v>0.02535890107042801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160</v>
      </c>
      <c r="C43" s="27">
        <f>C22+C29+C31+C32+C33+C41</f>
        <v>251835630</v>
      </c>
      <c r="D43" s="27">
        <f>D22+D29+D31+D32+D33+D41</f>
        <v>261632758</v>
      </c>
      <c r="E43" s="27">
        <f>D43-C43</f>
        <v>9797128</v>
      </c>
      <c r="F43" s="28">
        <f>IF(C43=0,0,E43/C43)</f>
        <v>0.03890286692157103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161</v>
      </c>
      <c r="B46" s="16" t="s">
        <v>162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131</v>
      </c>
      <c r="B48" s="41" t="s">
        <v>163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164</v>
      </c>
      <c r="C49" s="23">
        <v>28686257</v>
      </c>
      <c r="D49" s="23">
        <v>24041903</v>
      </c>
      <c r="E49" s="23">
        <f aca="true" t="shared" si="2" ref="E49:E56">D49-C49</f>
        <v>-4644354</v>
      </c>
      <c r="F49" s="24">
        <f aca="true" t="shared" si="3" ref="F49:F56">IF(C49=0,0,E49/C49)</f>
        <v>-0.16190170784567676</v>
      </c>
    </row>
    <row r="50" spans="1:6" ht="24" customHeight="1">
      <c r="A50" s="21">
        <f aca="true" t="shared" si="4" ref="A50:A55">1+A49</f>
        <v>2</v>
      </c>
      <c r="B50" s="22" t="s">
        <v>165</v>
      </c>
      <c r="C50" s="23">
        <v>4076943</v>
      </c>
      <c r="D50" s="23">
        <v>3564050</v>
      </c>
      <c r="E50" s="23">
        <f t="shared" si="2"/>
        <v>-512893</v>
      </c>
      <c r="F50" s="24">
        <f t="shared" si="3"/>
        <v>-0.12580332862146956</v>
      </c>
    </row>
    <row r="51" spans="1:6" ht="24" customHeight="1">
      <c r="A51" s="21">
        <f t="shared" si="4"/>
        <v>3</v>
      </c>
      <c r="B51" s="22" t="s">
        <v>166</v>
      </c>
      <c r="C51" s="23">
        <v>2464561</v>
      </c>
      <c r="D51" s="23">
        <v>885738</v>
      </c>
      <c r="E51" s="23">
        <f t="shared" si="2"/>
        <v>-1578823</v>
      </c>
      <c r="F51" s="24">
        <f t="shared" si="3"/>
        <v>-0.640610234439318</v>
      </c>
    </row>
    <row r="52" spans="1:6" ht="24" customHeight="1">
      <c r="A52" s="21">
        <f t="shared" si="4"/>
        <v>4</v>
      </c>
      <c r="B52" s="22" t="s">
        <v>167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168</v>
      </c>
      <c r="C53" s="23">
        <v>7396824</v>
      </c>
      <c r="D53" s="23">
        <v>7569914</v>
      </c>
      <c r="E53" s="23">
        <f t="shared" si="2"/>
        <v>173090</v>
      </c>
      <c r="F53" s="24">
        <f t="shared" si="3"/>
        <v>0.023400583818136</v>
      </c>
    </row>
    <row r="54" spans="1:6" ht="24" customHeight="1">
      <c r="A54" s="21">
        <f t="shared" si="4"/>
        <v>6</v>
      </c>
      <c r="B54" s="22" t="s">
        <v>169</v>
      </c>
      <c r="C54" s="23">
        <v>1745000</v>
      </c>
      <c r="D54" s="23">
        <v>2159000</v>
      </c>
      <c r="E54" s="23">
        <f t="shared" si="2"/>
        <v>414000</v>
      </c>
      <c r="F54" s="24">
        <f t="shared" si="3"/>
        <v>0.23724928366762177</v>
      </c>
    </row>
    <row r="55" spans="1:6" ht="24" customHeight="1">
      <c r="A55" s="21">
        <f t="shared" si="4"/>
        <v>7</v>
      </c>
      <c r="B55" s="22" t="s">
        <v>170</v>
      </c>
      <c r="C55" s="23">
        <v>3481863</v>
      </c>
      <c r="D55" s="23">
        <v>5325724</v>
      </c>
      <c r="E55" s="23">
        <f t="shared" si="2"/>
        <v>1843861</v>
      </c>
      <c r="F55" s="24">
        <f t="shared" si="3"/>
        <v>0.5295616168700492</v>
      </c>
    </row>
    <row r="56" spans="1:6" ht="24" customHeight="1">
      <c r="A56" s="25"/>
      <c r="B56" s="26" t="s">
        <v>171</v>
      </c>
      <c r="C56" s="27">
        <f>SUM(C49:C55)</f>
        <v>47851448</v>
      </c>
      <c r="D56" s="27">
        <f>SUM(D49:D55)</f>
        <v>43546329</v>
      </c>
      <c r="E56" s="27">
        <f t="shared" si="2"/>
        <v>-4305119</v>
      </c>
      <c r="F56" s="28">
        <f t="shared" si="3"/>
        <v>-0.08996841642075283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143</v>
      </c>
      <c r="B58" s="41" t="s">
        <v>172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173</v>
      </c>
      <c r="C59" s="23">
        <v>66501560</v>
      </c>
      <c r="D59" s="23">
        <v>79850623</v>
      </c>
      <c r="E59" s="23">
        <f>D59-C59</f>
        <v>13349063</v>
      </c>
      <c r="F59" s="24">
        <f>IF(C59=0,0,E59/C59)</f>
        <v>0.2007330805472834</v>
      </c>
    </row>
    <row r="60" spans="1:6" ht="24" customHeight="1">
      <c r="A60" s="21">
        <v>2</v>
      </c>
      <c r="B60" s="22" t="s">
        <v>174</v>
      </c>
      <c r="C60" s="23">
        <v>8302614</v>
      </c>
      <c r="D60" s="23">
        <v>5449948</v>
      </c>
      <c r="E60" s="23">
        <f>D60-C60</f>
        <v>-2852666</v>
      </c>
      <c r="F60" s="24">
        <f>IF(C60=0,0,E60/C60)</f>
        <v>-0.3435864897488911</v>
      </c>
    </row>
    <row r="61" spans="1:6" ht="24" customHeight="1">
      <c r="A61" s="25"/>
      <c r="B61" s="26" t="s">
        <v>175</v>
      </c>
      <c r="C61" s="27">
        <f>SUM(C59:C60)</f>
        <v>74804174</v>
      </c>
      <c r="D61" s="27">
        <f>SUM(D59:D60)</f>
        <v>85300571</v>
      </c>
      <c r="E61" s="27">
        <f>D61-C61</f>
        <v>10496397</v>
      </c>
      <c r="F61" s="28">
        <f>IF(C61=0,0,E61/C61)</f>
        <v>0.14031833303847457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176</v>
      </c>
      <c r="C63" s="23">
        <v>26559471</v>
      </c>
      <c r="D63" s="23">
        <v>49853992</v>
      </c>
      <c r="E63" s="23">
        <f>D63-C63</f>
        <v>23294521</v>
      </c>
      <c r="F63" s="24">
        <f>IF(C63=0,0,E63/C63)</f>
        <v>0.8770702172494325</v>
      </c>
    </row>
    <row r="64" spans="1:6" ht="24" customHeight="1">
      <c r="A64" s="21">
        <v>4</v>
      </c>
      <c r="B64" s="22" t="s">
        <v>177</v>
      </c>
      <c r="C64" s="23">
        <v>7121955</v>
      </c>
      <c r="D64" s="23">
        <v>7498190</v>
      </c>
      <c r="E64" s="23">
        <f>D64-C64</f>
        <v>376235</v>
      </c>
      <c r="F64" s="24">
        <f>IF(C64=0,0,E64/C64)</f>
        <v>0.052827489081298605</v>
      </c>
    </row>
    <row r="65" spans="1:6" ht="24" customHeight="1">
      <c r="A65" s="25"/>
      <c r="B65" s="26" t="s">
        <v>178</v>
      </c>
      <c r="C65" s="27">
        <f>SUM(C61:C64)</f>
        <v>108485600</v>
      </c>
      <c r="D65" s="27">
        <f>SUM(D61:D64)</f>
        <v>142652753</v>
      </c>
      <c r="E65" s="27">
        <f>D65-C65</f>
        <v>34167153</v>
      </c>
      <c r="F65" s="28">
        <f>IF(C65=0,0,E65/C65)</f>
        <v>0.31494643528726396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179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153</v>
      </c>
      <c r="B69" s="41" t="s">
        <v>180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181</v>
      </c>
      <c r="C70" s="23">
        <v>77487476</v>
      </c>
      <c r="D70" s="23">
        <v>59586141</v>
      </c>
      <c r="E70" s="23">
        <f>D70-C70</f>
        <v>-17901335</v>
      </c>
      <c r="F70" s="24">
        <f>IF(C70=0,0,E70/C70)</f>
        <v>-0.2310223009457683</v>
      </c>
    </row>
    <row r="71" spans="1:6" ht="24" customHeight="1">
      <c r="A71" s="21">
        <v>2</v>
      </c>
      <c r="B71" s="22" t="s">
        <v>182</v>
      </c>
      <c r="C71" s="23">
        <v>6655414</v>
      </c>
      <c r="D71" s="23">
        <v>4654617</v>
      </c>
      <c r="E71" s="23">
        <f>D71-C71</f>
        <v>-2000797</v>
      </c>
      <c r="F71" s="24">
        <f>IF(C71=0,0,E71/C71)</f>
        <v>-0.30062697827663315</v>
      </c>
    </row>
    <row r="72" spans="1:6" ht="24" customHeight="1">
      <c r="A72" s="21">
        <v>3</v>
      </c>
      <c r="B72" s="22" t="s">
        <v>183</v>
      </c>
      <c r="C72" s="23">
        <v>11355692</v>
      </c>
      <c r="D72" s="23">
        <v>11192918</v>
      </c>
      <c r="E72" s="23">
        <f>D72-C72</f>
        <v>-162774</v>
      </c>
      <c r="F72" s="24">
        <f>IF(C72=0,0,E72/C72)</f>
        <v>-0.014334133049751613</v>
      </c>
    </row>
    <row r="73" spans="1:6" ht="24" customHeight="1">
      <c r="A73" s="21"/>
      <c r="B73" s="26" t="s">
        <v>184</v>
      </c>
      <c r="C73" s="27">
        <f>SUM(C70:C72)</f>
        <v>95498582</v>
      </c>
      <c r="D73" s="27">
        <f>SUM(D70:D72)</f>
        <v>75433676</v>
      </c>
      <c r="E73" s="27">
        <f>D73-C73</f>
        <v>-20064906</v>
      </c>
      <c r="F73" s="28">
        <f>IF(C73=0,0,E73/C73)</f>
        <v>-0.21010684745036318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185</v>
      </c>
      <c r="C75" s="27">
        <f>C56+C65+C67+C73</f>
        <v>251835630</v>
      </c>
      <c r="D75" s="27">
        <f>D56+D65+D67+D73</f>
        <v>261632758</v>
      </c>
      <c r="E75" s="27">
        <f>D75-C75</f>
        <v>9797128</v>
      </c>
      <c r="F75" s="28">
        <f>IF(C75=0,0,E75/C75)</f>
        <v>0.03890286692157103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FILING&amp;REASTERN CONNECTICUT HEALTH NETWORK,INC.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594</v>
      </c>
      <c r="B1" s="696"/>
      <c r="C1" s="696"/>
      <c r="D1" s="696"/>
      <c r="E1" s="696"/>
      <c r="F1" s="697"/>
    </row>
    <row r="2" spans="1:6" ht="22.5" customHeight="1">
      <c r="A2" s="695" t="s">
        <v>118</v>
      </c>
      <c r="B2" s="696"/>
      <c r="C2" s="696"/>
      <c r="D2" s="696"/>
      <c r="E2" s="696"/>
      <c r="F2" s="697"/>
    </row>
    <row r="3" spans="1:6" ht="22.5" customHeight="1">
      <c r="A3" s="695" t="s">
        <v>119</v>
      </c>
      <c r="B3" s="696"/>
      <c r="C3" s="696"/>
      <c r="D3" s="696"/>
      <c r="E3" s="696"/>
      <c r="F3" s="697"/>
    </row>
    <row r="4" spans="1:6" ht="22.5" customHeight="1">
      <c r="A4" s="695" t="s">
        <v>596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121</v>
      </c>
      <c r="D6" s="10" t="s">
        <v>122</v>
      </c>
      <c r="E6" s="59" t="s">
        <v>123</v>
      </c>
      <c r="F6" s="59" t="s">
        <v>124</v>
      </c>
    </row>
    <row r="7" spans="1:8" ht="15.75" customHeight="1">
      <c r="A7" s="61" t="s">
        <v>125</v>
      </c>
      <c r="B7" s="62" t="s">
        <v>126</v>
      </c>
      <c r="C7" s="14" t="s">
        <v>127</v>
      </c>
      <c r="D7" s="14" t="s">
        <v>127</v>
      </c>
      <c r="E7" s="63" t="s">
        <v>128</v>
      </c>
      <c r="F7" s="63" t="s">
        <v>128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131</v>
      </c>
      <c r="B11" s="30" t="s">
        <v>187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188</v>
      </c>
      <c r="C12" s="51">
        <v>578228100</v>
      </c>
      <c r="D12" s="51">
        <v>609586123</v>
      </c>
      <c r="E12" s="51">
        <f aca="true" t="shared" si="0" ref="E12:E19">D12-C12</f>
        <v>31358023</v>
      </c>
      <c r="F12" s="70">
        <f aca="true" t="shared" si="1" ref="F12:F19">IF(C12=0,0,E12/C12)</f>
        <v>0.05423123331432699</v>
      </c>
    </row>
    <row r="13" spans="1:6" ht="22.5" customHeight="1">
      <c r="A13" s="25">
        <v>2</v>
      </c>
      <c r="B13" s="48" t="s">
        <v>189</v>
      </c>
      <c r="C13" s="51">
        <v>328109638</v>
      </c>
      <c r="D13" s="51">
        <v>346213373</v>
      </c>
      <c r="E13" s="51">
        <f t="shared" si="0"/>
        <v>18103735</v>
      </c>
      <c r="F13" s="70">
        <f t="shared" si="1"/>
        <v>0.05517587081669329</v>
      </c>
    </row>
    <row r="14" spans="1:6" ht="22.5" customHeight="1">
      <c r="A14" s="25">
        <v>3</v>
      </c>
      <c r="B14" s="48" t="s">
        <v>190</v>
      </c>
      <c r="C14" s="51">
        <v>2848553</v>
      </c>
      <c r="D14" s="51">
        <v>1969726</v>
      </c>
      <c r="E14" s="51">
        <f t="shared" si="0"/>
        <v>-878827</v>
      </c>
      <c r="F14" s="70">
        <f t="shared" si="1"/>
        <v>-0.30851699090731327</v>
      </c>
    </row>
    <row r="15" spans="1:7" ht="22.5" customHeight="1">
      <c r="A15" s="25">
        <v>4</v>
      </c>
      <c r="B15" s="48" t="s">
        <v>191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192</v>
      </c>
      <c r="C16" s="27">
        <f>C12-C13-C14-C15</f>
        <v>247269909</v>
      </c>
      <c r="D16" s="27">
        <f>D12-D13-D14-D15</f>
        <v>261403024</v>
      </c>
      <c r="E16" s="27">
        <f t="shared" si="0"/>
        <v>14133115</v>
      </c>
      <c r="F16" s="28">
        <f t="shared" si="1"/>
        <v>0.057156631217913374</v>
      </c>
    </row>
    <row r="17" spans="1:7" ht="22.5" customHeight="1">
      <c r="A17" s="25">
        <v>5</v>
      </c>
      <c r="B17" s="48" t="s">
        <v>193</v>
      </c>
      <c r="C17" s="51">
        <v>19672145</v>
      </c>
      <c r="D17" s="51">
        <v>16628943</v>
      </c>
      <c r="E17" s="51">
        <f t="shared" si="0"/>
        <v>-3043202</v>
      </c>
      <c r="F17" s="70">
        <f t="shared" si="1"/>
        <v>-0.1546959927349051</v>
      </c>
      <c r="G17" s="64"/>
    </row>
    <row r="18" spans="1:7" ht="33" customHeight="1">
      <c r="A18" s="25">
        <v>6</v>
      </c>
      <c r="B18" s="45" t="s">
        <v>194</v>
      </c>
      <c r="C18" s="51">
        <v>152165</v>
      </c>
      <c r="D18" s="51">
        <v>283705</v>
      </c>
      <c r="E18" s="51">
        <f t="shared" si="0"/>
        <v>131540</v>
      </c>
      <c r="F18" s="70">
        <f t="shared" si="1"/>
        <v>0.8644563467288798</v>
      </c>
      <c r="G18" s="64"/>
    </row>
    <row r="19" spans="1:6" ht="22.5" customHeight="1">
      <c r="A19" s="29"/>
      <c r="B19" s="71" t="s">
        <v>195</v>
      </c>
      <c r="C19" s="27">
        <f>SUM(C16:C18)</f>
        <v>267094219</v>
      </c>
      <c r="D19" s="27">
        <f>SUM(D16:D18)</f>
        <v>278315672</v>
      </c>
      <c r="E19" s="27">
        <f t="shared" si="0"/>
        <v>11221453</v>
      </c>
      <c r="F19" s="28">
        <f t="shared" si="1"/>
        <v>0.042013088272794104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143</v>
      </c>
      <c r="B21" s="30" t="s">
        <v>196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197</v>
      </c>
      <c r="C22" s="51">
        <v>122401216</v>
      </c>
      <c r="D22" s="51">
        <v>129751717</v>
      </c>
      <c r="E22" s="51">
        <f aca="true" t="shared" si="2" ref="E22:E31">D22-C22</f>
        <v>7350501</v>
      </c>
      <c r="F22" s="70">
        <f aca="true" t="shared" si="3" ref="F22:F31">IF(C22=0,0,E22/C22)</f>
        <v>0.060052516144937645</v>
      </c>
    </row>
    <row r="23" spans="1:6" ht="22.5" customHeight="1">
      <c r="A23" s="25">
        <v>2</v>
      </c>
      <c r="B23" s="48" t="s">
        <v>198</v>
      </c>
      <c r="C23" s="51">
        <v>29880729</v>
      </c>
      <c r="D23" s="51">
        <v>32090035</v>
      </c>
      <c r="E23" s="51">
        <f t="shared" si="2"/>
        <v>2209306</v>
      </c>
      <c r="F23" s="70">
        <f t="shared" si="3"/>
        <v>0.0739374865988042</v>
      </c>
    </row>
    <row r="24" spans="1:7" ht="22.5" customHeight="1">
      <c r="A24" s="25">
        <v>3</v>
      </c>
      <c r="B24" s="48" t="s">
        <v>199</v>
      </c>
      <c r="C24" s="51">
        <v>7898219</v>
      </c>
      <c r="D24" s="51">
        <v>8097250</v>
      </c>
      <c r="E24" s="51">
        <f t="shared" si="2"/>
        <v>199031</v>
      </c>
      <c r="F24" s="70">
        <f t="shared" si="3"/>
        <v>0.025199478515346308</v>
      </c>
      <c r="G24" s="64"/>
    </row>
    <row r="25" spans="1:6" ht="22.5" customHeight="1">
      <c r="A25" s="25">
        <v>4</v>
      </c>
      <c r="B25" s="48" t="s">
        <v>200</v>
      </c>
      <c r="C25" s="51">
        <v>72765995</v>
      </c>
      <c r="D25" s="51">
        <v>72387201</v>
      </c>
      <c r="E25" s="51">
        <f t="shared" si="2"/>
        <v>-378794</v>
      </c>
      <c r="F25" s="70">
        <f t="shared" si="3"/>
        <v>-0.0052056458514722435</v>
      </c>
    </row>
    <row r="26" spans="1:6" ht="22.5" customHeight="1">
      <c r="A26" s="25">
        <v>5</v>
      </c>
      <c r="B26" s="48" t="s">
        <v>201</v>
      </c>
      <c r="C26" s="51">
        <v>11906435</v>
      </c>
      <c r="D26" s="51">
        <v>12231958</v>
      </c>
      <c r="E26" s="51">
        <f t="shared" si="2"/>
        <v>325523</v>
      </c>
      <c r="F26" s="70">
        <f t="shared" si="3"/>
        <v>0.02734008962380427</v>
      </c>
    </row>
    <row r="27" spans="1:6" ht="22.5" customHeight="1">
      <c r="A27" s="25">
        <v>6</v>
      </c>
      <c r="B27" s="48" t="s">
        <v>202</v>
      </c>
      <c r="C27" s="51">
        <v>9783192</v>
      </c>
      <c r="D27" s="51">
        <v>12652590</v>
      </c>
      <c r="E27" s="51">
        <f t="shared" si="2"/>
        <v>2869398</v>
      </c>
      <c r="F27" s="70">
        <f t="shared" si="3"/>
        <v>0.2932987515731062</v>
      </c>
    </row>
    <row r="28" spans="1:6" ht="22.5" customHeight="1">
      <c r="A28" s="25">
        <v>7</v>
      </c>
      <c r="B28" s="48" t="s">
        <v>203</v>
      </c>
      <c r="C28" s="51">
        <v>4024321</v>
      </c>
      <c r="D28" s="51">
        <v>3985420</v>
      </c>
      <c r="E28" s="51">
        <f t="shared" si="2"/>
        <v>-38901</v>
      </c>
      <c r="F28" s="70">
        <f t="shared" si="3"/>
        <v>-0.009666475412870891</v>
      </c>
    </row>
    <row r="29" spans="1:6" ht="22.5" customHeight="1">
      <c r="A29" s="25">
        <v>8</v>
      </c>
      <c r="B29" s="48" t="s">
        <v>204</v>
      </c>
      <c r="C29" s="51">
        <v>0</v>
      </c>
      <c r="D29" s="51">
        <v>0</v>
      </c>
      <c r="E29" s="51">
        <f t="shared" si="2"/>
        <v>0</v>
      </c>
      <c r="F29" s="70">
        <f t="shared" si="3"/>
        <v>0</v>
      </c>
    </row>
    <row r="30" spans="1:6" ht="22.5" customHeight="1">
      <c r="A30" s="25">
        <v>9</v>
      </c>
      <c r="B30" s="48" t="s">
        <v>205</v>
      </c>
      <c r="C30" s="51">
        <v>0</v>
      </c>
      <c r="D30" s="51">
        <v>0</v>
      </c>
      <c r="E30" s="51">
        <f t="shared" si="2"/>
        <v>0</v>
      </c>
      <c r="F30" s="70">
        <f t="shared" si="3"/>
        <v>0</v>
      </c>
    </row>
    <row r="31" spans="1:6" ht="22.5" customHeight="1">
      <c r="A31" s="29"/>
      <c r="B31" s="71" t="s">
        <v>206</v>
      </c>
      <c r="C31" s="27">
        <f>SUM(C22:C30)</f>
        <v>258660107</v>
      </c>
      <c r="D31" s="27">
        <f>SUM(D22:D30)</f>
        <v>271196171</v>
      </c>
      <c r="E31" s="27">
        <f t="shared" si="2"/>
        <v>12536064</v>
      </c>
      <c r="F31" s="28">
        <f t="shared" si="3"/>
        <v>0.048465394008361716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207</v>
      </c>
      <c r="C33" s="27">
        <f>+C19-C31</f>
        <v>8434112</v>
      </c>
      <c r="D33" s="27">
        <f>+D19-D31</f>
        <v>7119501</v>
      </c>
      <c r="E33" s="27">
        <f>D33-C33</f>
        <v>-1314611</v>
      </c>
      <c r="F33" s="28">
        <f>IF(C33=0,0,E33/C33)</f>
        <v>-0.15586833563509708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153</v>
      </c>
      <c r="B35" s="30" t="s">
        <v>208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209</v>
      </c>
      <c r="C36" s="51">
        <v>91630</v>
      </c>
      <c r="D36" s="51">
        <v>-1799355</v>
      </c>
      <c r="E36" s="51">
        <f>D36-C36</f>
        <v>-1890985</v>
      </c>
      <c r="F36" s="70">
        <f>IF(C36=0,0,E36/C36)</f>
        <v>-20.637182145585506</v>
      </c>
    </row>
    <row r="37" spans="1:6" ht="22.5" customHeight="1">
      <c r="A37" s="44">
        <v>2</v>
      </c>
      <c r="B37" s="48" t="s">
        <v>210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211</v>
      </c>
      <c r="C38" s="51">
        <v>-3550919</v>
      </c>
      <c r="D38" s="51">
        <v>-2104093</v>
      </c>
      <c r="E38" s="51">
        <f>D38-C38</f>
        <v>1446826</v>
      </c>
      <c r="F38" s="70">
        <f>IF(C38=0,0,E38/C38)</f>
        <v>-0.40745114152139206</v>
      </c>
    </row>
    <row r="39" spans="1:6" ht="22.5" customHeight="1">
      <c r="A39" s="20"/>
      <c r="B39" s="71" t="s">
        <v>212</v>
      </c>
      <c r="C39" s="27">
        <f>SUM(C36:C38)</f>
        <v>-3459289</v>
      </c>
      <c r="D39" s="27">
        <f>SUM(D36:D38)</f>
        <v>-3903448</v>
      </c>
      <c r="E39" s="27">
        <f>D39-C39</f>
        <v>-444159</v>
      </c>
      <c r="F39" s="28">
        <f>IF(C39=0,0,E39/C39)</f>
        <v>0.12839603745162662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213</v>
      </c>
      <c r="C41" s="27">
        <f>C33+C39</f>
        <v>4974823</v>
      </c>
      <c r="D41" s="27">
        <f>D33+D39</f>
        <v>3216053</v>
      </c>
      <c r="E41" s="27">
        <f>D41-C41</f>
        <v>-1758770</v>
      </c>
      <c r="F41" s="28">
        <f>IF(C41=0,0,E41/C41)</f>
        <v>-0.3535341860403878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214</v>
      </c>
      <c r="C43" s="27"/>
      <c r="D43" s="27"/>
      <c r="E43" s="27"/>
      <c r="F43" s="28"/>
    </row>
    <row r="44" spans="1:6" ht="22.5" customHeight="1">
      <c r="A44" s="44"/>
      <c r="B44" s="48" t="s">
        <v>215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216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217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218</v>
      </c>
      <c r="C48" s="27">
        <f>C41+C46</f>
        <v>4974823</v>
      </c>
      <c r="D48" s="27">
        <f>D41+D46</f>
        <v>3216053</v>
      </c>
      <c r="E48" s="27">
        <f>D48-C48</f>
        <v>-1758770</v>
      </c>
      <c r="F48" s="28">
        <f>IF(C48=0,0,E48/C48)</f>
        <v>-0.3535341860403878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 r:id="rId1"/>
  <headerFooter alignWithMargins="0">
    <oddHeader>&amp;L&amp;8OFFICE OF HEALTH CARE ACCESS&amp;C&amp;8TWELVE MONTHS ACTUAL FILING&amp;R&amp;8EASTERN CONNECTICUT HEALTH NETWORK,INC.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2010-08-13T15:56:07Z</cp:lastPrinted>
  <dcterms:created xsi:type="dcterms:W3CDTF">2006-08-03T13:49:12Z</dcterms:created>
  <dcterms:modified xsi:type="dcterms:W3CDTF">2010-08-13T15:56:17Z</dcterms:modified>
  <cp:category/>
  <cp:version/>
  <cp:contentType/>
  <cp:contentStatus/>
</cp:coreProperties>
</file>