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<sst xmlns="http://schemas.openxmlformats.org/spreadsheetml/2006/main" count="2302" uniqueCount="980">
  <si>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</si>
  <si>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</si>
  <si>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</si>
  <si>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</si>
  <si>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</si>
  <si>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</si>
  <si>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</si>
  <si>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</si>
  <si>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</si>
  <si>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</si>
  <si>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</si>
  <si>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</si>
  <si>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</si>
  <si>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</si>
  <si>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</si>
  <si>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</si>
  <si>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</si>
  <si>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</si>
  <si>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</si>
  <si>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</si>
  <si>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</si>
  <si>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</si>
  <si>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</si>
  <si>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</si>
  <si>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</si>
  <si>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</si>
  <si>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</si>
  <si>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</si>
  <si>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</si>
  <si>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</si>
  <si>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</si>
  <si>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</si>
  <si>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</si>
  <si>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</si>
  <si>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</si>
  <si>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</si>
  <si>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</si>
  <si>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</si>
  <si>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</si>
  <si>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</si>
  <si>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</si>
  <si>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</si>
  <si>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</si>
  <si>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</si>
  <si>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</si>
  <si>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</si>
  <si>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</si>
  <si>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</si>
  <si>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</si>
  <si>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</si>
  <si>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</si>
  <si>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</si>
  <si>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</si>
  <si>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</si>
  <si>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</si>
  <si>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</si>
  <si>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</si>
  <si>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</si>
  <si>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</si>
  <si>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</si>
  <si>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</si>
  <si>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</si>
  <si>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</si>
  <si>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</si>
  <si>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</si>
  <si>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</si>
  <si>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</si>
  <si>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</si>
  <si>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</si>
  <si>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</si>
  <si>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</si>
  <si>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</si>
  <si>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</si>
  <si>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</si>
  <si>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</si>
  <si>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</si>
  <si>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</si>
  <si>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</si>
  <si>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</si>
  <si>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</si>
  <si>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</si>
  <si>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</si>
  <si>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</si>
  <si>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</si>
  <si>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</si>
  <si>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</si>
  <si>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</si>
  <si>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</si>
  <si>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</si>
  <si>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</si>
  <si>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</si>
  <si>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</si>
  <si>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</si>
  <si>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</si>
  <si>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</si>
  <si>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</si>
  <si>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</si>
  <si>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</si>
  <si>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</si>
  <si>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</si>
  <si>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</si>
  <si>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</si>
  <si>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</si>
  <si>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</si>
  <si>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</si>
  <si>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</si>
  <si>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</si>
  <si>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</si>
  <si>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</si>
  <si>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</si>
  <si>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</si>
  <si>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</si>
  <si>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</si>
  <si>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</si>
  <si>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</si>
  <si>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</si>
  <si>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</si>
  <si>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</si>
  <si>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</si>
  <si>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</si>
  <si>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</si>
  <si>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</si>
  <si>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</si>
  <si>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</si>
  <si>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</si>
  <si>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</si>
  <si>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</si>
  <si>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</si>
  <si>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</si>
  <si>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</si>
  <si>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</si>
  <si>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</si>
  <si>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</si>
  <si>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</si>
  <si>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</si>
  <si>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</si>
  <si>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</si>
  <si>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</si>
  <si>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</si>
  <si>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</si>
  <si>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</si>
  <si>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</si>
  <si>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</si>
  <si>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</si>
  <si>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</si>
  <si>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</si>
  <si>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</si>
  <si>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</si>
  <si>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</si>
  <si>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</si>
  <si>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</si>
  <si>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</si>
  <si>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</si>
  <si>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</si>
  <si>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</si>
  <si>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</si>
  <si>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</si>
  <si>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</si>
  <si>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</si>
  <si>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</si>
  <si>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</si>
  <si>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</si>
  <si>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</si>
  <si>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</si>
  <si>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</si>
  <si>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</si>
  <si>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</si>
  <si>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</si>
  <si>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</si>
  <si>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</si>
  <si>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</si>
  <si>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</si>
  <si>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</si>
  <si>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</si>
  <si>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</si>
  <si>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</si>
  <si>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</si>
  <si>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</si>
  <si>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</si>
  <si>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</si>
  <si>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</si>
  <si>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</si>
  <si>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</si>
  <si>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</si>
  <si>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</si>
  <si>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</si>
  <si>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</si>
  <si>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</si>
  <si>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</si>
  <si>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</si>
  <si>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</si>
  <si>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</si>
  <si>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</si>
  <si>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</si>
  <si>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</si>
  <si>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</si>
  <si>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</si>
  <si>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</si>
  <si>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</si>
  <si>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</si>
  <si>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</si>
  <si>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</si>
  <si>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</si>
  <si>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</si>
  <si>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</si>
  <si>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</si>
  <si>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</si>
  <si>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</si>
  <si>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</si>
  <si>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</si>
  <si>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</si>
  <si>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</si>
  <si>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</si>
  <si>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</si>
  <si>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</si>
  <si>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</si>
  <si>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JOHNSON MEMORIAL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</si>
  <si>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</si>
  <si>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</si>
  <si>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</si>
  <si>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</si>
  <si>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</si>
  <si>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</si>
  <si>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</si>
  <si>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</si>
  <si>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</si>
  <si>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</si>
  <si>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</si>
  <si>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</si>
  <si>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</si>
  <si>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</si>
  <si>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</si>
  <si>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</si>
  <si>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</si>
  <si>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</si>
  <si>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</si>
  <si>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</si>
  <si>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</si>
  <si>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</si>
  <si>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</si>
  <si>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</si>
  <si>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</si>
  <si>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</si>
  <si>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</si>
  <si>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</si>
  <si>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</si>
  <si>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</si>
  <si>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</si>
  <si>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</si>
  <si>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</si>
  <si>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</si>
  <si>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</si>
  <si>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</si>
  <si>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</si>
  <si>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</si>
  <si>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</si>
  <si>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</si>
  <si>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</si>
  <si>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</si>
  <si>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</si>
  <si>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</si>
  <si>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</si>
  <si>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</si>
  <si>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</si>
  <si>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</si>
  <si>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</si>
  <si>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</si>
  <si>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</si>
  <si>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</si>
  <si>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</si>
  <si>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</si>
  <si>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</si>
  <si>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</si>
  <si>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</si>
  <si>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</si>
  <si>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</si>
  <si>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</si>
  <si>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</si>
  <si>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</si>
  <si>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</si>
  <si>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</si>
  <si>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</si>
  <si>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</si>
  <si>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</si>
  <si>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</si>
  <si>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</si>
  <si>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</si>
  <si>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</si>
  <si>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</si>
  <si>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</si>
  <si>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</si>
  <si>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</si>
  <si>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</si>
  <si>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</si>
  <si>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</si>
  <si>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</si>
  <si>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</si>
  <si>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</si>
  <si>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</si>
  <si>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</si>
  <si>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</si>
  <si>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</si>
  <si>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</si>
  <si>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</si>
  <si>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</si>
  <si>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</si>
  <si>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</si>
  <si>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</si>
  <si>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</si>
  <si>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</si>
  <si>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</si>
  <si>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</si>
  <si>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</si>
  <si>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</si>
  <si>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</si>
  <si>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</si>
  <si>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</si>
  <si>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</si>
  <si>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</si>
  <si>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</si>
  <si>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</si>
  <si>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</si>
  <si>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</si>
  <si>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</si>
  <si>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</si>
  <si>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</si>
  <si>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</si>
  <si>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</si>
  <si>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</si>
  <si>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</si>
  <si>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</si>
  <si>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</si>
  <si>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</si>
  <si>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</si>
  <si>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</si>
  <si>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</si>
  <si>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</si>
  <si>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</si>
  <si>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</si>
  <si>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</si>
  <si>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</si>
  <si>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</si>
  <si>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</si>
  <si>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</si>
  <si>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</si>
  <si>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</si>
  <si>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</si>
  <si>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</si>
  <si>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</si>
  <si>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</si>
  <si>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</si>
  <si>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</si>
  <si>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</si>
  <si>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</si>
  <si>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</si>
  <si>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</si>
  <si>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</si>
  <si>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</si>
  <si>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</si>
  <si>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</si>
  <si>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</si>
  <si>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</si>
  <si>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</si>
  <si>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</si>
  <si>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</si>
  <si>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</si>
  <si>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</si>
  <si>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</si>
  <si>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</si>
  <si>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</si>
  <si>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</si>
  <si>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</si>
  <si>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</si>
  <si>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</si>
  <si>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</si>
  <si>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</si>
  <si>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</si>
  <si>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</si>
  <si>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</si>
  <si>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</si>
  <si>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</si>
  <si>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</si>
  <si>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</si>
  <si>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</si>
  <si>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</si>
  <si>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</si>
  <si>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</si>
  <si>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</si>
  <si>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</si>
  <si>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</si>
  <si>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</si>
  <si>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</si>
  <si>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</si>
  <si>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</si>
  <si>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</si>
  <si>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</si>
  <si>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</si>
  <si>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</si>
  <si>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</si>
  <si>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</si>
  <si>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</si>
  <si>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</si>
  <si>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</si>
  <si>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</si>
  <si>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</si>
  <si>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</si>
  <si>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</si>
  <si>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</si>
  <si>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</si>
  <si>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</si>
  <si>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</si>
  <si>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</si>
  <si>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</si>
  <si>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</si>
  <si>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</si>
  <si>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</si>
  <si>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</si>
  <si>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</si>
  <si>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</si>
  <si>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</si>
  <si>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</si>
  <si>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</si>
  <si>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</si>
  <si>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</si>
  <si>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</si>
  <si>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</si>
  <si>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</si>
  <si>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</si>
  <si>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</si>
  <si>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</si>
  <si>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</si>
  <si>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</si>
  <si>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</si>
  <si>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</si>
  <si>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</si>
  <si>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</si>
  <si>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</si>
  <si>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</si>
  <si>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</si>
  <si>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</si>
  <si>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</si>
  <si>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</si>
  <si>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</si>
  <si>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</si>
  <si>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</si>
  <si>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</si>
  <si>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</si>
  <si>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</si>
  <si>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</si>
  <si>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</si>
  <si>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</si>
  <si>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</si>
  <si>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</si>
  <si>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</si>
  <si>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</si>
  <si>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</si>
  <si>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</si>
  <si>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</si>
  <si>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</si>
  <si>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</si>
  <si>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</si>
  <si>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</si>
  <si>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</si>
  <si>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</si>
  <si>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</si>
  <si>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</si>
  <si>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</si>
  <si>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</si>
  <si>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</si>
  <si>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</si>
  <si>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</si>
  <si>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</si>
  <si>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</si>
  <si>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</si>
  <si>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</si>
  <si>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</si>
  <si>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</si>
  <si>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</si>
  <si>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</si>
  <si>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</si>
  <si>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</si>
  <si>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</si>
  <si>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</si>
  <si>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</si>
  <si>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</si>
  <si>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</si>
  <si>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</si>
  <si>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</si>
  <si>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</si>
  <si>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</si>
  <si>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</si>
  <si>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</si>
  <si>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</si>
  <si>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</si>
  <si>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</si>
  <si>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</si>
  <si>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</si>
  <si>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</si>
  <si>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</si>
  <si>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</si>
  <si>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</si>
  <si>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</si>
  <si>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</si>
  <si>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</si>
  <si>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</si>
  <si>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</si>
  <si>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</si>
  <si>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</si>
  <si>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</si>
  <si>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</si>
  <si>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</si>
  <si>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</si>
  <si>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</si>
  <si>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</si>
  <si>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</si>
  <si>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</si>
  <si>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</si>
  <si>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</si>
  <si>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</si>
  <si>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</si>
  <si>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</si>
  <si>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</si>
  <si>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</si>
  <si>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</si>
  <si>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</si>
  <si>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</si>
  <si>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</si>
  <si>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</si>
  <si>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</si>
  <si>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</si>
  <si>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</si>
  <si>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</si>
  <si>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</si>
  <si>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</si>
  <si>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</si>
  <si>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</si>
  <si>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</si>
  <si>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</si>
  <si>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</si>
  <si>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</si>
  <si>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</si>
  <si>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</si>
  <si>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</si>
  <si>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</si>
  <si>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</si>
  <si>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</si>
  <si>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</si>
  <si>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</si>
  <si>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</si>
  <si>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</si>
  <si>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</si>
  <si>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</si>
  <si>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</si>
  <si>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</si>
  <si>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</si>
  <si>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</si>
  <si>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</si>
  <si>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</si>
  <si>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</si>
  <si>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</si>
  <si>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</si>
  <si>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</si>
  <si>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</si>
  <si>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</si>
  <si>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</si>
  <si>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</si>
  <si>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</si>
  <si>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</si>
  <si>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</si>
  <si>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</si>
  <si>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</si>
  <si>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</si>
  <si>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</si>
  <si>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</si>
  <si>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</si>
  <si>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</si>
  <si>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</si>
  <si>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</si>
  <si>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</si>
  <si>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</si>
  <si>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</si>
  <si>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</si>
  <si>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</si>
  <si>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</si>
  <si>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</si>
  <si>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</si>
  <si>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</si>
  <si>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</si>
  <si>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</si>
  <si>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</si>
  <si>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</si>
  <si>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</si>
  <si>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</si>
  <si>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</si>
  <si>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</si>
  <si>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</si>
  <si>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</si>
  <si>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</si>
  <si>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</si>
  <si>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</si>
  <si>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</si>
  <si>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</si>
  <si>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</si>
  <si>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</si>
  <si>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</si>
  <si>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</si>
  <si>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</si>
  <si>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</si>
  <si>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</si>
  <si>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</si>
  <si>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</si>
  <si>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</si>
  <si>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</si>
  <si>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</si>
  <si>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</si>
  <si>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</si>
  <si>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</si>
  <si>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</si>
  <si>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</si>
  <si>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</si>
  <si>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</si>
  <si>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</si>
  <si>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</si>
  <si>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</si>
  <si>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</si>
  <si>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</si>
  <si>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</si>
  <si>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</si>
  <si>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</si>
  <si>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</si>
  <si>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</si>
  <si>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</si>
  <si>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</si>
  <si>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</si>
  <si>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</si>
  <si>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</si>
  <si>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</si>
  <si>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</si>
  <si>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</si>
  <si>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</si>
  <si>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</si>
  <si>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</si>
  <si>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</si>
  <si>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</si>
  <si>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</si>
  <si>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</si>
  <si>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</si>
  <si>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</si>
  <si>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</si>
  <si>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</si>
  <si>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</si>
  <si>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</si>
  <si>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</si>
  <si>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</si>
  <si>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</si>
  <si>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</si>
  <si>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</si>
  <si>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</si>
  <si>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</si>
  <si>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</si>
  <si>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</si>
  <si>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</si>
  <si>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</si>
  <si>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</si>
  <si>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</si>
  <si>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</si>
  <si>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</si>
  <si>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</si>
  <si>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</si>
  <si>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</si>
  <si>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</si>
  <si>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</si>
  <si>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</si>
  <si>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</si>
  <si>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</si>
  <si>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</si>
  <si>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</si>
  <si>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</si>
  <si>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</si>
  <si>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</si>
  <si>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</si>
  <si>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</si>
  <si>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</si>
  <si>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</si>
  <si>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</si>
  <si>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</si>
  <si>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</si>
  <si>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</si>
  <si>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</si>
  <si>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</si>
  <si>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</si>
  <si>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</si>
  <si>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</si>
  <si>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</si>
  <si>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</si>
  <si>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JOHNSON MEMORIAL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</si>
  <si>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</si>
  <si>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</si>
  <si>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</si>
  <si>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</si>
  <si>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</si>
  <si>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</si>
  <si>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</si>
  <si>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</si>
  <si>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</si>
  <si>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</si>
  <si>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</si>
  <si>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</si>
  <si>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</si>
  <si>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</si>
  <si>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</si>
  <si>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</si>
  <si>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</si>
  <si>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</si>
  <si>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</si>
  <si>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</si>
  <si>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</si>
  <si>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</si>
  <si>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</si>
  <si>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</si>
  <si>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</si>
  <si>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</si>
  <si>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</si>
  <si>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</si>
  <si>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</si>
  <si>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</si>
  <si>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</si>
  <si>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</si>
  <si>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</si>
  <si>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</si>
  <si>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</si>
  <si>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</si>
  <si>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</si>
  <si>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</si>
  <si>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</si>
  <si>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</si>
  <si>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</si>
  <si>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</si>
  <si>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</si>
  <si>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</si>
  <si>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</si>
  <si>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</si>
  <si>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</si>
  <si>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</si>
  <si>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</si>
  <si>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</si>
  <si>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</si>
  <si>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</si>
  <si>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</si>
  <si>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</si>
  <si>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</si>
  <si>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</si>
  <si>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</si>
  <si>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</si>
  <si>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</si>
  <si>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</si>
  <si>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</si>
  <si>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</si>
  <si>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</si>
  <si>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</si>
  <si>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</si>
  <si>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</si>
  <si>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</si>
  <si>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</si>
  <si>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</si>
  <si>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</si>
  <si>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</si>
  <si>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</si>
  <si>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</si>
  <si>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</si>
  <si>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</si>
  <si>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</si>
  <si>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</si>
  <si>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</si>
  <si>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</si>
  <si>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</si>
  <si>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</si>
  <si>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</si>
  <si>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</si>
  <si>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</si>
  <si>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</si>
  <si>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</si>
  <si>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</si>
  <si>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</si>
  <si>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</si>
  <si>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</si>
  <si>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</si>
  <si>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</si>
  <si>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</si>
  <si>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</si>
  <si>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</si>
  <si>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</si>
  <si>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</si>
  <si>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</si>
  <si>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</si>
  <si>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</si>
  <si>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</si>
  <si>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</si>
  <si>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</si>
  <si>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Johnson Memorial Hospital</t>
  </si>
  <si>
    <t>Offsite Surgery Department - Enfield, CT</t>
  </si>
  <si>
    <t xml:space="preserve">      Total Outpatient Surgical Procedures(A)     </t>
  </si>
  <si>
    <t>Offsite Surgical Department - Enfield, CT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</si>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</sst>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B11" sqref="B1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216</v>
      </c>
      <c r="C1" s="3"/>
      <c r="D1" s="3"/>
      <c r="E1" s="4"/>
      <c r="F1" s="5"/>
    </row>
    <row r="2" spans="1:6" ht="24" customHeight="1">
      <c r="A2" s="3"/>
      <c r="B2" s="3" t="s">
        <v>217</v>
      </c>
      <c r="C2" s="3"/>
      <c r="D2" s="3"/>
      <c r="E2" s="4"/>
      <c r="F2" s="5"/>
    </row>
    <row r="3" spans="1:6" ht="24" customHeight="1">
      <c r="A3" s="3"/>
      <c r="B3" s="3" t="s">
        <v>218</v>
      </c>
      <c r="C3" s="3"/>
      <c r="D3" s="3"/>
      <c r="E3" s="4"/>
      <c r="F3" s="5"/>
    </row>
    <row r="4" spans="1:6" ht="24" customHeight="1">
      <c r="A4" s="3"/>
      <c r="B4" s="3" t="s">
        <v>219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220</v>
      </c>
      <c r="D7" s="10" t="s">
        <v>221</v>
      </c>
      <c r="E7" s="11" t="s">
        <v>222</v>
      </c>
      <c r="F7" s="11" t="s">
        <v>223</v>
      </c>
      <c r="H7" s="12"/>
    </row>
    <row r="8" spans="1:6" s="6" customFormat="1" ht="15.75" customHeight="1">
      <c r="A8" s="13" t="s">
        <v>224</v>
      </c>
      <c r="B8" s="13" t="s">
        <v>225</v>
      </c>
      <c r="C8" s="14" t="s">
        <v>226</v>
      </c>
      <c r="D8" s="14" t="s">
        <v>226</v>
      </c>
      <c r="E8" s="15" t="s">
        <v>227</v>
      </c>
      <c r="F8" s="15" t="s">
        <v>227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228</v>
      </c>
      <c r="B10" s="16" t="s">
        <v>229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230</v>
      </c>
      <c r="B12" s="16" t="s">
        <v>231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232</v>
      </c>
      <c r="C13" s="23">
        <v>4005551</v>
      </c>
      <c r="D13" s="23">
        <v>3069946</v>
      </c>
      <c r="E13" s="23">
        <f aca="true" t="shared" si="0" ref="E13:E22">D13-C13</f>
        <v>-935605</v>
      </c>
      <c r="F13" s="24">
        <f aca="true" t="shared" si="1" ref="F13:F22">IF(C13=0,0,E13/C13)</f>
        <v>-0.23357710337479162</v>
      </c>
    </row>
    <row r="14" spans="1:6" ht="15">
      <c r="A14" s="21">
        <v>2</v>
      </c>
      <c r="B14" s="22" t="s">
        <v>233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29.25" customHeight="1">
      <c r="A15" s="21">
        <v>3</v>
      </c>
      <c r="B15" s="22" t="s">
        <v>234</v>
      </c>
      <c r="C15" s="23">
        <v>8282256</v>
      </c>
      <c r="D15" s="23">
        <v>8745899</v>
      </c>
      <c r="E15" s="23">
        <f t="shared" si="0"/>
        <v>463643</v>
      </c>
      <c r="F15" s="24">
        <f t="shared" si="1"/>
        <v>0.05598027880326326</v>
      </c>
    </row>
    <row r="16" spans="1:6" ht="24" customHeight="1">
      <c r="A16" s="21">
        <v>4</v>
      </c>
      <c r="B16" s="22" t="s">
        <v>235</v>
      </c>
      <c r="C16" s="23">
        <v>411329</v>
      </c>
      <c r="D16" s="23">
        <v>0</v>
      </c>
      <c r="E16" s="23">
        <f t="shared" si="0"/>
        <v>-411329</v>
      </c>
      <c r="F16" s="24">
        <f t="shared" si="1"/>
        <v>-1</v>
      </c>
    </row>
    <row r="17" spans="1:6" ht="24" customHeight="1">
      <c r="A17" s="21">
        <v>5</v>
      </c>
      <c r="B17" s="22" t="s">
        <v>236</v>
      </c>
      <c r="C17" s="23">
        <v>6709992</v>
      </c>
      <c r="D17" s="23">
        <v>2668378</v>
      </c>
      <c r="E17" s="23">
        <f t="shared" si="0"/>
        <v>-4041614</v>
      </c>
      <c r="F17" s="24">
        <f t="shared" si="1"/>
        <v>-0.6023276927900957</v>
      </c>
    </row>
    <row r="18" spans="1:6" ht="24" customHeight="1">
      <c r="A18" s="21">
        <v>6</v>
      </c>
      <c r="B18" s="22" t="s">
        <v>237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238</v>
      </c>
      <c r="C19" s="23">
        <v>1067728</v>
      </c>
      <c r="D19" s="23">
        <v>1163239</v>
      </c>
      <c r="E19" s="23">
        <f t="shared" si="0"/>
        <v>95511</v>
      </c>
      <c r="F19" s="24">
        <f t="shared" si="1"/>
        <v>0.08945255720558044</v>
      </c>
    </row>
    <row r="20" spans="1:6" ht="24" customHeight="1">
      <c r="A20" s="21">
        <v>8</v>
      </c>
      <c r="B20" s="22" t="s">
        <v>239</v>
      </c>
      <c r="C20" s="23">
        <v>251870</v>
      </c>
      <c r="D20" s="23">
        <v>1347876</v>
      </c>
      <c r="E20" s="23">
        <f t="shared" si="0"/>
        <v>1096006</v>
      </c>
      <c r="F20" s="24">
        <f t="shared" si="1"/>
        <v>4.351474967245007</v>
      </c>
    </row>
    <row r="21" spans="1:6" ht="24" customHeight="1">
      <c r="A21" s="21">
        <v>9</v>
      </c>
      <c r="B21" s="22" t="s">
        <v>240</v>
      </c>
      <c r="C21" s="23">
        <v>41485</v>
      </c>
      <c r="D21" s="23">
        <v>918002</v>
      </c>
      <c r="E21" s="23">
        <f t="shared" si="0"/>
        <v>876517</v>
      </c>
      <c r="F21" s="24">
        <f t="shared" si="1"/>
        <v>21.128528383753164</v>
      </c>
    </row>
    <row r="22" spans="1:6" ht="24" customHeight="1">
      <c r="A22" s="25"/>
      <c r="B22" s="26" t="s">
        <v>241</v>
      </c>
      <c r="C22" s="27">
        <f>SUM(C13:C21)</f>
        <v>20770211</v>
      </c>
      <c r="D22" s="27">
        <f>SUM(D13:D21)</f>
        <v>17913340</v>
      </c>
      <c r="E22" s="27">
        <f t="shared" si="0"/>
        <v>-2856871</v>
      </c>
      <c r="F22" s="28">
        <f t="shared" si="1"/>
        <v>-0.13754655646011493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242</v>
      </c>
      <c r="B24" s="30" t="s">
        <v>243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244</v>
      </c>
      <c r="C25" s="23">
        <v>4088627</v>
      </c>
      <c r="D25" s="23">
        <v>3164546</v>
      </c>
      <c r="E25" s="23">
        <f>D25-C25</f>
        <v>-924081</v>
      </c>
      <c r="F25" s="24">
        <f>IF(C25=0,0,E25/C25)</f>
        <v>-0.22601254651011207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245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246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247</v>
      </c>
      <c r="C28" s="23">
        <v>2489801</v>
      </c>
      <c r="D28" s="23">
        <v>844763</v>
      </c>
      <c r="E28" s="23">
        <f>D28-C28</f>
        <v>-1645038</v>
      </c>
      <c r="F28" s="24">
        <f>IF(C28=0,0,E28/C28)</f>
        <v>-0.6607106351069825</v>
      </c>
    </row>
    <row r="29" spans="1:6" ht="24" customHeight="1">
      <c r="A29" s="25"/>
      <c r="B29" s="26" t="s">
        <v>248</v>
      </c>
      <c r="C29" s="27">
        <f>SUM(C25:C28)</f>
        <v>6578428</v>
      </c>
      <c r="D29" s="27">
        <f>SUM(D25:D28)</f>
        <v>4009309</v>
      </c>
      <c r="E29" s="27">
        <f>D29-C29</f>
        <v>-2569119</v>
      </c>
      <c r="F29" s="28">
        <f>IF(C29=0,0,E29/C29)</f>
        <v>-0.39053691854649775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249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250</v>
      </c>
      <c r="C32" s="23">
        <v>1948732</v>
      </c>
      <c r="D32" s="23">
        <v>2843700</v>
      </c>
      <c r="E32" s="23">
        <f>D32-C32</f>
        <v>894968</v>
      </c>
      <c r="F32" s="24">
        <f>IF(C32=0,0,E32/C32)</f>
        <v>0.45925658325516283</v>
      </c>
    </row>
    <row r="33" spans="1:6" ht="24" customHeight="1">
      <c r="A33" s="21">
        <v>7</v>
      </c>
      <c r="B33" s="22" t="s">
        <v>251</v>
      </c>
      <c r="C33" s="23">
        <v>4821927</v>
      </c>
      <c r="D33" s="23">
        <v>2753841</v>
      </c>
      <c r="E33" s="23">
        <f>D33-C33</f>
        <v>-2068086</v>
      </c>
      <c r="F33" s="24">
        <f>IF(C33=0,0,E33/C33)</f>
        <v>-0.4288920176518641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252</v>
      </c>
      <c r="B35" s="30" t="s">
        <v>253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254</v>
      </c>
      <c r="C36" s="23">
        <v>53318760</v>
      </c>
      <c r="D36" s="23">
        <v>54834884</v>
      </c>
      <c r="E36" s="23">
        <f>D36-C36</f>
        <v>1516124</v>
      </c>
      <c r="F36" s="24">
        <f>IF(C36=0,0,E36/C36)</f>
        <v>0.028435094889678606</v>
      </c>
    </row>
    <row r="37" spans="1:6" ht="24" customHeight="1">
      <c r="A37" s="21">
        <v>2</v>
      </c>
      <c r="B37" s="22" t="s">
        <v>255</v>
      </c>
      <c r="C37" s="23">
        <v>29288346</v>
      </c>
      <c r="D37" s="23">
        <v>31304208</v>
      </c>
      <c r="E37" s="23">
        <f>D37-C37</f>
        <v>2015862</v>
      </c>
      <c r="F37" s="24">
        <f>IF(C37=0,0,E37/C37)</f>
        <v>0.06882812706460105</v>
      </c>
    </row>
    <row r="38" spans="1:6" ht="24" customHeight="1">
      <c r="A38" s="25"/>
      <c r="B38" s="26" t="s">
        <v>256</v>
      </c>
      <c r="C38" s="27">
        <f>C36-C37</f>
        <v>24030414</v>
      </c>
      <c r="D38" s="27">
        <f>D36-D37</f>
        <v>23530676</v>
      </c>
      <c r="E38" s="27">
        <f>D38-C38</f>
        <v>-499738</v>
      </c>
      <c r="F38" s="28">
        <f>IF(C38=0,0,E38/C38)</f>
        <v>-0.020796062856012387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257</v>
      </c>
      <c r="C40" s="23">
        <v>123182</v>
      </c>
      <c r="D40" s="23">
        <v>0</v>
      </c>
      <c r="E40" s="23">
        <f>D40-C40</f>
        <v>-123182</v>
      </c>
      <c r="F40" s="24">
        <f>IF(C40=0,0,E40/C40)</f>
        <v>-1</v>
      </c>
    </row>
    <row r="41" spans="1:6" ht="24" customHeight="1">
      <c r="A41" s="25"/>
      <c r="B41" s="26" t="s">
        <v>258</v>
      </c>
      <c r="C41" s="27">
        <f>+C38+C40</f>
        <v>24153596</v>
      </c>
      <c r="D41" s="27">
        <f>+D38+D40</f>
        <v>23530676</v>
      </c>
      <c r="E41" s="27">
        <f>D41-C41</f>
        <v>-622920</v>
      </c>
      <c r="F41" s="28">
        <f>IF(C41=0,0,E41/C41)</f>
        <v>-0.02578994862711126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259</v>
      </c>
      <c r="C43" s="27">
        <f>C22+C29+C31+C32+C33+C41</f>
        <v>58272894</v>
      </c>
      <c r="D43" s="27">
        <f>D22+D29+D31+D32+D33+D41</f>
        <v>51050866</v>
      </c>
      <c r="E43" s="27">
        <f>D43-C43</f>
        <v>-7222028</v>
      </c>
      <c r="F43" s="28">
        <f>IF(C43=0,0,E43/C43)</f>
        <v>-0.12393460328227392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260</v>
      </c>
      <c r="B46" s="16" t="s">
        <v>261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230</v>
      </c>
      <c r="B48" s="41" t="s">
        <v>262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263</v>
      </c>
      <c r="C49" s="23">
        <v>17893116</v>
      </c>
      <c r="D49" s="23">
        <v>20406862</v>
      </c>
      <c r="E49" s="23">
        <f aca="true" t="shared" si="2" ref="E49:E56">D49-C49</f>
        <v>2513746</v>
      </c>
      <c r="F49" s="24">
        <f aca="true" t="shared" si="3" ref="F49:F56">IF(C49=0,0,E49/C49)</f>
        <v>0.1404867659718967</v>
      </c>
    </row>
    <row r="50" spans="1:6" ht="24" customHeight="1">
      <c r="A50" s="21">
        <f aca="true" t="shared" si="4" ref="A50:A55">1+A49</f>
        <v>2</v>
      </c>
      <c r="B50" s="22" t="s">
        <v>264</v>
      </c>
      <c r="C50" s="23">
        <v>2624904</v>
      </c>
      <c r="D50" s="23">
        <v>2964927</v>
      </c>
      <c r="E50" s="23">
        <f t="shared" si="2"/>
        <v>340023</v>
      </c>
      <c r="F50" s="24">
        <f t="shared" si="3"/>
        <v>0.1295373087930073</v>
      </c>
    </row>
    <row r="51" spans="1:6" ht="24" customHeight="1">
      <c r="A51" s="21">
        <f t="shared" si="4"/>
        <v>3</v>
      </c>
      <c r="B51" s="22" t="s">
        <v>265</v>
      </c>
      <c r="C51" s="23">
        <v>619567</v>
      </c>
      <c r="D51" s="23">
        <v>102647</v>
      </c>
      <c r="E51" s="23">
        <f t="shared" si="2"/>
        <v>-516920</v>
      </c>
      <c r="F51" s="24">
        <f t="shared" si="3"/>
        <v>-0.8343246170309264</v>
      </c>
    </row>
    <row r="52" spans="1:6" ht="24" customHeight="1">
      <c r="A52" s="21">
        <f t="shared" si="4"/>
        <v>4</v>
      </c>
      <c r="B52" s="22" t="s">
        <v>266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267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>
      <c r="A54" s="21">
        <f t="shared" si="4"/>
        <v>6</v>
      </c>
      <c r="B54" s="22" t="s">
        <v>268</v>
      </c>
      <c r="C54" s="23">
        <v>9313284</v>
      </c>
      <c r="D54" s="23">
        <v>838732</v>
      </c>
      <c r="E54" s="23">
        <f t="shared" si="2"/>
        <v>-8474552</v>
      </c>
      <c r="F54" s="24">
        <f t="shared" si="3"/>
        <v>-0.9099424005538755</v>
      </c>
    </row>
    <row r="55" spans="1:6" ht="24" customHeight="1">
      <c r="A55" s="21">
        <f t="shared" si="4"/>
        <v>7</v>
      </c>
      <c r="B55" s="22" t="s">
        <v>269</v>
      </c>
      <c r="C55" s="23">
        <v>8780902</v>
      </c>
      <c r="D55" s="23">
        <v>2398616</v>
      </c>
      <c r="E55" s="23">
        <f t="shared" si="2"/>
        <v>-6382286</v>
      </c>
      <c r="F55" s="24">
        <f t="shared" si="3"/>
        <v>-0.7268371745863922</v>
      </c>
    </row>
    <row r="56" spans="1:6" ht="24" customHeight="1">
      <c r="A56" s="25"/>
      <c r="B56" s="26" t="s">
        <v>270</v>
      </c>
      <c r="C56" s="27">
        <f>SUM(C49:C55)</f>
        <v>39231773</v>
      </c>
      <c r="D56" s="27">
        <f>SUM(D49:D55)</f>
        <v>26711784</v>
      </c>
      <c r="E56" s="27">
        <f t="shared" si="2"/>
        <v>-12519989</v>
      </c>
      <c r="F56" s="28">
        <f t="shared" si="3"/>
        <v>-0.31912880919248793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242</v>
      </c>
      <c r="B58" s="41" t="s">
        <v>271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272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273</v>
      </c>
      <c r="C60" s="23">
        <v>13528750</v>
      </c>
      <c r="D60" s="23">
        <v>16056908</v>
      </c>
      <c r="E60" s="23">
        <f>D60-C60</f>
        <v>2528158</v>
      </c>
      <c r="F60" s="24">
        <f>IF(C60=0,0,E60/C60)</f>
        <v>0.18687299270072993</v>
      </c>
    </row>
    <row r="61" spans="1:6" ht="24" customHeight="1">
      <c r="A61" s="25"/>
      <c r="B61" s="26" t="s">
        <v>274</v>
      </c>
      <c r="C61" s="27">
        <f>SUM(C59:C60)</f>
        <v>13528750</v>
      </c>
      <c r="D61" s="27">
        <f>SUM(D59:D60)</f>
        <v>16056908</v>
      </c>
      <c r="E61" s="27">
        <f>D61-C61</f>
        <v>2528158</v>
      </c>
      <c r="F61" s="28">
        <f>IF(C61=0,0,E61/C61)</f>
        <v>0.18687299270072993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275</v>
      </c>
      <c r="C63" s="23">
        <v>1281829</v>
      </c>
      <c r="D63" s="23">
        <v>8065307</v>
      </c>
      <c r="E63" s="23">
        <f>D63-C63</f>
        <v>6783478</v>
      </c>
      <c r="F63" s="24">
        <f>IF(C63=0,0,E63/C63)</f>
        <v>5.292030372225937</v>
      </c>
    </row>
    <row r="64" spans="1:6" ht="24" customHeight="1">
      <c r="A64" s="21">
        <v>4</v>
      </c>
      <c r="B64" s="22" t="s">
        <v>276</v>
      </c>
      <c r="C64" s="23">
        <v>0</v>
      </c>
      <c r="D64" s="23">
        <v>3780995</v>
      </c>
      <c r="E64" s="23">
        <f>D64-C64</f>
        <v>3780995</v>
      </c>
      <c r="F64" s="24">
        <f>IF(C64=0,0,E64/C64)</f>
        <v>0</v>
      </c>
    </row>
    <row r="65" spans="1:6" ht="24" customHeight="1">
      <c r="A65" s="25"/>
      <c r="B65" s="26" t="s">
        <v>277</v>
      </c>
      <c r="C65" s="27">
        <f>SUM(C61:C64)</f>
        <v>14810579</v>
      </c>
      <c r="D65" s="27">
        <f>SUM(D61:D64)</f>
        <v>27903210</v>
      </c>
      <c r="E65" s="27">
        <f>D65-C65</f>
        <v>13092631</v>
      </c>
      <c r="F65" s="28">
        <f>IF(C65=0,0,E65/C65)</f>
        <v>0.8840053450982571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278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252</v>
      </c>
      <c r="B69" s="41" t="s">
        <v>279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280</v>
      </c>
      <c r="C70" s="23">
        <v>3159598</v>
      </c>
      <c r="D70" s="23">
        <v>-4639490</v>
      </c>
      <c r="E70" s="23">
        <f>D70-C70</f>
        <v>-7799088</v>
      </c>
      <c r="F70" s="24">
        <f>IF(C70=0,0,E70/C70)</f>
        <v>-2.468379838194606</v>
      </c>
    </row>
    <row r="71" spans="1:6" ht="24" customHeight="1">
      <c r="A71" s="21">
        <v>2</v>
      </c>
      <c r="B71" s="22" t="s">
        <v>281</v>
      </c>
      <c r="C71" s="23">
        <v>229184</v>
      </c>
      <c r="D71" s="23">
        <v>233602</v>
      </c>
      <c r="E71" s="23">
        <f>D71-C71</f>
        <v>4418</v>
      </c>
      <c r="F71" s="24">
        <f>IF(C71=0,0,E71/C71)</f>
        <v>0.019277087405752583</v>
      </c>
    </row>
    <row r="72" spans="1:6" ht="24" customHeight="1">
      <c r="A72" s="21">
        <v>3</v>
      </c>
      <c r="B72" s="22" t="s">
        <v>282</v>
      </c>
      <c r="C72" s="23">
        <v>841760</v>
      </c>
      <c r="D72" s="23">
        <v>841760</v>
      </c>
      <c r="E72" s="23">
        <f>D72-C72</f>
        <v>0</v>
      </c>
      <c r="F72" s="24">
        <f>IF(C72=0,0,E72/C72)</f>
        <v>0</v>
      </c>
    </row>
    <row r="73" spans="1:6" ht="24" customHeight="1">
      <c r="A73" s="21"/>
      <c r="B73" s="26" t="s">
        <v>283</v>
      </c>
      <c r="C73" s="27">
        <f>SUM(C70:C72)</f>
        <v>4230542</v>
      </c>
      <c r="D73" s="27">
        <f>SUM(D70:D72)</f>
        <v>-3564128</v>
      </c>
      <c r="E73" s="27">
        <f>D73-C73</f>
        <v>-7794670</v>
      </c>
      <c r="F73" s="28">
        <f>IF(C73=0,0,E73/C73)</f>
        <v>-1.8424755031388413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284</v>
      </c>
      <c r="C75" s="27">
        <f>C56+C65+C67+C73</f>
        <v>58272894</v>
      </c>
      <c r="D75" s="27">
        <f>D56+D65+D67+D73</f>
        <v>51050866</v>
      </c>
      <c r="E75" s="27">
        <f>D75-C75</f>
        <v>-7222028</v>
      </c>
      <c r="F75" s="28">
        <f>IF(C75=0,0,E75/C75)</f>
        <v>-0.12393460328227392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FILING&amp;RJOHNSON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695</v>
      </c>
      <c r="B1" s="696"/>
      <c r="C1" s="696"/>
      <c r="D1" s="696"/>
      <c r="E1" s="697"/>
    </row>
    <row r="2" spans="1:5" ht="24" customHeight="1">
      <c r="A2" s="695" t="s">
        <v>217</v>
      </c>
      <c r="B2" s="696"/>
      <c r="C2" s="696"/>
      <c r="D2" s="696"/>
      <c r="E2" s="697"/>
    </row>
    <row r="3" spans="1:5" ht="24" customHeight="1">
      <c r="A3" s="695" t="s">
        <v>218</v>
      </c>
      <c r="B3" s="696"/>
      <c r="C3" s="696"/>
      <c r="D3" s="696"/>
      <c r="E3" s="697"/>
    </row>
    <row r="4" spans="1:5" ht="24" customHeight="1">
      <c r="A4" s="695" t="s">
        <v>698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226</v>
      </c>
      <c r="D7" s="59" t="s">
        <v>226</v>
      </c>
      <c r="E7" s="59" t="s">
        <v>226</v>
      </c>
      <c r="F7" s="59"/>
    </row>
    <row r="8" spans="1:6" ht="24" customHeight="1">
      <c r="A8" s="61" t="s">
        <v>224</v>
      </c>
      <c r="B8" s="62" t="s">
        <v>225</v>
      </c>
      <c r="C8" s="264" t="s">
        <v>523</v>
      </c>
      <c r="D8" s="264" t="s">
        <v>220</v>
      </c>
      <c r="E8" s="264" t="s">
        <v>221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230</v>
      </c>
      <c r="B10" s="187" t="s">
        <v>699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700</v>
      </c>
      <c r="C11" s="51">
        <v>90739772</v>
      </c>
      <c r="D11" s="51">
        <v>96789191</v>
      </c>
      <c r="E11" s="51">
        <v>86692181</v>
      </c>
      <c r="F11" s="28"/>
    </row>
    <row r="12" spans="1:6" ht="24" customHeight="1">
      <c r="A12" s="44">
        <v>2</v>
      </c>
      <c r="B12" s="48" t="s">
        <v>292</v>
      </c>
      <c r="C12" s="49">
        <v>3981893</v>
      </c>
      <c r="D12" s="49">
        <v>4697498</v>
      </c>
      <c r="E12" s="49">
        <v>6489182</v>
      </c>
      <c r="F12" s="28"/>
    </row>
    <row r="13" spans="1:6" s="56" customFormat="1" ht="24" customHeight="1">
      <c r="A13" s="44">
        <v>3</v>
      </c>
      <c r="B13" s="48" t="s">
        <v>294</v>
      </c>
      <c r="C13" s="51">
        <f>+C11+C12</f>
        <v>94721665</v>
      </c>
      <c r="D13" s="51">
        <f>+D11+D12</f>
        <v>101486689</v>
      </c>
      <c r="E13" s="51">
        <f>+E11+E12</f>
        <v>93181363</v>
      </c>
      <c r="F13" s="70"/>
    </row>
    <row r="14" spans="1:6" s="56" customFormat="1" ht="24" customHeight="1">
      <c r="A14" s="44">
        <v>4</v>
      </c>
      <c r="B14" s="48" t="s">
        <v>305</v>
      </c>
      <c r="C14" s="49">
        <v>110821830</v>
      </c>
      <c r="D14" s="49">
        <v>108891397</v>
      </c>
      <c r="E14" s="49">
        <v>98500073</v>
      </c>
      <c r="F14" s="70"/>
    </row>
    <row r="15" spans="1:6" s="56" customFormat="1" ht="24" customHeight="1">
      <c r="A15" s="44">
        <v>5</v>
      </c>
      <c r="B15" s="48" t="s">
        <v>306</v>
      </c>
      <c r="C15" s="51">
        <f>+C13-C14</f>
        <v>-16100165</v>
      </c>
      <c r="D15" s="51">
        <f>+D13-D14</f>
        <v>-7404708</v>
      </c>
      <c r="E15" s="51">
        <f>+E13-E14</f>
        <v>-5318710</v>
      </c>
      <c r="F15" s="70"/>
    </row>
    <row r="16" spans="1:6" s="56" customFormat="1" ht="24" customHeight="1">
      <c r="A16" s="44">
        <v>6</v>
      </c>
      <c r="B16" s="48" t="s">
        <v>311</v>
      </c>
      <c r="C16" s="49">
        <v>1448996</v>
      </c>
      <c r="D16" s="49">
        <v>1771855</v>
      </c>
      <c r="E16" s="49">
        <v>-672962</v>
      </c>
      <c r="F16" s="70"/>
    </row>
    <row r="17" spans="1:6" s="56" customFormat="1" ht="24" customHeight="1">
      <c r="A17" s="44">
        <v>7</v>
      </c>
      <c r="B17" s="45" t="s">
        <v>526</v>
      </c>
      <c r="C17" s="51">
        <f>C15+C16</f>
        <v>-14651169</v>
      </c>
      <c r="D17" s="51">
        <f>D15+D16</f>
        <v>-5632853</v>
      </c>
      <c r="E17" s="51">
        <f>E15+E16</f>
        <v>-5991672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242</v>
      </c>
      <c r="B19" s="30" t="s">
        <v>701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702</v>
      </c>
      <c r="C20" s="169">
        <f>IF(+C27=0,0,+C24/+C27)</f>
        <v>-0.16741243985002868</v>
      </c>
      <c r="D20" s="169">
        <f>IF(+D27=0,0,+D24/+D27)</f>
        <v>-0.07171036616592232</v>
      </c>
      <c r="E20" s="169">
        <f>IF(+E27=0,0,+E24/+E27)</f>
        <v>-0.0574943458378445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703</v>
      </c>
      <c r="C21" s="169">
        <f>IF(+C27=0,0,+C26/+C27)</f>
        <v>0.015066923580778966</v>
      </c>
      <c r="D21" s="169">
        <f>IF(+D27=0,0,+D26/+D27)</f>
        <v>0.01715940329354247</v>
      </c>
      <c r="E21" s="169">
        <f>IF(+E27=0,0,+E26/+E27)</f>
        <v>-0.007274604173517171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704</v>
      </c>
      <c r="C22" s="169">
        <f>IF(+C27=0,0,+C28/+C27)</f>
        <v>-0.15234551626924972</v>
      </c>
      <c r="D22" s="169">
        <f>IF(+D27=0,0,+D28/+D27)</f>
        <v>-0.054550962872379836</v>
      </c>
      <c r="E22" s="169">
        <f>IF(+E27=0,0,+E28/+E27)</f>
        <v>-0.06476895001136167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306</v>
      </c>
      <c r="C24" s="51">
        <f>+C15</f>
        <v>-16100165</v>
      </c>
      <c r="D24" s="51">
        <f>+D15</f>
        <v>-7404708</v>
      </c>
      <c r="E24" s="51">
        <f>+E15</f>
        <v>-5318710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294</v>
      </c>
      <c r="C25" s="51">
        <f>+C13</f>
        <v>94721665</v>
      </c>
      <c r="D25" s="51">
        <f>+D13</f>
        <v>101486689</v>
      </c>
      <c r="E25" s="51">
        <f>+E13</f>
        <v>93181363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311</v>
      </c>
      <c r="C26" s="51">
        <f>+C16</f>
        <v>1448996</v>
      </c>
      <c r="D26" s="51">
        <f>+D16</f>
        <v>1771855</v>
      </c>
      <c r="E26" s="51">
        <f>+E16</f>
        <v>-672962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531</v>
      </c>
      <c r="C27" s="51">
        <f>SUM(C25:C26)</f>
        <v>96170661</v>
      </c>
      <c r="D27" s="51">
        <f>SUM(D25:D26)</f>
        <v>103258544</v>
      </c>
      <c r="E27" s="51">
        <f>SUM(E25:E26)</f>
        <v>92508401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526</v>
      </c>
      <c r="C28" s="51">
        <f>+C17</f>
        <v>-14651169</v>
      </c>
      <c r="D28" s="51">
        <f>+D17</f>
        <v>-5632853</v>
      </c>
      <c r="E28" s="51">
        <f>+E17</f>
        <v>-5991672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252</v>
      </c>
      <c r="B30" s="41" t="s">
        <v>705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706</v>
      </c>
      <c r="C31" s="51">
        <v>-4206359</v>
      </c>
      <c r="D31" s="51">
        <v>-7848792</v>
      </c>
      <c r="E31" s="52">
        <v>-16166149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707</v>
      </c>
      <c r="C32" s="51">
        <v>1088144</v>
      </c>
      <c r="D32" s="51">
        <v>-6419987</v>
      </c>
      <c r="E32" s="51">
        <v>-14868343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708</v>
      </c>
      <c r="C33" s="51">
        <v>1088144</v>
      </c>
      <c r="D33" s="51">
        <f>+D32-C32</f>
        <v>-7508131</v>
      </c>
      <c r="E33" s="51">
        <f>+E32-D32</f>
        <v>-8448356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709</v>
      </c>
      <c r="C34" s="171">
        <v>0</v>
      </c>
      <c r="D34" s="171">
        <f>IF(C32=0,0,+D33/C32)</f>
        <v>-6.899942470849447</v>
      </c>
      <c r="E34" s="171">
        <f>IF(D32=0,0,+E33/D32)</f>
        <v>1.3159459668687803</v>
      </c>
      <c r="F34" s="28"/>
    </row>
    <row r="35" spans="5:6" ht="24" customHeight="1">
      <c r="E35" s="55"/>
      <c r="F35" s="28"/>
    </row>
    <row r="36" spans="1:6" ht="15.75" customHeight="1">
      <c r="A36" s="20" t="s">
        <v>537</v>
      </c>
      <c r="B36" s="16" t="s">
        <v>559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560</v>
      </c>
      <c r="C38" s="269">
        <f>IF(+C40=0,0,+C39/+C40)</f>
        <v>0.47021941652877874</v>
      </c>
      <c r="D38" s="269">
        <f>IF(+D40=0,0,+D39/+D40)</f>
        <v>0.4257643548970101</v>
      </c>
      <c r="E38" s="269">
        <f>IF(+E40=0,0,+E39/+E40)</f>
        <v>0.4651518727748295</v>
      </c>
      <c r="F38" s="28"/>
    </row>
    <row r="39" spans="1:6" ht="24" customHeight="1">
      <c r="A39" s="17">
        <v>2</v>
      </c>
      <c r="B39" s="45" t="s">
        <v>241</v>
      </c>
      <c r="C39" s="270">
        <v>18571432</v>
      </c>
      <c r="D39" s="270">
        <v>19979436</v>
      </c>
      <c r="E39" s="270">
        <v>21329107</v>
      </c>
      <c r="F39" s="28"/>
    </row>
    <row r="40" spans="1:5" ht="24" customHeight="1">
      <c r="A40" s="17">
        <v>3</v>
      </c>
      <c r="B40" s="45" t="s">
        <v>270</v>
      </c>
      <c r="C40" s="270">
        <v>39495247</v>
      </c>
      <c r="D40" s="270">
        <v>46926042</v>
      </c>
      <c r="E40" s="270">
        <v>45854071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561</v>
      </c>
      <c r="C42" s="271">
        <f>IF((C48/365)=0,0,+C45/(C48/365))</f>
        <v>3.6858505021015877</v>
      </c>
      <c r="D42" s="271">
        <f>IF((D48/365)=0,0,+D45/(D48/365))</f>
        <v>16.858665894411732</v>
      </c>
      <c r="E42" s="271">
        <f>IF((E48/365)=0,0,+E45/(E48/365))</f>
        <v>20.703572320094356</v>
      </c>
    </row>
    <row r="43" spans="1:5" ht="24" customHeight="1">
      <c r="A43" s="17">
        <v>5</v>
      </c>
      <c r="B43" s="188" t="s">
        <v>232</v>
      </c>
      <c r="C43" s="272">
        <v>1081911</v>
      </c>
      <c r="D43" s="272">
        <v>4847594</v>
      </c>
      <c r="E43" s="272">
        <v>5343494</v>
      </c>
    </row>
    <row r="44" spans="1:5" ht="24" customHeight="1">
      <c r="A44" s="17">
        <v>6</v>
      </c>
      <c r="B44" s="273" t="s">
        <v>233</v>
      </c>
      <c r="C44" s="274">
        <v>0</v>
      </c>
      <c r="D44" s="274">
        <v>0</v>
      </c>
      <c r="E44" s="274">
        <v>0</v>
      </c>
    </row>
    <row r="45" spans="1:5" ht="24" customHeight="1">
      <c r="A45" s="17">
        <v>7</v>
      </c>
      <c r="B45" s="45" t="s">
        <v>562</v>
      </c>
      <c r="C45" s="270">
        <f>+C43+C44</f>
        <v>1081911</v>
      </c>
      <c r="D45" s="270">
        <f>+D43+D44</f>
        <v>4847594</v>
      </c>
      <c r="E45" s="270">
        <f>+E43+E44</f>
        <v>5343494</v>
      </c>
    </row>
    <row r="46" spans="1:5" ht="24" customHeight="1">
      <c r="A46" s="17">
        <v>8</v>
      </c>
      <c r="B46" s="45" t="s">
        <v>540</v>
      </c>
      <c r="C46" s="270">
        <f>+C14</f>
        <v>110821830</v>
      </c>
      <c r="D46" s="270">
        <f>+D14</f>
        <v>108891397</v>
      </c>
      <c r="E46" s="270">
        <f>+E14</f>
        <v>98500073</v>
      </c>
    </row>
    <row r="47" spans="1:5" ht="24" customHeight="1">
      <c r="A47" s="17">
        <v>9</v>
      </c>
      <c r="B47" s="45" t="s">
        <v>563</v>
      </c>
      <c r="C47" s="270">
        <v>3683053</v>
      </c>
      <c r="D47" s="270">
        <v>3938145</v>
      </c>
      <c r="E47" s="270">
        <v>4295301</v>
      </c>
    </row>
    <row r="48" spans="1:5" ht="24" customHeight="1">
      <c r="A48" s="17">
        <v>10</v>
      </c>
      <c r="B48" s="45" t="s">
        <v>564</v>
      </c>
      <c r="C48" s="270">
        <f>+C46-C47</f>
        <v>107138777</v>
      </c>
      <c r="D48" s="270">
        <f>+D46-D47</f>
        <v>104953252</v>
      </c>
      <c r="E48" s="270">
        <f>+E46-E47</f>
        <v>94204772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565</v>
      </c>
      <c r="C50" s="278">
        <f>IF((C55/365)=0,0,+C54/(C55/365))</f>
        <v>47.66494040782911</v>
      </c>
      <c r="D50" s="278">
        <f>IF((D55/365)=0,0,+D54/(D55/365))</f>
        <v>39.08402437210164</v>
      </c>
      <c r="E50" s="278">
        <f>IF((E55/365)=0,0,+E54/(E55/365))</f>
        <v>50.62629362156663</v>
      </c>
    </row>
    <row r="51" spans="1:5" ht="24" customHeight="1">
      <c r="A51" s="17">
        <v>12</v>
      </c>
      <c r="B51" s="188" t="s">
        <v>566</v>
      </c>
      <c r="C51" s="279">
        <v>12594326</v>
      </c>
      <c r="D51" s="279">
        <v>11482882</v>
      </c>
      <c r="E51" s="279">
        <v>12328784</v>
      </c>
    </row>
    <row r="52" spans="1:5" ht="24" customHeight="1">
      <c r="A52" s="17">
        <v>13</v>
      </c>
      <c r="B52" s="188" t="s">
        <v>237</v>
      </c>
      <c r="C52" s="270">
        <v>60899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265</v>
      </c>
      <c r="C53" s="270">
        <v>805620</v>
      </c>
      <c r="D53" s="270">
        <v>1118742</v>
      </c>
      <c r="E53" s="270">
        <v>304390</v>
      </c>
    </row>
    <row r="54" spans="1:5" ht="32.25" customHeight="1">
      <c r="A54" s="17">
        <v>15</v>
      </c>
      <c r="B54" s="45" t="s">
        <v>567</v>
      </c>
      <c r="C54" s="280">
        <f>+C51+C52-C53</f>
        <v>11849605</v>
      </c>
      <c r="D54" s="280">
        <f>+D51+D52-D53</f>
        <v>10364140</v>
      </c>
      <c r="E54" s="280">
        <f>+E51+E52-E53</f>
        <v>12024394</v>
      </c>
    </row>
    <row r="55" spans="1:5" ht="24" customHeight="1">
      <c r="A55" s="17">
        <v>16</v>
      </c>
      <c r="B55" s="45" t="s">
        <v>291</v>
      </c>
      <c r="C55" s="270">
        <f>+C11</f>
        <v>90739772</v>
      </c>
      <c r="D55" s="270">
        <f>+D11</f>
        <v>96789191</v>
      </c>
      <c r="E55" s="270">
        <f>+E11</f>
        <v>86692181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568</v>
      </c>
      <c r="C57" s="283">
        <f>IF((C61/365)=0,0,+C58/(C61/365))</f>
        <v>134.55226537633524</v>
      </c>
      <c r="D57" s="283">
        <f>IF((D61/365)=0,0,+D58/(D61/365))</f>
        <v>163.19651848424857</v>
      </c>
      <c r="E57" s="283">
        <f>IF((E61/365)=0,0,+E58/(E61/365))</f>
        <v>177.6633556843596</v>
      </c>
    </row>
    <row r="58" spans="1:5" ht="24" customHeight="1">
      <c r="A58" s="17">
        <v>18</v>
      </c>
      <c r="B58" s="45" t="s">
        <v>270</v>
      </c>
      <c r="C58" s="281">
        <f>+C40</f>
        <v>39495247</v>
      </c>
      <c r="D58" s="281">
        <f>+D40</f>
        <v>46926042</v>
      </c>
      <c r="E58" s="281">
        <f>+E40</f>
        <v>45854071</v>
      </c>
    </row>
    <row r="59" spans="1:5" ht="24" customHeight="1">
      <c r="A59" s="17">
        <v>19</v>
      </c>
      <c r="B59" s="45" t="s">
        <v>540</v>
      </c>
      <c r="C59" s="281">
        <f aca="true" t="shared" si="0" ref="C59:E60">+C46</f>
        <v>110821830</v>
      </c>
      <c r="D59" s="281">
        <f t="shared" si="0"/>
        <v>108891397</v>
      </c>
      <c r="E59" s="281">
        <f t="shared" si="0"/>
        <v>98500073</v>
      </c>
    </row>
    <row r="60" spans="1:5" ht="24" customHeight="1">
      <c r="A60" s="17">
        <v>20</v>
      </c>
      <c r="B60" s="45" t="s">
        <v>563</v>
      </c>
      <c r="C60" s="176">
        <f t="shared" si="0"/>
        <v>3683053</v>
      </c>
      <c r="D60" s="176">
        <f t="shared" si="0"/>
        <v>3938145</v>
      </c>
      <c r="E60" s="176">
        <f t="shared" si="0"/>
        <v>4295301</v>
      </c>
    </row>
    <row r="61" spans="1:5" ht="24" customHeight="1">
      <c r="A61" s="17">
        <v>21</v>
      </c>
      <c r="B61" s="45" t="s">
        <v>569</v>
      </c>
      <c r="C61" s="281">
        <f>+C59-C60</f>
        <v>107138777</v>
      </c>
      <c r="D61" s="281">
        <f>+D59-D60</f>
        <v>104953252</v>
      </c>
      <c r="E61" s="281">
        <f>+E59-E60</f>
        <v>94204772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558</v>
      </c>
      <c r="B63" s="16" t="s">
        <v>571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572</v>
      </c>
      <c r="C65" s="284">
        <f>IF(C67=0,0,(C66/C67)*100)</f>
        <v>1.5095314573857121</v>
      </c>
      <c r="D65" s="284">
        <f>IF(D67=0,0,(D66/D67)*100)</f>
        <v>-8.641021158646454</v>
      </c>
      <c r="E65" s="284">
        <f>IF(E67=0,0,(E66/E67)*100)</f>
        <v>-21.016843166570954</v>
      </c>
    </row>
    <row r="66" spans="1:5" ht="24" customHeight="1">
      <c r="A66" s="17">
        <v>2</v>
      </c>
      <c r="B66" s="45" t="s">
        <v>283</v>
      </c>
      <c r="C66" s="281">
        <f>+C32</f>
        <v>1088144</v>
      </c>
      <c r="D66" s="281">
        <f>+D32</f>
        <v>-6419987</v>
      </c>
      <c r="E66" s="281">
        <f>+E32</f>
        <v>-14868343</v>
      </c>
    </row>
    <row r="67" spans="1:5" ht="24" customHeight="1">
      <c r="A67" s="17">
        <v>3</v>
      </c>
      <c r="B67" s="45" t="s">
        <v>259</v>
      </c>
      <c r="C67" s="281">
        <v>72084884</v>
      </c>
      <c r="D67" s="281">
        <v>74296624</v>
      </c>
      <c r="E67" s="281">
        <v>70744892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573</v>
      </c>
      <c r="C69" s="284">
        <f>IF(C75=0,0,(C72/C75)*100)</f>
        <v>-15.77058878700853</v>
      </c>
      <c r="D69" s="284">
        <f>IF(D75=0,0,(D72/D75)*100)</f>
        <v>-2.1334583633653077</v>
      </c>
      <c r="E69" s="284">
        <f>IF(E75=0,0,(E72/E75)*100)</f>
        <v>-2.179296277477617</v>
      </c>
    </row>
    <row r="70" spans="1:5" ht="24" customHeight="1">
      <c r="A70" s="17">
        <v>5</v>
      </c>
      <c r="B70" s="45" t="s">
        <v>574</v>
      </c>
      <c r="C70" s="281">
        <f>+C28</f>
        <v>-14651169</v>
      </c>
      <c r="D70" s="281">
        <f>+D28</f>
        <v>-5632853</v>
      </c>
      <c r="E70" s="281">
        <f>+E28</f>
        <v>-5991672</v>
      </c>
    </row>
    <row r="71" spans="1:5" ht="24" customHeight="1">
      <c r="A71" s="17">
        <v>6</v>
      </c>
      <c r="B71" s="45" t="s">
        <v>563</v>
      </c>
      <c r="C71" s="176">
        <f>+C47</f>
        <v>3683053</v>
      </c>
      <c r="D71" s="176">
        <f>+D47</f>
        <v>3938145</v>
      </c>
      <c r="E71" s="176">
        <f>+E47</f>
        <v>4295301</v>
      </c>
    </row>
    <row r="72" spans="1:5" ht="24" customHeight="1">
      <c r="A72" s="17">
        <v>7</v>
      </c>
      <c r="B72" s="45" t="s">
        <v>575</v>
      </c>
      <c r="C72" s="281">
        <f>+C70+C71</f>
        <v>-10968116</v>
      </c>
      <c r="D72" s="281">
        <f>+D70+D71</f>
        <v>-1694708</v>
      </c>
      <c r="E72" s="281">
        <f>+E70+E71</f>
        <v>-1696371</v>
      </c>
    </row>
    <row r="73" spans="1:5" ht="24" customHeight="1">
      <c r="A73" s="17">
        <v>8</v>
      </c>
      <c r="B73" s="45" t="s">
        <v>270</v>
      </c>
      <c r="C73" s="270">
        <f>+C40</f>
        <v>39495247</v>
      </c>
      <c r="D73" s="270">
        <f>+D40</f>
        <v>46926042</v>
      </c>
      <c r="E73" s="270">
        <f>+E40</f>
        <v>45854071</v>
      </c>
    </row>
    <row r="74" spans="1:5" ht="24" customHeight="1">
      <c r="A74" s="17">
        <v>9</v>
      </c>
      <c r="B74" s="45" t="s">
        <v>274</v>
      </c>
      <c r="C74" s="281">
        <v>30052670</v>
      </c>
      <c r="D74" s="281">
        <v>32508740</v>
      </c>
      <c r="E74" s="281">
        <v>31986240</v>
      </c>
    </row>
    <row r="75" spans="1:5" ht="24" customHeight="1">
      <c r="A75" s="17">
        <v>10</v>
      </c>
      <c r="B75" s="285" t="s">
        <v>576</v>
      </c>
      <c r="C75" s="270">
        <f>+C73+C74</f>
        <v>69547917</v>
      </c>
      <c r="D75" s="270">
        <f>+D73+D74</f>
        <v>79434782</v>
      </c>
      <c r="E75" s="270">
        <f>+E73+E74</f>
        <v>77840311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577</v>
      </c>
      <c r="C77" s="286">
        <f>IF(C80=0,0,(C78/C80)*100)</f>
        <v>96.50573038970659</v>
      </c>
      <c r="D77" s="286">
        <f>IF(D80=0,0,(D78/D80)*100)</f>
        <v>124.60825551915033</v>
      </c>
      <c r="E77" s="286">
        <f>IF(E80=0,0,(E78/E80)*100)</f>
        <v>186.85846748581324</v>
      </c>
    </row>
    <row r="78" spans="1:5" ht="24" customHeight="1">
      <c r="A78" s="17">
        <v>12</v>
      </c>
      <c r="B78" s="45" t="s">
        <v>274</v>
      </c>
      <c r="C78" s="270">
        <f>+C74</f>
        <v>30052670</v>
      </c>
      <c r="D78" s="270">
        <f>+D74</f>
        <v>32508740</v>
      </c>
      <c r="E78" s="270">
        <f>+E74</f>
        <v>31986240</v>
      </c>
    </row>
    <row r="79" spans="1:5" ht="24" customHeight="1">
      <c r="A79" s="17">
        <v>13</v>
      </c>
      <c r="B79" s="45" t="s">
        <v>283</v>
      </c>
      <c r="C79" s="270">
        <f>+C32</f>
        <v>1088144</v>
      </c>
      <c r="D79" s="270">
        <f>+D32</f>
        <v>-6419987</v>
      </c>
      <c r="E79" s="270">
        <f>+E32</f>
        <v>-14868343</v>
      </c>
    </row>
    <row r="80" spans="1:5" ht="24" customHeight="1">
      <c r="A80" s="17">
        <v>14</v>
      </c>
      <c r="B80" s="45" t="s">
        <v>578</v>
      </c>
      <c r="C80" s="270">
        <f>+C78+C79</f>
        <v>31140814</v>
      </c>
      <c r="D80" s="270">
        <f>+D78+D79</f>
        <v>26088753</v>
      </c>
      <c r="E80" s="270">
        <f>+E78+E79</f>
        <v>17117897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FILING&amp;R&amp;8JOHNSON MEMORIAL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2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216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217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218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710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711</v>
      </c>
      <c r="G7" s="126" t="s">
        <v>711</v>
      </c>
      <c r="H7" s="125"/>
      <c r="I7" s="289"/>
    </row>
    <row r="8" spans="1:9" ht="15.75" customHeight="1">
      <c r="A8" s="287"/>
      <c r="B8" s="126"/>
      <c r="C8" s="126" t="s">
        <v>712</v>
      </c>
      <c r="D8" s="126" t="s">
        <v>713</v>
      </c>
      <c r="E8" s="126" t="s">
        <v>714</v>
      </c>
      <c r="F8" s="126" t="s">
        <v>715</v>
      </c>
      <c r="G8" s="126" t="s">
        <v>716</v>
      </c>
      <c r="H8" s="125"/>
      <c r="I8" s="289"/>
    </row>
    <row r="9" spans="1:9" ht="15.75" customHeight="1">
      <c r="A9" s="290" t="s">
        <v>224</v>
      </c>
      <c r="B9" s="291" t="s">
        <v>225</v>
      </c>
      <c r="C9" s="292" t="s">
        <v>717</v>
      </c>
      <c r="D9" s="292" t="s">
        <v>718</v>
      </c>
      <c r="E9" s="292" t="s">
        <v>719</v>
      </c>
      <c r="F9" s="292" t="s">
        <v>718</v>
      </c>
      <c r="G9" s="292" t="s">
        <v>719</v>
      </c>
      <c r="H9" s="125"/>
      <c r="I9" s="56"/>
    </row>
    <row r="10" spans="1:9" ht="15.75" customHeight="1">
      <c r="A10" s="293" t="s">
        <v>720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721</v>
      </c>
      <c r="C11" s="296">
        <v>11079</v>
      </c>
      <c r="D11" s="297">
        <v>42</v>
      </c>
      <c r="E11" s="297">
        <v>56</v>
      </c>
      <c r="F11" s="298">
        <f>IF(D11=0,0,$C11/(D11*365))</f>
        <v>0.7227005870841487</v>
      </c>
      <c r="G11" s="298">
        <f>IF(E11=0,0,$C11/(E11*365))</f>
        <v>0.5420254403131115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722</v>
      </c>
      <c r="C13" s="296">
        <v>1542</v>
      </c>
      <c r="D13" s="297">
        <v>5</v>
      </c>
      <c r="E13" s="297">
        <v>7</v>
      </c>
      <c r="F13" s="298">
        <f>IF(D13=0,0,$C13/(D13*365))</f>
        <v>0.8449315068493151</v>
      </c>
      <c r="G13" s="298">
        <f>IF(E13=0,0,$C13/(E13*365))</f>
        <v>0.6035225048923679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723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724</v>
      </c>
      <c r="C16" s="296">
        <v>3988</v>
      </c>
      <c r="D16" s="297">
        <v>17</v>
      </c>
      <c r="E16" s="297">
        <v>20</v>
      </c>
      <c r="F16" s="298">
        <f t="shared" si="0"/>
        <v>0.6427074939564867</v>
      </c>
      <c r="G16" s="298">
        <f t="shared" si="0"/>
        <v>0.5463013698630137</v>
      </c>
      <c r="H16" s="125"/>
      <c r="I16" s="299"/>
    </row>
    <row r="17" spans="1:9" ht="15.75" customHeight="1">
      <c r="A17" s="293"/>
      <c r="B17" s="135" t="s">
        <v>725</v>
      </c>
      <c r="C17" s="300">
        <f>SUM(C15:C16)</f>
        <v>3988</v>
      </c>
      <c r="D17" s="300">
        <f>SUM(D15:D16)</f>
        <v>17</v>
      </c>
      <c r="E17" s="300">
        <f>SUM(E15:E16)</f>
        <v>20</v>
      </c>
      <c r="F17" s="301">
        <f t="shared" si="0"/>
        <v>0.6427074939564867</v>
      </c>
      <c r="G17" s="301">
        <f t="shared" si="0"/>
        <v>0.5463013698630137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726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727</v>
      </c>
      <c r="C21" s="296">
        <v>764</v>
      </c>
      <c r="D21" s="297">
        <v>4</v>
      </c>
      <c r="E21" s="297">
        <v>6</v>
      </c>
      <c r="F21" s="298">
        <f>IF(D21=0,0,$C21/(D21*365))</f>
        <v>0.5232876712328767</v>
      </c>
      <c r="G21" s="298">
        <f>IF(E21=0,0,$C21/(E21*365))</f>
        <v>0.34885844748858447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728</v>
      </c>
      <c r="C23" s="296">
        <v>625</v>
      </c>
      <c r="D23" s="297">
        <v>4</v>
      </c>
      <c r="E23" s="297">
        <v>6</v>
      </c>
      <c r="F23" s="298">
        <f>IF(D23=0,0,$C23/(D23*365))</f>
        <v>0.4280821917808219</v>
      </c>
      <c r="G23" s="298">
        <f>IF(E23=0,0,$C23/(E23*365))</f>
        <v>0.2853881278538813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511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729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730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731</v>
      </c>
      <c r="C31" s="300">
        <f>SUM(C10:C29)-C17-C23</f>
        <v>17373</v>
      </c>
      <c r="D31" s="300">
        <f>SUM(D10:D29)-D17-D23</f>
        <v>68</v>
      </c>
      <c r="E31" s="300">
        <f>SUM(E10:E29)-E17-E23</f>
        <v>89</v>
      </c>
      <c r="F31" s="301">
        <f>IF(D31=0,0,$C31/(D31*365))</f>
        <v>0.6999597099113618</v>
      </c>
      <c r="G31" s="301">
        <f>IF(E31=0,0,$C31/(E31*365))</f>
        <v>0.5348006772356472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732</v>
      </c>
      <c r="C33" s="300">
        <f>SUM(C10:C29)-C17</f>
        <v>17998</v>
      </c>
      <c r="D33" s="300">
        <f>SUM(D10:D29)-D17</f>
        <v>72</v>
      </c>
      <c r="E33" s="300">
        <f>SUM(E10:E29)-E17</f>
        <v>95</v>
      </c>
      <c r="F33" s="301">
        <f>IF(D33=0,0,$C33/(D33*365))</f>
        <v>0.684855403348554</v>
      </c>
      <c r="G33" s="301">
        <f>IF(E33=0,0,$C33/(E33*365))</f>
        <v>0.5190483056957462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733</v>
      </c>
      <c r="C36" s="300">
        <f>+C33</f>
        <v>17998</v>
      </c>
      <c r="D36" s="300">
        <f>+D33</f>
        <v>72</v>
      </c>
      <c r="E36" s="300">
        <f>+E33</f>
        <v>95</v>
      </c>
      <c r="F36" s="301">
        <f>+F33</f>
        <v>0.684855403348554</v>
      </c>
      <c r="G36" s="301">
        <f>+G33</f>
        <v>0.5190483056957462</v>
      </c>
      <c r="H36" s="125"/>
      <c r="I36" s="299"/>
    </row>
    <row r="37" spans="1:9" ht="15.75" customHeight="1">
      <c r="A37" s="293"/>
      <c r="B37" s="135" t="s">
        <v>734</v>
      </c>
      <c r="C37" s="300">
        <v>21656</v>
      </c>
      <c r="D37" s="302">
        <v>72</v>
      </c>
      <c r="E37" s="302">
        <v>95</v>
      </c>
      <c r="F37" s="301">
        <f>IF(D37=0,0,$C37/(D37*365))</f>
        <v>0.8240487062404871</v>
      </c>
      <c r="G37" s="301">
        <f>IF(E37=0,0,$C37/(E37*365))</f>
        <v>0.6245421773612112</v>
      </c>
      <c r="H37" s="125"/>
      <c r="I37" s="299"/>
    </row>
    <row r="38" spans="1:9" ht="15.75" customHeight="1">
      <c r="A38" s="293"/>
      <c r="B38" s="135" t="s">
        <v>735</v>
      </c>
      <c r="C38" s="300">
        <f>+C36-C37</f>
        <v>-3658</v>
      </c>
      <c r="D38" s="300">
        <f>+D36-D37</f>
        <v>0</v>
      </c>
      <c r="E38" s="300">
        <f>+E36-E37</f>
        <v>0</v>
      </c>
      <c r="F38" s="301">
        <f>+F36-F37</f>
        <v>-0.1391933028919331</v>
      </c>
      <c r="G38" s="301">
        <f>+G36-G37</f>
        <v>-0.10549387166546498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736</v>
      </c>
      <c r="C40" s="148">
        <f>IF(C37=0,0,C38/C37)</f>
        <v>-0.1689139268562985</v>
      </c>
      <c r="D40" s="148">
        <f>IF(D37=0,0,D38/D37)</f>
        <v>0</v>
      </c>
      <c r="E40" s="148">
        <f>IF(E37=0,0,E38/E37)</f>
        <v>0</v>
      </c>
      <c r="F40" s="148">
        <f>IF(F37=0,0,F38/F37)</f>
        <v>-0.16891392685629858</v>
      </c>
      <c r="G40" s="148">
        <f>IF(G37=0,0,G38/G37)</f>
        <v>-0.1689139268562984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737</v>
      </c>
      <c r="C42" s="295">
        <v>101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738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720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FILING&amp;RJOHNSON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216</v>
      </c>
      <c r="B1" s="698"/>
      <c r="C1" s="698"/>
      <c r="D1" s="698"/>
      <c r="E1" s="698"/>
      <c r="F1" s="698"/>
    </row>
    <row r="2" spans="1:6" ht="15.75" customHeight="1">
      <c r="A2" s="698" t="s">
        <v>217</v>
      </c>
      <c r="B2" s="698"/>
      <c r="C2" s="698"/>
      <c r="D2" s="698"/>
      <c r="E2" s="698"/>
      <c r="F2" s="698"/>
    </row>
    <row r="3" spans="1:6" ht="15.75" customHeight="1">
      <c r="A3" s="698" t="s">
        <v>218</v>
      </c>
      <c r="B3" s="698"/>
      <c r="C3" s="698"/>
      <c r="D3" s="698"/>
      <c r="E3" s="698"/>
      <c r="F3" s="698"/>
    </row>
    <row r="4" spans="1:6" ht="15.75" customHeight="1">
      <c r="A4" s="698" t="s">
        <v>739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226</v>
      </c>
      <c r="D8" s="312" t="s">
        <v>226</v>
      </c>
      <c r="E8" s="126" t="s">
        <v>222</v>
      </c>
      <c r="F8" s="126" t="s">
        <v>223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224</v>
      </c>
      <c r="B9" s="291" t="s">
        <v>225</v>
      </c>
      <c r="C9" s="292" t="s">
        <v>220</v>
      </c>
      <c r="D9" s="292" t="s">
        <v>221</v>
      </c>
      <c r="E9" s="315" t="s">
        <v>227</v>
      </c>
      <c r="F9" s="315" t="s">
        <v>227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230</v>
      </c>
      <c r="B11" s="291" t="s">
        <v>740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741</v>
      </c>
      <c r="C12" s="296">
        <v>3939</v>
      </c>
      <c r="D12" s="296">
        <v>3673</v>
      </c>
      <c r="E12" s="296">
        <f>+D12-C12</f>
        <v>-266</v>
      </c>
      <c r="F12" s="316">
        <f>IF(C12=0,0,+E12/C12)</f>
        <v>-0.06752982990606753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742</v>
      </c>
      <c r="C13" s="296">
        <v>1380</v>
      </c>
      <c r="D13" s="296">
        <v>1719</v>
      </c>
      <c r="E13" s="296">
        <f>+D13-C13</f>
        <v>339</v>
      </c>
      <c r="F13" s="316">
        <f>IF(C13=0,0,+E13/C13)</f>
        <v>0.24565217391304348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743</v>
      </c>
      <c r="C14" s="296">
        <v>4344</v>
      </c>
      <c r="D14" s="296">
        <v>4955</v>
      </c>
      <c r="E14" s="296">
        <f>+D14-C14</f>
        <v>611</v>
      </c>
      <c r="F14" s="316">
        <f>IF(C14=0,0,+E14/C14)</f>
        <v>0.1406537753222836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744</v>
      </c>
      <c r="C15" s="296">
        <v>2902</v>
      </c>
      <c r="D15" s="296">
        <v>2100</v>
      </c>
      <c r="E15" s="296">
        <f>+D15-C15</f>
        <v>-802</v>
      </c>
      <c r="F15" s="316">
        <f>IF(C15=0,0,+E15/C15)</f>
        <v>-0.27636113025499653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745</v>
      </c>
      <c r="C16" s="300">
        <f>SUM(C12:C15)</f>
        <v>12565</v>
      </c>
      <c r="D16" s="300">
        <f>SUM(D12:D15)</f>
        <v>12447</v>
      </c>
      <c r="E16" s="300">
        <f>+D16-C16</f>
        <v>-118</v>
      </c>
      <c r="F16" s="309">
        <f>IF(C16=0,0,+E16/C16)</f>
        <v>-0.00939116593712694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242</v>
      </c>
      <c r="B18" s="291" t="s">
        <v>746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741</v>
      </c>
      <c r="C19" s="296">
        <v>379</v>
      </c>
      <c r="D19" s="296">
        <v>279</v>
      </c>
      <c r="E19" s="296">
        <f>+D19-C19</f>
        <v>-100</v>
      </c>
      <c r="F19" s="316">
        <f>IF(C19=0,0,+E19/C19)</f>
        <v>-0.2638522427440633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742</v>
      </c>
      <c r="C20" s="296">
        <v>690</v>
      </c>
      <c r="D20" s="296">
        <v>693</v>
      </c>
      <c r="E20" s="296">
        <f>+D20-C20</f>
        <v>3</v>
      </c>
      <c r="F20" s="316">
        <f>IF(C20=0,0,+E20/C20)</f>
        <v>0.004347826086956522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743</v>
      </c>
      <c r="C21" s="296">
        <v>18</v>
      </c>
      <c r="D21" s="296">
        <v>15</v>
      </c>
      <c r="E21" s="296">
        <f>+D21-C21</f>
        <v>-3</v>
      </c>
      <c r="F21" s="316">
        <f>IF(C21=0,0,+E21/C21)</f>
        <v>-0.16666666666666666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744</v>
      </c>
      <c r="C22" s="296">
        <v>1255</v>
      </c>
      <c r="D22" s="296">
        <v>968</v>
      </c>
      <c r="E22" s="296">
        <f>+D22-C22</f>
        <v>-287</v>
      </c>
      <c r="F22" s="316">
        <f>IF(C22=0,0,+E22/C22)</f>
        <v>-0.22868525896414343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747</v>
      </c>
      <c r="C23" s="300">
        <f>SUM(C19:C22)</f>
        <v>2342</v>
      </c>
      <c r="D23" s="300">
        <f>SUM(D19:D22)</f>
        <v>1955</v>
      </c>
      <c r="E23" s="300">
        <f>+D23-C23</f>
        <v>-387</v>
      </c>
      <c r="F23" s="309">
        <f>IF(C23=0,0,+E23/C23)</f>
        <v>-0.16524338172502134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252</v>
      </c>
      <c r="B25" s="291" t="s">
        <v>748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741</v>
      </c>
      <c r="C26" s="296">
        <v>6</v>
      </c>
      <c r="D26" s="296">
        <v>0</v>
      </c>
      <c r="E26" s="296">
        <f>+D26-C26</f>
        <v>-6</v>
      </c>
      <c r="F26" s="316">
        <f>IF(C26=0,0,+E26/C26)</f>
        <v>-1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742</v>
      </c>
      <c r="C27" s="296">
        <v>3</v>
      </c>
      <c r="D27" s="296">
        <v>0</v>
      </c>
      <c r="E27" s="296">
        <f>+D27-C27</f>
        <v>-3</v>
      </c>
      <c r="F27" s="316">
        <f>IF(C27=0,0,+E27/C27)</f>
        <v>-1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743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744</v>
      </c>
      <c r="C29" s="296">
        <v>310</v>
      </c>
      <c r="D29" s="296">
        <v>0</v>
      </c>
      <c r="E29" s="296">
        <f>+D29-C29</f>
        <v>-310</v>
      </c>
      <c r="F29" s="316">
        <f>IF(C29=0,0,+E29/C29)</f>
        <v>-1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749</v>
      </c>
      <c r="C30" s="300">
        <f>SUM(C26:C29)</f>
        <v>319</v>
      </c>
      <c r="D30" s="300">
        <f>SUM(D26:D29)</f>
        <v>0</v>
      </c>
      <c r="E30" s="300">
        <f>+D30-C30</f>
        <v>-319</v>
      </c>
      <c r="F30" s="309">
        <f>IF(C30=0,0,+E30/C30)</f>
        <v>-1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537</v>
      </c>
      <c r="B32" s="291" t="s">
        <v>750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741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742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743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744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751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752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753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558</v>
      </c>
      <c r="B42" s="291" t="s">
        <v>754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755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756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757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570</v>
      </c>
      <c r="B47" s="291" t="s">
        <v>758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755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756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759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582</v>
      </c>
      <c r="B52" s="291" t="s">
        <v>760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761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762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763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586</v>
      </c>
      <c r="B57" s="291" t="s">
        <v>764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765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766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767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228</v>
      </c>
      <c r="B62" s="291" t="s">
        <v>768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769</v>
      </c>
      <c r="C63" s="296">
        <v>809</v>
      </c>
      <c r="D63" s="296">
        <v>763</v>
      </c>
      <c r="E63" s="296">
        <f>+D63-C63</f>
        <v>-46</v>
      </c>
      <c r="F63" s="316">
        <f>IF(C63=0,0,+E63/C63)</f>
        <v>-0.05686032138442522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770</v>
      </c>
      <c r="C64" s="296">
        <v>6139</v>
      </c>
      <c r="D64" s="296">
        <v>2242</v>
      </c>
      <c r="E64" s="296">
        <f>+D64-C64</f>
        <v>-3897</v>
      </c>
      <c r="F64" s="316">
        <f>IF(C64=0,0,+E64/C64)</f>
        <v>-0.6347939403811695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771</v>
      </c>
      <c r="C65" s="300">
        <f>SUM(C63:C64)</f>
        <v>6948</v>
      </c>
      <c r="D65" s="300">
        <f>SUM(D63:D64)</f>
        <v>3005</v>
      </c>
      <c r="E65" s="300">
        <f>+D65-C65</f>
        <v>-3943</v>
      </c>
      <c r="F65" s="309">
        <f>IF(C65=0,0,+E65/C65)</f>
        <v>-0.5675014392630973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612</v>
      </c>
      <c r="B67" s="291" t="s">
        <v>772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773</v>
      </c>
      <c r="C68" s="296">
        <v>122</v>
      </c>
      <c r="D68" s="296">
        <v>175</v>
      </c>
      <c r="E68" s="296">
        <f>+D68-C68</f>
        <v>53</v>
      </c>
      <c r="F68" s="316">
        <f>IF(C68=0,0,+E68/C68)</f>
        <v>0.4344262295081967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774</v>
      </c>
      <c r="C69" s="296">
        <v>2337</v>
      </c>
      <c r="D69" s="296">
        <v>2409</v>
      </c>
      <c r="E69" s="296">
        <f>+D69-C69</f>
        <v>72</v>
      </c>
      <c r="F69" s="318">
        <f>IF(C69=0,0,+E69/C69)</f>
        <v>0.03080872913992298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775</v>
      </c>
      <c r="C70" s="300">
        <f>SUM(C68:C69)</f>
        <v>2459</v>
      </c>
      <c r="D70" s="300">
        <f>SUM(D68:D69)</f>
        <v>2584</v>
      </c>
      <c r="E70" s="300">
        <f>+D70-C70</f>
        <v>125</v>
      </c>
      <c r="F70" s="309">
        <f>IF(C70=0,0,+E70/C70)</f>
        <v>0.0508336722244815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628</v>
      </c>
      <c r="B72" s="291" t="s">
        <v>776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777</v>
      </c>
      <c r="C73" s="319">
        <v>2978</v>
      </c>
      <c r="D73" s="319">
        <v>3027</v>
      </c>
      <c r="E73" s="296">
        <f>+D73-C73</f>
        <v>49</v>
      </c>
      <c r="F73" s="316">
        <f>IF(C73=0,0,+E73/C73)</f>
        <v>0.016453995970449966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778</v>
      </c>
      <c r="C74" s="319">
        <v>17766</v>
      </c>
      <c r="D74" s="319">
        <v>17336</v>
      </c>
      <c r="E74" s="296">
        <f>+D74-C74</f>
        <v>-430</v>
      </c>
      <c r="F74" s="316">
        <f>IF(C74=0,0,+E74/C74)</f>
        <v>-0.024203534841832713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644</v>
      </c>
      <c r="C75" s="300">
        <f>SUM(C73:C74)</f>
        <v>20744</v>
      </c>
      <c r="D75" s="300">
        <f>SUM(D73:D74)</f>
        <v>20363</v>
      </c>
      <c r="E75" s="300">
        <f>SUM(E73:E74)</f>
        <v>-381</v>
      </c>
      <c r="F75" s="309">
        <f>IF(C75=0,0,+E75/C75)</f>
        <v>-0.01836675665252603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637</v>
      </c>
      <c r="B78" s="291" t="s">
        <v>779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780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781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782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783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784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785</v>
      </c>
      <c r="C84" s="320">
        <f>SUM(C79:C83)</f>
        <v>0</v>
      </c>
      <c r="D84" s="320">
        <f>SUM(D79:D83)</f>
        <v>0</v>
      </c>
      <c r="E84" s="300">
        <f t="shared" si="0"/>
        <v>0</v>
      </c>
      <c r="F84" s="309">
        <f t="shared" si="1"/>
        <v>0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640</v>
      </c>
      <c r="B86" s="291" t="s">
        <v>786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787</v>
      </c>
      <c r="C87" s="322">
        <v>2824</v>
      </c>
      <c r="D87" s="322">
        <v>1075</v>
      </c>
      <c r="E87" s="323">
        <f aca="true" t="shared" si="2" ref="E87:E92">+D87-C87</f>
        <v>-1749</v>
      </c>
      <c r="F87" s="318">
        <f aca="true" t="shared" si="3" ref="F87:F92">IF(C87=0,0,+E87/C87)</f>
        <v>-0.6193342776203966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479</v>
      </c>
      <c r="C88" s="322">
        <v>2358</v>
      </c>
      <c r="D88" s="322">
        <v>1641</v>
      </c>
      <c r="E88" s="296">
        <f t="shared" si="2"/>
        <v>-717</v>
      </c>
      <c r="F88" s="316">
        <f t="shared" si="3"/>
        <v>-0.30407124681933845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788</v>
      </c>
      <c r="C89" s="322">
        <v>0</v>
      </c>
      <c r="D89" s="322">
        <v>343</v>
      </c>
      <c r="E89" s="296">
        <f t="shared" si="2"/>
        <v>343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789</v>
      </c>
      <c r="C90" s="322">
        <v>1135</v>
      </c>
      <c r="D90" s="322">
        <v>1537</v>
      </c>
      <c r="E90" s="296">
        <f t="shared" si="2"/>
        <v>402</v>
      </c>
      <c r="F90" s="316">
        <f t="shared" si="3"/>
        <v>0.3541850220264317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790</v>
      </c>
      <c r="C91" s="322">
        <v>85985</v>
      </c>
      <c r="D91" s="322">
        <v>79585</v>
      </c>
      <c r="E91" s="296">
        <f t="shared" si="2"/>
        <v>-6400</v>
      </c>
      <c r="F91" s="316">
        <f t="shared" si="3"/>
        <v>-0.07443158690469268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791</v>
      </c>
      <c r="C92" s="320">
        <f>SUM(C87:C91)</f>
        <v>92302</v>
      </c>
      <c r="D92" s="320">
        <f>SUM(D87:D91)</f>
        <v>84181</v>
      </c>
      <c r="E92" s="300">
        <f t="shared" si="2"/>
        <v>-8121</v>
      </c>
      <c r="F92" s="309">
        <f t="shared" si="3"/>
        <v>-0.08798292561374618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792</v>
      </c>
      <c r="B95" s="291" t="s">
        <v>793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794</v>
      </c>
      <c r="C96" s="325">
        <v>132.3</v>
      </c>
      <c r="D96" s="325">
        <v>119</v>
      </c>
      <c r="E96" s="326">
        <f>+D96-C96</f>
        <v>-13.300000000000011</v>
      </c>
      <c r="F96" s="316">
        <f>IF(C96=0,0,+E96/C96)</f>
        <v>-0.1005291005291006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795</v>
      </c>
      <c r="C97" s="325">
        <v>10.4</v>
      </c>
      <c r="D97" s="325">
        <v>11.3</v>
      </c>
      <c r="E97" s="326">
        <f>+D97-C97</f>
        <v>0.9000000000000004</v>
      </c>
      <c r="F97" s="316">
        <f>IF(C97=0,0,+E97/C97)</f>
        <v>0.08653846153846156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796</v>
      </c>
      <c r="C98" s="325">
        <v>409.9</v>
      </c>
      <c r="D98" s="325">
        <v>338.9</v>
      </c>
      <c r="E98" s="326">
        <f>+D98-C98</f>
        <v>-71</v>
      </c>
      <c r="F98" s="316">
        <f>IF(C98=0,0,+E98/C98)</f>
        <v>-0.17321297877531106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797</v>
      </c>
      <c r="C99" s="327">
        <f>SUM(C96:C98)</f>
        <v>552.6</v>
      </c>
      <c r="D99" s="327">
        <f>SUM(D96:D98)</f>
        <v>469.2</v>
      </c>
      <c r="E99" s="327">
        <f>+D99-C99</f>
        <v>-83.40000000000003</v>
      </c>
      <c r="F99" s="309">
        <f>IF(C99=0,0,+E99/C99)</f>
        <v>-0.15092290988056467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FILING&amp;RJOHNSON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SheetLayoutView="90" zoomScalePageLayoutView="0" workbookViewId="0" topLeftCell="A4">
      <selection activeCell="B29" sqref="B29:F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216</v>
      </c>
      <c r="B1" s="698"/>
      <c r="C1" s="698"/>
      <c r="D1" s="698"/>
      <c r="E1" s="698"/>
      <c r="F1" s="698"/>
    </row>
    <row r="2" spans="1:6" ht="15.75" customHeight="1">
      <c r="A2" s="698" t="s">
        <v>217</v>
      </c>
      <c r="B2" s="698"/>
      <c r="C2" s="698"/>
      <c r="D2" s="698"/>
      <c r="E2" s="698"/>
      <c r="F2" s="698"/>
    </row>
    <row r="3" spans="1:6" ht="15.75" customHeight="1">
      <c r="A3" s="698" t="s">
        <v>218</v>
      </c>
      <c r="B3" s="698"/>
      <c r="C3" s="698"/>
      <c r="D3" s="698"/>
      <c r="E3" s="698"/>
      <c r="F3" s="698"/>
    </row>
    <row r="4" spans="1:6" ht="15.75" customHeight="1">
      <c r="A4" s="698" t="s">
        <v>798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226</v>
      </c>
      <c r="D8" s="312" t="s">
        <v>226</v>
      </c>
      <c r="E8" s="126" t="s">
        <v>222</v>
      </c>
      <c r="F8" s="126" t="s">
        <v>223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224</v>
      </c>
      <c r="B9" s="291" t="s">
        <v>225</v>
      </c>
      <c r="C9" s="292" t="s">
        <v>220</v>
      </c>
      <c r="D9" s="292" t="s">
        <v>221</v>
      </c>
      <c r="E9" s="315" t="s">
        <v>227</v>
      </c>
      <c r="F9" s="315" t="s">
        <v>227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326</v>
      </c>
      <c r="B11" s="291" t="s">
        <v>770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799</v>
      </c>
      <c r="C12" s="296">
        <v>2019</v>
      </c>
      <c r="D12" s="296">
        <v>951</v>
      </c>
      <c r="E12" s="296">
        <f>+D12-C12</f>
        <v>-1068</v>
      </c>
      <c r="F12" s="316">
        <f>IF(C12=0,0,+E12/C12)</f>
        <v>-0.5289747399702823</v>
      </c>
    </row>
    <row r="13" spans="1:6" ht="15.75" customHeight="1">
      <c r="A13" s="294">
        <v>2</v>
      </c>
      <c r="B13" s="295" t="s">
        <v>800</v>
      </c>
      <c r="C13" s="296">
        <v>4120</v>
      </c>
      <c r="D13" s="296">
        <v>1291</v>
      </c>
      <c r="E13" s="296">
        <f>+D13-C13</f>
        <v>-2829</v>
      </c>
      <c r="F13" s="316">
        <f>IF(C13=0,0,+E13/C13)</f>
        <v>-0.6866504854368932</v>
      </c>
    </row>
    <row r="14" spans="1:6" ht="15.75" customHeight="1">
      <c r="A14" s="294"/>
      <c r="B14" s="135" t="s">
        <v>801</v>
      </c>
      <c r="C14" s="300">
        <f>SUM(C11:C13)</f>
        <v>6139</v>
      </c>
      <c r="D14" s="300">
        <f>SUM(D11:D13)</f>
        <v>2242</v>
      </c>
      <c r="E14" s="300">
        <f>+D14-C14</f>
        <v>-3897</v>
      </c>
      <c r="F14" s="309">
        <f>IF(C14=0,0,+E14/C14)</f>
        <v>-0.6347939403811695</v>
      </c>
    </row>
    <row r="15" spans="1:6" ht="15.75" customHeight="1">
      <c r="A15" s="293"/>
      <c r="B15" s="135"/>
      <c r="C15" s="300"/>
      <c r="D15" s="300"/>
      <c r="E15" s="300"/>
      <c r="F15" s="309"/>
    </row>
    <row r="16" spans="1:6" ht="15.75" customHeight="1">
      <c r="A16" s="293" t="s">
        <v>340</v>
      </c>
      <c r="B16" s="291" t="s">
        <v>774</v>
      </c>
      <c r="C16" s="296"/>
      <c r="D16" s="296"/>
      <c r="E16" s="296"/>
      <c r="F16" s="316"/>
    </row>
    <row r="17" spans="1:6" ht="15.75" customHeight="1">
      <c r="A17" s="294">
        <v>1</v>
      </c>
      <c r="B17" s="295" t="s">
        <v>799</v>
      </c>
      <c r="C17" s="296">
        <v>1342</v>
      </c>
      <c r="D17" s="296">
        <v>1786</v>
      </c>
      <c r="E17" s="296">
        <f>+D17-C17</f>
        <v>444</v>
      </c>
      <c r="F17" s="316">
        <f>IF(C17=0,0,+E17/C17)</f>
        <v>0.33084947839046197</v>
      </c>
    </row>
    <row r="18" spans="1:6" ht="15.75" customHeight="1">
      <c r="A18" s="294">
        <v>2</v>
      </c>
      <c r="B18" s="295" t="s">
        <v>802</v>
      </c>
      <c r="C18" s="296">
        <v>995</v>
      </c>
      <c r="D18" s="296">
        <v>623</v>
      </c>
      <c r="E18" s="296">
        <f>+D18-C18</f>
        <v>-372</v>
      </c>
      <c r="F18" s="316">
        <f>IF(C18=0,0,+E18/C18)</f>
        <v>-0.37386934673366834</v>
      </c>
    </row>
    <row r="19" spans="1:6" ht="15.75" customHeight="1">
      <c r="A19" s="294"/>
      <c r="B19" s="135" t="s">
        <v>803</v>
      </c>
      <c r="C19" s="300">
        <f>SUM(C16:C18)</f>
        <v>2337</v>
      </c>
      <c r="D19" s="300">
        <f>SUM(D16:D18)</f>
        <v>2409</v>
      </c>
      <c r="E19" s="300">
        <f>+D19-C19</f>
        <v>72</v>
      </c>
      <c r="F19" s="309">
        <f>IF(C19=0,0,+E19/C19)</f>
        <v>0.03080872913992298</v>
      </c>
    </row>
    <row r="20" spans="1:6" ht="15.75" customHeight="1">
      <c r="A20" s="293"/>
      <c r="B20" s="135"/>
      <c r="C20" s="300"/>
      <c r="D20" s="300"/>
      <c r="E20" s="300"/>
      <c r="F20" s="309"/>
    </row>
    <row r="21" spans="1:6" ht="15.75" customHeight="1">
      <c r="A21" s="293" t="s">
        <v>357</v>
      </c>
      <c r="B21" s="291" t="s">
        <v>804</v>
      </c>
      <c r="C21" s="296"/>
      <c r="D21" s="296"/>
      <c r="E21" s="296"/>
      <c r="F21" s="316"/>
    </row>
    <row r="22" spans="1:6" ht="15.75" customHeight="1">
      <c r="A22" s="294">
        <v>1</v>
      </c>
      <c r="B22" s="295" t="s">
        <v>799</v>
      </c>
      <c r="C22" s="296">
        <v>17766</v>
      </c>
      <c r="D22" s="296">
        <v>17336</v>
      </c>
      <c r="E22" s="296">
        <f>+D22-C22</f>
        <v>-430</v>
      </c>
      <c r="F22" s="316">
        <f>IF(C22=0,0,+E22/C22)</f>
        <v>-0.024203534841832713</v>
      </c>
    </row>
    <row r="23" spans="1:6" ht="15.75" customHeight="1">
      <c r="A23" s="294"/>
      <c r="B23" s="135" t="s">
        <v>805</v>
      </c>
      <c r="C23" s="300">
        <f>SUM(C21:C22)</f>
        <v>17766</v>
      </c>
      <c r="D23" s="300">
        <f>SUM(D21:D22)</f>
        <v>17336</v>
      </c>
      <c r="E23" s="300">
        <f>+D23-C23</f>
        <v>-430</v>
      </c>
      <c r="F23" s="309">
        <f>IF(C23=0,0,+E23/C23)</f>
        <v>-0.024203534841832713</v>
      </c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806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807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  <row r="29" spans="2:6" ht="15.75" customHeight="1">
      <c r="B29" s="699" t="s">
        <v>808</v>
      </c>
      <c r="C29" s="700"/>
      <c r="D29" s="700"/>
      <c r="E29" s="700"/>
      <c r="F29" s="701"/>
    </row>
    <row r="30" spans="1:6" ht="15.75" customHeight="1">
      <c r="A30" s="293"/>
      <c r="B30" s="135"/>
      <c r="C30" s="300"/>
      <c r="D30" s="300"/>
      <c r="E30" s="300"/>
      <c r="F30" s="309"/>
    </row>
  </sheetData>
  <sheetProtection/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FILING&amp;RJOHNSON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216</v>
      </c>
      <c r="B1" s="705"/>
      <c r="C1" s="705"/>
      <c r="D1" s="705"/>
      <c r="E1" s="705"/>
      <c r="F1" s="705"/>
    </row>
    <row r="2" spans="1:6" ht="15.75" customHeight="1">
      <c r="A2" s="706" t="s">
        <v>809</v>
      </c>
      <c r="B2" s="707"/>
      <c r="C2" s="707"/>
      <c r="D2" s="707"/>
      <c r="E2" s="707"/>
      <c r="F2" s="708"/>
    </row>
    <row r="3" spans="1:6" ht="15.75" customHeight="1">
      <c r="A3" s="706" t="s">
        <v>810</v>
      </c>
      <c r="B3" s="707"/>
      <c r="C3" s="707"/>
      <c r="D3" s="707"/>
      <c r="E3" s="707"/>
      <c r="F3" s="708"/>
    </row>
    <row r="4" spans="1:6" ht="15.75" customHeight="1">
      <c r="A4" s="702" t="s">
        <v>811</v>
      </c>
      <c r="B4" s="703"/>
      <c r="C4" s="703"/>
      <c r="D4" s="703"/>
      <c r="E4" s="703"/>
      <c r="F4" s="704"/>
    </row>
    <row r="5" spans="1:6" ht="15.75" customHeight="1">
      <c r="A5" s="702" t="s">
        <v>812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813</v>
      </c>
      <c r="D7" s="341" t="s">
        <v>813</v>
      </c>
      <c r="E7" s="341" t="s">
        <v>814</v>
      </c>
      <c r="F7" s="341" t="s">
        <v>223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224</v>
      </c>
      <c r="B8" s="343" t="s">
        <v>225</v>
      </c>
      <c r="C8" s="344" t="s">
        <v>815</v>
      </c>
      <c r="D8" s="344" t="s">
        <v>816</v>
      </c>
      <c r="E8" s="344" t="s">
        <v>227</v>
      </c>
      <c r="F8" s="344" t="s">
        <v>227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228</v>
      </c>
      <c r="B10" s="349" t="s">
        <v>817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230</v>
      </c>
      <c r="B12" s="356" t="s">
        <v>818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819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820</v>
      </c>
      <c r="C15" s="361">
        <v>62030585</v>
      </c>
      <c r="D15" s="361">
        <v>51856684</v>
      </c>
      <c r="E15" s="361">
        <f aca="true" t="shared" si="0" ref="E15:E24">D15-C15</f>
        <v>-10173901</v>
      </c>
      <c r="F15" s="362">
        <f aca="true" t="shared" si="1" ref="F15:F24">IF(C15=0,0,E15/C15)</f>
        <v>-0.16401426812273331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821</v>
      </c>
      <c r="C16" s="361">
        <v>16776300</v>
      </c>
      <c r="D16" s="361">
        <v>14638639</v>
      </c>
      <c r="E16" s="361">
        <f t="shared" si="0"/>
        <v>-2137661</v>
      </c>
      <c r="F16" s="362">
        <f t="shared" si="1"/>
        <v>-0.12742148149472768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822</v>
      </c>
      <c r="C17" s="366">
        <f>IF(C15=0,0,C16/C15)</f>
        <v>0.27045206812091166</v>
      </c>
      <c r="D17" s="366">
        <f>IF(LN_IA1=0,0,LN_IA2/LN_IA1)</f>
        <v>0.28229030224917584</v>
      </c>
      <c r="E17" s="367">
        <f t="shared" si="0"/>
        <v>0.01183823412826418</v>
      </c>
      <c r="F17" s="362">
        <f t="shared" si="1"/>
        <v>0.043772022933733425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353</v>
      </c>
      <c r="C18" s="369">
        <v>2026</v>
      </c>
      <c r="D18" s="369">
        <v>1807</v>
      </c>
      <c r="E18" s="369">
        <f t="shared" si="0"/>
        <v>-219</v>
      </c>
      <c r="F18" s="362">
        <f t="shared" si="1"/>
        <v>-0.10809476801579466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823</v>
      </c>
      <c r="C19" s="372">
        <v>1.2578</v>
      </c>
      <c r="D19" s="372">
        <v>1.29252</v>
      </c>
      <c r="E19" s="373">
        <f t="shared" si="0"/>
        <v>0.03471999999999986</v>
      </c>
      <c r="F19" s="362">
        <f t="shared" si="1"/>
        <v>0.027603752583876498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824</v>
      </c>
      <c r="C20" s="376">
        <f>C18*C19</f>
        <v>2548.3028</v>
      </c>
      <c r="D20" s="376">
        <f>LN_IA4*LN_IA5</f>
        <v>2335.58364</v>
      </c>
      <c r="E20" s="376">
        <f t="shared" si="0"/>
        <v>-212.7191600000001</v>
      </c>
      <c r="F20" s="362">
        <f t="shared" si="1"/>
        <v>-0.08347483666383763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825</v>
      </c>
      <c r="C21" s="378">
        <f>IF(C20=0,0,C16/C20)</f>
        <v>6583.322829610359</v>
      </c>
      <c r="D21" s="378">
        <f>IF(LN_IA6=0,0,LN_IA2/LN_IA6)</f>
        <v>6267.657791951309</v>
      </c>
      <c r="E21" s="378">
        <f t="shared" si="0"/>
        <v>-315.66503765904963</v>
      </c>
      <c r="F21" s="362">
        <f t="shared" si="1"/>
        <v>-0.047949196147461695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355</v>
      </c>
      <c r="C22" s="369">
        <v>12883</v>
      </c>
      <c r="D22" s="369">
        <v>10623</v>
      </c>
      <c r="E22" s="369">
        <f t="shared" si="0"/>
        <v>-2260</v>
      </c>
      <c r="F22" s="362">
        <f t="shared" si="1"/>
        <v>-0.17542497865404022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826</v>
      </c>
      <c r="C23" s="378">
        <f>IF(C22=0,0,C16/C22)</f>
        <v>1302.204455483971</v>
      </c>
      <c r="D23" s="378">
        <f>IF(LN_IA8=0,0,LN_IA2/LN_IA8)</f>
        <v>1378.0136496281652</v>
      </c>
      <c r="E23" s="378">
        <f t="shared" si="0"/>
        <v>75.80919414419418</v>
      </c>
      <c r="F23" s="362">
        <f t="shared" si="1"/>
        <v>0.058216045740696915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827</v>
      </c>
      <c r="C24" s="379">
        <f>IF(C18=0,0,C22/C18)</f>
        <v>6.35883514313919</v>
      </c>
      <c r="D24" s="379">
        <f>IF(LN_IA4=0,0,LN_IA8/LN_IA4)</f>
        <v>5.8788046485888215</v>
      </c>
      <c r="E24" s="379">
        <f t="shared" si="0"/>
        <v>-0.48003049455036884</v>
      </c>
      <c r="F24" s="362">
        <f t="shared" si="1"/>
        <v>-0.07549031917713633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828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829</v>
      </c>
      <c r="C27" s="361">
        <v>42349672</v>
      </c>
      <c r="D27" s="361">
        <v>35476768</v>
      </c>
      <c r="E27" s="361">
        <f aca="true" t="shared" si="2" ref="E27:E32">D27-C27</f>
        <v>-6872904</v>
      </c>
      <c r="F27" s="362">
        <f aca="true" t="shared" si="3" ref="F27:F32">IF(C27=0,0,E27/C27)</f>
        <v>-0.16228942694054396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830</v>
      </c>
      <c r="C28" s="361">
        <v>7913212</v>
      </c>
      <c r="D28" s="361">
        <v>7161657</v>
      </c>
      <c r="E28" s="361">
        <f t="shared" si="2"/>
        <v>-751555</v>
      </c>
      <c r="F28" s="362">
        <f t="shared" si="3"/>
        <v>-0.09497470812105123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831</v>
      </c>
      <c r="C29" s="366">
        <f>IF(C27=0,0,C28/C27)</f>
        <v>0.18685415084206555</v>
      </c>
      <c r="D29" s="366">
        <f>IF(LN_IA11=0,0,LN_IA12/LN_IA11)</f>
        <v>0.20186892447474358</v>
      </c>
      <c r="E29" s="367">
        <f t="shared" si="2"/>
        <v>0.01501477363267803</v>
      </c>
      <c r="F29" s="362">
        <f t="shared" si="3"/>
        <v>0.08035557981994708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832</v>
      </c>
      <c r="C30" s="366">
        <f>IF(C15=0,0,C27/C15)</f>
        <v>0.682722434424889</v>
      </c>
      <c r="D30" s="366">
        <f>IF(LN_IA1=0,0,LN_IA11/LN_IA1)</f>
        <v>0.6841310562781068</v>
      </c>
      <c r="E30" s="367">
        <f t="shared" si="2"/>
        <v>0.001408621853217773</v>
      </c>
      <c r="F30" s="362">
        <f t="shared" si="3"/>
        <v>0.002063242369359616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833</v>
      </c>
      <c r="C31" s="376">
        <f>C30*C18</f>
        <v>1383.195652144825</v>
      </c>
      <c r="D31" s="376">
        <f>LN_IA14*LN_IA4</f>
        <v>1236.224818694539</v>
      </c>
      <c r="E31" s="376">
        <f t="shared" si="2"/>
        <v>-146.97083345028614</v>
      </c>
      <c r="F31" s="362">
        <f t="shared" si="3"/>
        <v>-0.10625455135171132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834</v>
      </c>
      <c r="C32" s="378">
        <f>IF(C31=0,0,C28/C31)</f>
        <v>5720.963616195246</v>
      </c>
      <c r="D32" s="378">
        <f>IF(LN_IA15=0,0,LN_IA12/LN_IA15)</f>
        <v>5793.167142173018</v>
      </c>
      <c r="E32" s="378">
        <f t="shared" si="2"/>
        <v>72.20352597777219</v>
      </c>
      <c r="F32" s="362">
        <f t="shared" si="3"/>
        <v>0.012620867885503437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835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836</v>
      </c>
      <c r="C35" s="361">
        <f>C15+C27</f>
        <v>104380257</v>
      </c>
      <c r="D35" s="361">
        <f>LN_IA1+LN_IA11</f>
        <v>87333452</v>
      </c>
      <c r="E35" s="361">
        <f>D35-C35</f>
        <v>-17046805</v>
      </c>
      <c r="F35" s="362">
        <f>IF(C35=0,0,E35/C35)</f>
        <v>-0.16331445706250752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837</v>
      </c>
      <c r="C36" s="361">
        <f>C16+C28</f>
        <v>24689512</v>
      </c>
      <c r="D36" s="361">
        <f>LN_IA2+LN_IA12</f>
        <v>21800296</v>
      </c>
      <c r="E36" s="361">
        <f>D36-C36</f>
        <v>-2889216</v>
      </c>
      <c r="F36" s="362">
        <f>IF(C36=0,0,E36/C36)</f>
        <v>-0.11702199703258614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838</v>
      </c>
      <c r="C37" s="361">
        <f>C35-C36</f>
        <v>79690745</v>
      </c>
      <c r="D37" s="361">
        <f>LN_IA17-LN_IA18</f>
        <v>65533156</v>
      </c>
      <c r="E37" s="361">
        <f>D37-C37</f>
        <v>-14157589</v>
      </c>
      <c r="F37" s="362">
        <f>IF(C37=0,0,E37/C37)</f>
        <v>-0.17765662750423528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242</v>
      </c>
      <c r="B39" s="356" t="s">
        <v>839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840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820</v>
      </c>
      <c r="C42" s="361">
        <v>27972811</v>
      </c>
      <c r="D42" s="361">
        <v>24183725</v>
      </c>
      <c r="E42" s="361">
        <f aca="true" t="shared" si="4" ref="E42:E53">D42-C42</f>
        <v>-3789086</v>
      </c>
      <c r="F42" s="362">
        <f aca="true" t="shared" si="5" ref="F42:F53">IF(C42=0,0,E42/C42)</f>
        <v>-0.13545603264541414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821</v>
      </c>
      <c r="C43" s="361">
        <v>6416491</v>
      </c>
      <c r="D43" s="361">
        <v>8751723</v>
      </c>
      <c r="E43" s="361">
        <f t="shared" si="4"/>
        <v>2335232</v>
      </c>
      <c r="F43" s="362">
        <f t="shared" si="5"/>
        <v>0.3639422232494365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822</v>
      </c>
      <c r="C44" s="366">
        <f>IF(C42=0,0,C43/C42)</f>
        <v>0.22938313207063815</v>
      </c>
      <c r="D44" s="366">
        <f>IF(LN_IB1=0,0,LN_IB2/LN_IB1)</f>
        <v>0.3618848213002753</v>
      </c>
      <c r="E44" s="367">
        <f t="shared" si="4"/>
        <v>0.13250168922963712</v>
      </c>
      <c r="F44" s="362">
        <f t="shared" si="5"/>
        <v>0.5776435609434152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353</v>
      </c>
      <c r="C45" s="369">
        <v>1378</v>
      </c>
      <c r="D45" s="369">
        <v>1333</v>
      </c>
      <c r="E45" s="369">
        <f t="shared" si="4"/>
        <v>-45</v>
      </c>
      <c r="F45" s="362">
        <f t="shared" si="5"/>
        <v>-0.03265602322206096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823</v>
      </c>
      <c r="C46" s="372">
        <v>1.0019</v>
      </c>
      <c r="D46" s="372">
        <v>1.0234</v>
      </c>
      <c r="E46" s="373">
        <f t="shared" si="4"/>
        <v>0.021500000000000075</v>
      </c>
      <c r="F46" s="362">
        <f t="shared" si="5"/>
        <v>0.02145922746781123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824</v>
      </c>
      <c r="C47" s="376">
        <f>C45*C46</f>
        <v>1380.6182000000001</v>
      </c>
      <c r="D47" s="376">
        <f>LN_IB4*LN_IB5</f>
        <v>1364.1922000000002</v>
      </c>
      <c r="E47" s="376">
        <f t="shared" si="4"/>
        <v>-16.42599999999993</v>
      </c>
      <c r="F47" s="362">
        <f t="shared" si="5"/>
        <v>-0.011897568784766078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825</v>
      </c>
      <c r="C48" s="378">
        <f>IF(C47=0,0,C43/C47)</f>
        <v>4647.549192093802</v>
      </c>
      <c r="D48" s="378">
        <f>IF(LN_IB6=0,0,LN_IB2/LN_IB6)</f>
        <v>6415.31523197391</v>
      </c>
      <c r="E48" s="378">
        <f t="shared" si="4"/>
        <v>1767.766039880108</v>
      </c>
      <c r="F48" s="362">
        <f t="shared" si="5"/>
        <v>0.3803652133230458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841</v>
      </c>
      <c r="C49" s="378">
        <f>C21-C48</f>
        <v>1935.7736375165568</v>
      </c>
      <c r="D49" s="378">
        <f>LN_IA7-LN_IB7</f>
        <v>-147.6574400226009</v>
      </c>
      <c r="E49" s="378">
        <f t="shared" si="4"/>
        <v>-2083.4310775391577</v>
      </c>
      <c r="F49" s="362">
        <f t="shared" si="5"/>
        <v>-1.0762782575198377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842</v>
      </c>
      <c r="C50" s="391">
        <f>C49*C47</f>
        <v>2672564.3150355616</v>
      </c>
      <c r="D50" s="391">
        <f>LN_IB8*LN_IB6</f>
        <v>-201433.1279508</v>
      </c>
      <c r="E50" s="391">
        <f t="shared" si="4"/>
        <v>-2873997.4429863617</v>
      </c>
      <c r="F50" s="362">
        <f t="shared" si="5"/>
        <v>-1.0753707317042134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355</v>
      </c>
      <c r="C51" s="369">
        <v>5553</v>
      </c>
      <c r="D51" s="369">
        <v>5221</v>
      </c>
      <c r="E51" s="369">
        <f t="shared" si="4"/>
        <v>-332</v>
      </c>
      <c r="F51" s="362">
        <f t="shared" si="5"/>
        <v>-0.059787502251035476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826</v>
      </c>
      <c r="C52" s="378">
        <f>IF(C51=0,0,C43/C51)</f>
        <v>1155.499909958581</v>
      </c>
      <c r="D52" s="378">
        <f>IF(LN_IB10=0,0,LN_IB2/LN_IB10)</f>
        <v>1676.2541658686075</v>
      </c>
      <c r="E52" s="378">
        <f t="shared" si="4"/>
        <v>520.7542559100266</v>
      </c>
      <c r="F52" s="362">
        <f t="shared" si="5"/>
        <v>0.45067442361695476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827</v>
      </c>
      <c r="C53" s="379">
        <f>IF(C45=0,0,C51/C45)</f>
        <v>4.029753265602322</v>
      </c>
      <c r="D53" s="379">
        <f>IF(LN_IB4=0,0,LN_IB10/LN_IB4)</f>
        <v>3.916729182295574</v>
      </c>
      <c r="E53" s="379">
        <f t="shared" si="4"/>
        <v>-0.11302408330674796</v>
      </c>
      <c r="F53" s="362">
        <f t="shared" si="5"/>
        <v>-0.028047395425301404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843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829</v>
      </c>
      <c r="C56" s="361">
        <v>80453454</v>
      </c>
      <c r="D56" s="361">
        <v>65316409</v>
      </c>
      <c r="E56" s="361">
        <f aca="true" t="shared" si="6" ref="E56:E63">D56-C56</f>
        <v>-15137045</v>
      </c>
      <c r="F56" s="362">
        <f aca="true" t="shared" si="7" ref="F56:F63">IF(C56=0,0,E56/C56)</f>
        <v>-0.18814661456299936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830</v>
      </c>
      <c r="C57" s="361">
        <v>34830391</v>
      </c>
      <c r="D57" s="361">
        <v>28858599</v>
      </c>
      <c r="E57" s="361">
        <f t="shared" si="6"/>
        <v>-5971792</v>
      </c>
      <c r="F57" s="362">
        <f t="shared" si="7"/>
        <v>-0.171453487272078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831</v>
      </c>
      <c r="C58" s="366">
        <f>IF(C56=0,0,C57/C56)</f>
        <v>0.4329259872422631</v>
      </c>
      <c r="D58" s="366">
        <f>IF(LN_IB13=0,0,LN_IB14/LN_IB13)</f>
        <v>0.4418277036632556</v>
      </c>
      <c r="E58" s="367">
        <f t="shared" si="6"/>
        <v>0.008901716420992467</v>
      </c>
      <c r="F58" s="362">
        <f t="shared" si="7"/>
        <v>0.020561751161431465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832</v>
      </c>
      <c r="C59" s="366">
        <f>IF(C42=0,0,C56/C42)</f>
        <v>2.8761304682607696</v>
      </c>
      <c r="D59" s="366">
        <f>IF(LN_IB1=0,0,LN_IB13/LN_IB1)</f>
        <v>2.700841537025417</v>
      </c>
      <c r="E59" s="367">
        <f t="shared" si="6"/>
        <v>-0.1752889312353525</v>
      </c>
      <c r="F59" s="362">
        <f t="shared" si="7"/>
        <v>-0.060946098645292615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833</v>
      </c>
      <c r="C60" s="376">
        <f>C59*C45</f>
        <v>3963.3077852633405</v>
      </c>
      <c r="D60" s="376">
        <f>LN_IB16*LN_IB4</f>
        <v>3600.221768854881</v>
      </c>
      <c r="E60" s="376">
        <f t="shared" si="6"/>
        <v>-363.0860164084597</v>
      </c>
      <c r="F60" s="362">
        <f t="shared" si="7"/>
        <v>-0.09161186465469894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834</v>
      </c>
      <c r="C61" s="378">
        <f>IF(C60=0,0,C57/C60)</f>
        <v>8788.212495004525</v>
      </c>
      <c r="D61" s="378">
        <f>IF(LN_IB17=0,0,LN_IB14/LN_IB17)</f>
        <v>8015.78370800725</v>
      </c>
      <c r="E61" s="378">
        <f t="shared" si="6"/>
        <v>-772.428786997275</v>
      </c>
      <c r="F61" s="362">
        <f t="shared" si="7"/>
        <v>-0.08789373122649753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844</v>
      </c>
      <c r="C62" s="378">
        <f>C32-C61</f>
        <v>-3067.2488788092796</v>
      </c>
      <c r="D62" s="378">
        <f>LN_IA16-LN_IB18</f>
        <v>-2222.6165658342325</v>
      </c>
      <c r="E62" s="378">
        <f t="shared" si="6"/>
        <v>844.6323129750472</v>
      </c>
      <c r="F62" s="362">
        <f t="shared" si="7"/>
        <v>-0.2753713005848216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845</v>
      </c>
      <c r="C63" s="361">
        <f>C62*C60</f>
        <v>-12156451.360725071</v>
      </c>
      <c r="D63" s="361">
        <f>LN_IB19*LN_IB17</f>
        <v>-8001912.544133881</v>
      </c>
      <c r="E63" s="361">
        <f t="shared" si="6"/>
        <v>4154538.81659119</v>
      </c>
      <c r="F63" s="362">
        <f t="shared" si="7"/>
        <v>-0.3417558869205555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846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836</v>
      </c>
      <c r="C66" s="361">
        <f>C42+C56</f>
        <v>108426265</v>
      </c>
      <c r="D66" s="361">
        <f>LN_IB1+LN_IB13</f>
        <v>89500134</v>
      </c>
      <c r="E66" s="361">
        <f>D66-C66</f>
        <v>-18926131</v>
      </c>
      <c r="F66" s="362">
        <f>IF(C66=0,0,E66/C66)</f>
        <v>-0.17455301074882548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837</v>
      </c>
      <c r="C67" s="361">
        <f>C43+C57</f>
        <v>41246882</v>
      </c>
      <c r="D67" s="361">
        <f>LN_IB2+LN_IB14</f>
        <v>37610322</v>
      </c>
      <c r="E67" s="361">
        <f>D67-C67</f>
        <v>-3636560</v>
      </c>
      <c r="F67" s="362">
        <f>IF(C67=0,0,E67/C67)</f>
        <v>-0.08816569456086402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838</v>
      </c>
      <c r="C68" s="361">
        <f>C66-C67</f>
        <v>67179383</v>
      </c>
      <c r="D68" s="361">
        <f>LN_IB21-LN_IB22</f>
        <v>51889812</v>
      </c>
      <c r="E68" s="361">
        <f>D68-C68</f>
        <v>-15289571</v>
      </c>
      <c r="F68" s="362">
        <f>IF(C68=0,0,E68/C68)</f>
        <v>-0.2275932037065598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847</v>
      </c>
      <c r="C70" s="353">
        <f>C50+C63</f>
        <v>-9483887.04568951</v>
      </c>
      <c r="D70" s="353">
        <f>LN_IB9+LN_IB20</f>
        <v>-8203345.672084681</v>
      </c>
      <c r="E70" s="361">
        <f>D70-C70</f>
        <v>1280541.3736048294</v>
      </c>
      <c r="F70" s="362">
        <f>IF(C70=0,0,E70/C70)</f>
        <v>-0.13502284110256713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848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849</v>
      </c>
      <c r="C73" s="400">
        <v>108426265</v>
      </c>
      <c r="D73" s="400">
        <v>82051367</v>
      </c>
      <c r="E73" s="400">
        <f>D73-C73</f>
        <v>-26374898</v>
      </c>
      <c r="F73" s="401">
        <f>IF(C73=0,0,E73/C73)</f>
        <v>-0.2432519279346199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850</v>
      </c>
      <c r="C74" s="400">
        <v>41246882</v>
      </c>
      <c r="D74" s="400">
        <v>36791779</v>
      </c>
      <c r="E74" s="400">
        <f>D74-C74</f>
        <v>-4455103</v>
      </c>
      <c r="F74" s="401">
        <f>IF(C74=0,0,E74/C74)</f>
        <v>-0.10801066126646858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851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852</v>
      </c>
      <c r="C76" s="353">
        <f>C73-C74</f>
        <v>67179383</v>
      </c>
      <c r="D76" s="353">
        <f>LN_IB32-LN_IB33</f>
        <v>45259588</v>
      </c>
      <c r="E76" s="400">
        <f>D76-C76</f>
        <v>-21919795</v>
      </c>
      <c r="F76" s="401">
        <f>IF(C76=0,0,E76/C76)</f>
        <v>-0.3262875308039075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853</v>
      </c>
      <c r="C77" s="366">
        <f>IF(C73=0,0,C76/C73)</f>
        <v>0.6195858817049541</v>
      </c>
      <c r="D77" s="366">
        <f>IF(LN_IB1=0,0,LN_IB34/LN_IB32)</f>
        <v>0.5516006576709441</v>
      </c>
      <c r="E77" s="405">
        <f>D77-C77</f>
        <v>-0.06798522403400997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252</v>
      </c>
      <c r="B79" s="356" t="s">
        <v>854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855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820</v>
      </c>
      <c r="C83" s="361">
        <v>2592114</v>
      </c>
      <c r="D83" s="361">
        <v>2666773</v>
      </c>
      <c r="E83" s="361">
        <f aca="true" t="shared" si="8" ref="E83:E95">D83-C83</f>
        <v>74659</v>
      </c>
      <c r="F83" s="362">
        <f aca="true" t="shared" si="9" ref="F83:F95">IF(C83=0,0,E83/C83)</f>
        <v>0.028802359772756907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821</v>
      </c>
      <c r="C84" s="361">
        <v>773746</v>
      </c>
      <c r="D84" s="361">
        <v>26382</v>
      </c>
      <c r="E84" s="361">
        <f t="shared" si="8"/>
        <v>-747364</v>
      </c>
      <c r="F84" s="362">
        <f t="shared" si="9"/>
        <v>-0.965903539404404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822</v>
      </c>
      <c r="C85" s="366">
        <f>IF(C83=0,0,C84/C83)</f>
        <v>0.29849998881222045</v>
      </c>
      <c r="D85" s="366">
        <f>IF(LN_IC1=0,0,LN_IC2/LN_IC1)</f>
        <v>0.009892855522386045</v>
      </c>
      <c r="E85" s="367">
        <f t="shared" si="8"/>
        <v>-0.2886071332898344</v>
      </c>
      <c r="F85" s="362">
        <f t="shared" si="9"/>
        <v>-0.9668581042104848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353</v>
      </c>
      <c r="C86" s="369">
        <v>52</v>
      </c>
      <c r="D86" s="369">
        <v>114</v>
      </c>
      <c r="E86" s="369">
        <f t="shared" si="8"/>
        <v>62</v>
      </c>
      <c r="F86" s="362">
        <f t="shared" si="9"/>
        <v>1.1923076923076923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823</v>
      </c>
      <c r="C87" s="372">
        <v>0.97532</v>
      </c>
      <c r="D87" s="372">
        <v>1.1298</v>
      </c>
      <c r="E87" s="373">
        <f t="shared" si="8"/>
        <v>0.15447999999999995</v>
      </c>
      <c r="F87" s="362">
        <f t="shared" si="9"/>
        <v>0.15838904154533892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824</v>
      </c>
      <c r="C88" s="376">
        <f>C86*C87</f>
        <v>50.71664</v>
      </c>
      <c r="D88" s="376">
        <f>LN_IC4*LN_IC5</f>
        <v>128.7972</v>
      </c>
      <c r="E88" s="376">
        <f t="shared" si="8"/>
        <v>78.08056</v>
      </c>
      <c r="F88" s="362">
        <f t="shared" si="9"/>
        <v>1.5395452064647817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825</v>
      </c>
      <c r="C89" s="378">
        <f>IF(C88=0,0,C84/C88)</f>
        <v>15256.255146239972</v>
      </c>
      <c r="D89" s="378">
        <f>IF(LN_IC6=0,0,LN_IC2/LN_IC6)</f>
        <v>204.83364545191975</v>
      </c>
      <c r="E89" s="378">
        <f t="shared" si="8"/>
        <v>-15051.421500788052</v>
      </c>
      <c r="F89" s="362">
        <f t="shared" si="9"/>
        <v>-0.986573792618931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856</v>
      </c>
      <c r="C90" s="378">
        <f>C48-C89</f>
        <v>-10608.70595414617</v>
      </c>
      <c r="D90" s="378">
        <f>LN_IB7-LN_IC7</f>
        <v>6210.481586521991</v>
      </c>
      <c r="E90" s="378">
        <f t="shared" si="8"/>
        <v>16819.18754066816</v>
      </c>
      <c r="F90" s="362">
        <f t="shared" si="9"/>
        <v>-1.585413679421925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857</v>
      </c>
      <c r="C91" s="378">
        <f>C21-C89</f>
        <v>-8672.932316629613</v>
      </c>
      <c r="D91" s="378">
        <f>LN_IA7-LN_IC7</f>
        <v>6062.82414649939</v>
      </c>
      <c r="E91" s="378">
        <f t="shared" si="8"/>
        <v>14735.756463129002</v>
      </c>
      <c r="F91" s="362">
        <f t="shared" si="9"/>
        <v>-1.699051246471097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842</v>
      </c>
      <c r="C92" s="353">
        <f>C91*C88</f>
        <v>-439861.98604687006</v>
      </c>
      <c r="D92" s="353">
        <f>LN_IC9*LN_IC6</f>
        <v>780874.7741615112</v>
      </c>
      <c r="E92" s="353">
        <f t="shared" si="8"/>
        <v>1220736.7602083813</v>
      </c>
      <c r="F92" s="362">
        <f t="shared" si="9"/>
        <v>-2.775272242048905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355</v>
      </c>
      <c r="C93" s="369">
        <v>236</v>
      </c>
      <c r="D93" s="369">
        <v>638</v>
      </c>
      <c r="E93" s="369">
        <f t="shared" si="8"/>
        <v>402</v>
      </c>
      <c r="F93" s="362">
        <f t="shared" si="9"/>
        <v>1.7033898305084745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826</v>
      </c>
      <c r="C94" s="411">
        <f>IF(C93=0,0,C84/C93)</f>
        <v>3278.584745762712</v>
      </c>
      <c r="D94" s="411">
        <f>IF(LN_IC11=0,0,LN_IC2/LN_IC11)</f>
        <v>41.35109717868338</v>
      </c>
      <c r="E94" s="411">
        <f t="shared" si="8"/>
        <v>-3237.2336485840287</v>
      </c>
      <c r="F94" s="362">
        <f t="shared" si="9"/>
        <v>-0.987387516143322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827</v>
      </c>
      <c r="C95" s="379">
        <f>IF(C86=0,0,C93/C86)</f>
        <v>4.538461538461538</v>
      </c>
      <c r="D95" s="379">
        <f>IF(LN_IC4=0,0,LN_IC11/LN_IC4)</f>
        <v>5.5964912280701755</v>
      </c>
      <c r="E95" s="379">
        <f t="shared" si="8"/>
        <v>1.0580296896086372</v>
      </c>
      <c r="F95" s="362">
        <f t="shared" si="9"/>
        <v>0.23312518584597092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858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829</v>
      </c>
      <c r="C98" s="361">
        <v>5979741</v>
      </c>
      <c r="D98" s="361">
        <v>4781994</v>
      </c>
      <c r="E98" s="361">
        <f aca="true" t="shared" si="10" ref="E98:E106">D98-C98</f>
        <v>-1197747</v>
      </c>
      <c r="F98" s="362">
        <f aca="true" t="shared" si="11" ref="F98:F106">IF(C98=0,0,E98/C98)</f>
        <v>-0.2003008157042253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830</v>
      </c>
      <c r="C99" s="361">
        <v>1741301</v>
      </c>
      <c r="D99" s="361">
        <v>792161</v>
      </c>
      <c r="E99" s="361">
        <f t="shared" si="10"/>
        <v>-949140</v>
      </c>
      <c r="F99" s="362">
        <f t="shared" si="11"/>
        <v>-0.5450752052631912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831</v>
      </c>
      <c r="C100" s="366">
        <f>IF(C98=0,0,C99/C98)</f>
        <v>0.2912000703709408</v>
      </c>
      <c r="D100" s="366">
        <f>IF(LN_IC14=0,0,LN_IC15/LN_IC14)</f>
        <v>0.16565495481591988</v>
      </c>
      <c r="E100" s="367">
        <f t="shared" si="10"/>
        <v>-0.12554511555502093</v>
      </c>
      <c r="F100" s="362">
        <f t="shared" si="11"/>
        <v>-0.43113010032963656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832</v>
      </c>
      <c r="C101" s="366">
        <f>IF(C83=0,0,C98/C83)</f>
        <v>2.306897381828114</v>
      </c>
      <c r="D101" s="366">
        <f>IF(LN_IC1=0,0,LN_IC14/LN_IC1)</f>
        <v>1.793176247097147</v>
      </c>
      <c r="E101" s="367">
        <f t="shared" si="10"/>
        <v>-0.5137211347309671</v>
      </c>
      <c r="F101" s="362">
        <f t="shared" si="11"/>
        <v>-0.22268920099248882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833</v>
      </c>
      <c r="C102" s="376">
        <f>C101*C86</f>
        <v>119.95866385506194</v>
      </c>
      <c r="D102" s="376">
        <f>LN_IC17*LN_IC4</f>
        <v>204.42209216907477</v>
      </c>
      <c r="E102" s="376">
        <f t="shared" si="10"/>
        <v>84.46342831401283</v>
      </c>
      <c r="F102" s="362">
        <f t="shared" si="11"/>
        <v>0.7041044439780053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834</v>
      </c>
      <c r="C103" s="378">
        <f>IF(C102=0,0,C99/C102)</f>
        <v>14515.841907875016</v>
      </c>
      <c r="D103" s="378">
        <f>IF(LN_IC18=0,0,LN_IC15/LN_IC18)</f>
        <v>3875.1242177132904</v>
      </c>
      <c r="E103" s="378">
        <f t="shared" si="10"/>
        <v>-10640.717690161726</v>
      </c>
      <c r="F103" s="362">
        <f t="shared" si="11"/>
        <v>-0.7330417179859896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859</v>
      </c>
      <c r="C104" s="378">
        <f>C61-C103</f>
        <v>-5727.62941287049</v>
      </c>
      <c r="D104" s="378">
        <f>LN_IB18-LN_IC19</f>
        <v>4140.65949029396</v>
      </c>
      <c r="E104" s="378">
        <f t="shared" si="10"/>
        <v>9868.28890316445</v>
      </c>
      <c r="F104" s="362">
        <f t="shared" si="11"/>
        <v>-1.7229272691751898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860</v>
      </c>
      <c r="C105" s="378">
        <f>C32-C103</f>
        <v>-8794.87829167977</v>
      </c>
      <c r="D105" s="378">
        <f>LN_IA16-LN_IC19</f>
        <v>1918.0429244597276</v>
      </c>
      <c r="E105" s="378">
        <f t="shared" si="10"/>
        <v>10712.921216139497</v>
      </c>
      <c r="F105" s="362">
        <f t="shared" si="11"/>
        <v>-1.2180863521754766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845</v>
      </c>
      <c r="C106" s="361">
        <f>C105*C102</f>
        <v>-1055021.8486377948</v>
      </c>
      <c r="D106" s="361">
        <f>LN_IC21*LN_IC18</f>
        <v>392090.34748814814</v>
      </c>
      <c r="E106" s="361">
        <f t="shared" si="10"/>
        <v>1447112.196125943</v>
      </c>
      <c r="F106" s="362">
        <f t="shared" si="11"/>
        <v>-1.371641921913182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861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836</v>
      </c>
      <c r="C109" s="361">
        <f>C83+C98</f>
        <v>8571855</v>
      </c>
      <c r="D109" s="361">
        <f>LN_IC1+LN_IC14</f>
        <v>7448767</v>
      </c>
      <c r="E109" s="361">
        <f>D109-C109</f>
        <v>-1123088</v>
      </c>
      <c r="F109" s="362">
        <f>IF(C109=0,0,E109/C109)</f>
        <v>-0.13102041506768372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837</v>
      </c>
      <c r="C110" s="361">
        <f>C84+C99</f>
        <v>2515047</v>
      </c>
      <c r="D110" s="361">
        <f>LN_IC2+LN_IC15</f>
        <v>818543</v>
      </c>
      <c r="E110" s="361">
        <f>D110-C110</f>
        <v>-1696504</v>
      </c>
      <c r="F110" s="362">
        <f>IF(C110=0,0,E110/C110)</f>
        <v>-0.6745416686050002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838</v>
      </c>
      <c r="C111" s="361">
        <f>C109-C110</f>
        <v>6056808</v>
      </c>
      <c r="D111" s="361">
        <f>LN_IC23-LN_IC24</f>
        <v>6630224</v>
      </c>
      <c r="E111" s="361">
        <f>D111-C111</f>
        <v>573416</v>
      </c>
      <c r="F111" s="362">
        <f>IF(C111=0,0,E111/C111)</f>
        <v>0.09467296965662442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847</v>
      </c>
      <c r="C113" s="361">
        <f>C92+C106</f>
        <v>-1494883.8346846648</v>
      </c>
      <c r="D113" s="361">
        <f>LN_IC10+LN_IC22</f>
        <v>1172965.1216496592</v>
      </c>
      <c r="E113" s="361">
        <f>D113-C113</f>
        <v>2667848.956334324</v>
      </c>
      <c r="F113" s="362">
        <f>IF(C113=0,0,E113/C113)</f>
        <v>-1.7846530241576182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537</v>
      </c>
      <c r="B115" s="356" t="s">
        <v>862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863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820</v>
      </c>
      <c r="C118" s="361">
        <v>8536962</v>
      </c>
      <c r="D118" s="361">
        <v>5308622</v>
      </c>
      <c r="E118" s="361">
        <f aca="true" t="shared" si="12" ref="E118:E130">D118-C118</f>
        <v>-3228340</v>
      </c>
      <c r="F118" s="362">
        <f aca="true" t="shared" si="13" ref="F118:F130">IF(C118=0,0,E118/C118)</f>
        <v>-0.3781602869967091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821</v>
      </c>
      <c r="C119" s="361">
        <v>1851555</v>
      </c>
      <c r="D119" s="361">
        <v>1393883</v>
      </c>
      <c r="E119" s="361">
        <f t="shared" si="12"/>
        <v>-457672</v>
      </c>
      <c r="F119" s="362">
        <f t="shared" si="13"/>
        <v>-0.24718250335528785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822</v>
      </c>
      <c r="C120" s="366">
        <f>IF(C118=0,0,C119/C118)</f>
        <v>0.21688687380827043</v>
      </c>
      <c r="D120" s="366">
        <f>IF(LN_ID1=0,0,LN_1D2/LN_ID1)</f>
        <v>0.26256964613415684</v>
      </c>
      <c r="E120" s="367">
        <f t="shared" si="12"/>
        <v>0.04568277232588641</v>
      </c>
      <c r="F120" s="362">
        <f t="shared" si="13"/>
        <v>0.21062949326417196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353</v>
      </c>
      <c r="C121" s="369">
        <v>605</v>
      </c>
      <c r="D121" s="369">
        <v>404</v>
      </c>
      <c r="E121" s="369">
        <f t="shared" si="12"/>
        <v>-201</v>
      </c>
      <c r="F121" s="362">
        <f t="shared" si="13"/>
        <v>-0.3322314049586777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823</v>
      </c>
      <c r="C122" s="372">
        <v>0.8408</v>
      </c>
      <c r="D122" s="372">
        <v>0.9272</v>
      </c>
      <c r="E122" s="373">
        <f t="shared" si="12"/>
        <v>0.08640000000000003</v>
      </c>
      <c r="F122" s="362">
        <f t="shared" si="13"/>
        <v>0.10275927687916274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824</v>
      </c>
      <c r="C123" s="376">
        <f>C121*C122</f>
        <v>508.68399999999997</v>
      </c>
      <c r="D123" s="376">
        <f>LN_ID4*LN_ID5</f>
        <v>374.5888</v>
      </c>
      <c r="E123" s="376">
        <f t="shared" si="12"/>
        <v>-134.09519999999998</v>
      </c>
      <c r="F123" s="362">
        <f t="shared" si="13"/>
        <v>-0.26361198700961697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825</v>
      </c>
      <c r="C124" s="378">
        <f>IF(C123=0,0,C119/C123)</f>
        <v>3639.892349670916</v>
      </c>
      <c r="D124" s="378">
        <f>IF(LN_ID6=0,0,LN_1D2/LN_ID6)</f>
        <v>3721.1016453241527</v>
      </c>
      <c r="E124" s="378">
        <f t="shared" si="12"/>
        <v>81.20929565323695</v>
      </c>
      <c r="F124" s="362">
        <f t="shared" si="13"/>
        <v>0.022310905887252163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864</v>
      </c>
      <c r="C125" s="378">
        <f>C48-C124</f>
        <v>1007.6568424228863</v>
      </c>
      <c r="D125" s="378">
        <f>LN_IB7-LN_ID7</f>
        <v>2694.2135866497574</v>
      </c>
      <c r="E125" s="378">
        <f t="shared" si="12"/>
        <v>1686.5567442268712</v>
      </c>
      <c r="F125" s="362">
        <f t="shared" si="13"/>
        <v>1.673741171817567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865</v>
      </c>
      <c r="C126" s="378">
        <f>C21-C124</f>
        <v>2943.430479939443</v>
      </c>
      <c r="D126" s="378">
        <f>LN_IA7-LN_ID7</f>
        <v>2546.5561466271565</v>
      </c>
      <c r="E126" s="378">
        <f t="shared" si="12"/>
        <v>-396.8743333122866</v>
      </c>
      <c r="F126" s="362">
        <f t="shared" si="13"/>
        <v>-0.13483394155803255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842</v>
      </c>
      <c r="C127" s="391">
        <f>C126*C123</f>
        <v>1497275.9902575156</v>
      </c>
      <c r="D127" s="391">
        <f>LN_ID9*LN_ID6</f>
        <v>953911.4110976906</v>
      </c>
      <c r="E127" s="391">
        <f t="shared" si="12"/>
        <v>-543364.579159825</v>
      </c>
      <c r="F127" s="362">
        <f t="shared" si="13"/>
        <v>-0.362902085317198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355</v>
      </c>
      <c r="C128" s="369">
        <v>2863</v>
      </c>
      <c r="D128" s="369">
        <v>1718</v>
      </c>
      <c r="E128" s="369">
        <f t="shared" si="12"/>
        <v>-1145</v>
      </c>
      <c r="F128" s="362">
        <f t="shared" si="13"/>
        <v>-0.39993014320642684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826</v>
      </c>
      <c r="C129" s="378">
        <f>IF(C128=0,0,C119/C128)</f>
        <v>646.7184771219002</v>
      </c>
      <c r="D129" s="378">
        <f>IF(LN_ID11=0,0,LN_1D2/LN_ID11)</f>
        <v>811.3405122235157</v>
      </c>
      <c r="E129" s="378">
        <f t="shared" si="12"/>
        <v>164.62203510161555</v>
      </c>
      <c r="F129" s="362">
        <f t="shared" si="13"/>
        <v>0.25454976303481414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827</v>
      </c>
      <c r="C130" s="379">
        <f>IF(C121=0,0,C128/C121)</f>
        <v>4.732231404958678</v>
      </c>
      <c r="D130" s="379">
        <f>IF(LN_ID4=0,0,LN_ID11/LN_ID4)</f>
        <v>4.252475247524752</v>
      </c>
      <c r="E130" s="379">
        <f t="shared" si="12"/>
        <v>-0.4797561574339255</v>
      </c>
      <c r="F130" s="362">
        <f t="shared" si="13"/>
        <v>-0.10138053623734716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866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829</v>
      </c>
      <c r="C133" s="361">
        <v>10976511</v>
      </c>
      <c r="D133" s="361">
        <v>9428967</v>
      </c>
      <c r="E133" s="361">
        <f aca="true" t="shared" si="14" ref="E133:E141">D133-C133</f>
        <v>-1547544</v>
      </c>
      <c r="F133" s="362">
        <f aca="true" t="shared" si="15" ref="F133:F141">IF(C133=0,0,E133/C133)</f>
        <v>-0.14098687643095334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830</v>
      </c>
      <c r="C134" s="361">
        <v>2323388</v>
      </c>
      <c r="D134" s="361">
        <v>2176516</v>
      </c>
      <c r="E134" s="361">
        <f t="shared" si="14"/>
        <v>-146872</v>
      </c>
      <c r="F134" s="362">
        <f t="shared" si="15"/>
        <v>-0.06321458146465421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831</v>
      </c>
      <c r="C135" s="366">
        <f>IF(C133=0,0,C134/C133)</f>
        <v>0.21166908136838747</v>
      </c>
      <c r="D135" s="366">
        <f>IF(LN_ID14=0,0,LN_ID15/LN_ID14)</f>
        <v>0.23083292157030563</v>
      </c>
      <c r="E135" s="367">
        <f t="shared" si="14"/>
        <v>0.019163840201918164</v>
      </c>
      <c r="F135" s="362">
        <f t="shared" si="15"/>
        <v>0.09053679487825406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832</v>
      </c>
      <c r="C136" s="366">
        <f>IF(C118=0,0,C133/C118)</f>
        <v>1.2857631321306104</v>
      </c>
      <c r="D136" s="366">
        <f>IF(LN_ID1=0,0,LN_ID14/LN_ID1)</f>
        <v>1.7761609321590424</v>
      </c>
      <c r="E136" s="367">
        <f t="shared" si="14"/>
        <v>0.4903978000284319</v>
      </c>
      <c r="F136" s="362">
        <f t="shared" si="15"/>
        <v>0.3814060208864476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833</v>
      </c>
      <c r="C137" s="376">
        <f>C136*C121</f>
        <v>777.8866949390193</v>
      </c>
      <c r="D137" s="376">
        <f>LN_ID17*LN_ID4</f>
        <v>717.5690165922531</v>
      </c>
      <c r="E137" s="376">
        <f t="shared" si="14"/>
        <v>-60.31767834676623</v>
      </c>
      <c r="F137" s="362">
        <f t="shared" si="15"/>
        <v>-0.07754044225103336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834</v>
      </c>
      <c r="C138" s="378">
        <f>IF(C137=0,0,C134/C137)</f>
        <v>2986.7948830030277</v>
      </c>
      <c r="D138" s="378">
        <f>IF(LN_ID18=0,0,LN_ID15/LN_ID18)</f>
        <v>3033.1800142881166</v>
      </c>
      <c r="E138" s="378">
        <f t="shared" si="14"/>
        <v>46.385131285088846</v>
      </c>
      <c r="F138" s="362">
        <f t="shared" si="15"/>
        <v>0.01553006922204568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867</v>
      </c>
      <c r="C139" s="378">
        <f>C61-C138</f>
        <v>5801.417612001498</v>
      </c>
      <c r="D139" s="378">
        <f>LN_IB18-LN_ID19</f>
        <v>4982.603693719134</v>
      </c>
      <c r="E139" s="378">
        <f t="shared" si="14"/>
        <v>-818.8139182823643</v>
      </c>
      <c r="F139" s="362">
        <f t="shared" si="15"/>
        <v>-0.14114031656477705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868</v>
      </c>
      <c r="C140" s="378">
        <f>C32-C138</f>
        <v>2734.168733192218</v>
      </c>
      <c r="D140" s="378">
        <f>LN_IA16-LN_ID19</f>
        <v>2759.9871278849014</v>
      </c>
      <c r="E140" s="378">
        <f t="shared" si="14"/>
        <v>25.81839469268334</v>
      </c>
      <c r="F140" s="362">
        <f t="shared" si="15"/>
        <v>0.009442868093418525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845</v>
      </c>
      <c r="C141" s="353">
        <f>C140*C137</f>
        <v>2126873.4792684997</v>
      </c>
      <c r="D141" s="353">
        <f>LN_ID21*LN_ID18</f>
        <v>1980481.2491636458</v>
      </c>
      <c r="E141" s="353">
        <f t="shared" si="14"/>
        <v>-146392.23010485386</v>
      </c>
      <c r="F141" s="362">
        <f t="shared" si="15"/>
        <v>-0.06882977832569659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869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836</v>
      </c>
      <c r="C144" s="361">
        <f>C118+C133</f>
        <v>19513473</v>
      </c>
      <c r="D144" s="361">
        <f>LN_ID1+LN_ID14</f>
        <v>14737589</v>
      </c>
      <c r="E144" s="361">
        <f>D144-C144</f>
        <v>-4775884</v>
      </c>
      <c r="F144" s="362">
        <f>IF(C144=0,0,E144/C144)</f>
        <v>-0.2447480261458327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837</v>
      </c>
      <c r="C145" s="361">
        <f>C119+C134</f>
        <v>4174943</v>
      </c>
      <c r="D145" s="361">
        <f>LN_1D2+LN_ID15</f>
        <v>3570399</v>
      </c>
      <c r="E145" s="361">
        <f>D145-C145</f>
        <v>-604544</v>
      </c>
      <c r="F145" s="362">
        <f>IF(C145=0,0,E145/C145)</f>
        <v>-0.1448029350340831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838</v>
      </c>
      <c r="C146" s="361">
        <f>C144-C145</f>
        <v>15338530</v>
      </c>
      <c r="D146" s="361">
        <f>LN_ID23-LN_ID24</f>
        <v>11167190</v>
      </c>
      <c r="E146" s="361">
        <f>D146-C146</f>
        <v>-4171340</v>
      </c>
      <c r="F146" s="362">
        <f>IF(C146=0,0,E146/C146)</f>
        <v>-0.2719517450498842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847</v>
      </c>
      <c r="C148" s="361">
        <f>C127+C141</f>
        <v>3624149.469526015</v>
      </c>
      <c r="D148" s="361">
        <f>LN_ID10+LN_ID22</f>
        <v>2934392.6602613362</v>
      </c>
      <c r="E148" s="361">
        <f>D148-C148</f>
        <v>-689756.809264679</v>
      </c>
      <c r="F148" s="415">
        <f>IF(C148=0,0,E148/C148)</f>
        <v>-0.1903223956585016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558</v>
      </c>
      <c r="B150" s="356" t="s">
        <v>870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871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820</v>
      </c>
      <c r="C153" s="361">
        <v>1130922</v>
      </c>
      <c r="D153" s="361">
        <v>1304309</v>
      </c>
      <c r="E153" s="361">
        <f aca="true" t="shared" si="16" ref="E153:E165">D153-C153</f>
        <v>173387</v>
      </c>
      <c r="F153" s="362">
        <f aca="true" t="shared" si="17" ref="F153:F165">IF(C153=0,0,E153/C153)</f>
        <v>0.1533147290440897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821</v>
      </c>
      <c r="C154" s="361">
        <v>111509</v>
      </c>
      <c r="D154" s="361">
        <v>148039</v>
      </c>
      <c r="E154" s="361">
        <f t="shared" si="16"/>
        <v>36530</v>
      </c>
      <c r="F154" s="362">
        <f t="shared" si="17"/>
        <v>0.3275968755885175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822</v>
      </c>
      <c r="C155" s="366">
        <f>IF(C153=0,0,C154/C153)</f>
        <v>0.09860008028847259</v>
      </c>
      <c r="D155" s="366">
        <f>IF(LN_IE1=0,0,LN_IE2/LN_IE1)</f>
        <v>0.11349994518170158</v>
      </c>
      <c r="E155" s="367">
        <f t="shared" si="16"/>
        <v>0.01489986489322899</v>
      </c>
      <c r="F155" s="362">
        <f t="shared" si="17"/>
        <v>0.1511141253601083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353</v>
      </c>
      <c r="C156" s="419">
        <v>55</v>
      </c>
      <c r="D156" s="419">
        <v>52</v>
      </c>
      <c r="E156" s="419">
        <f t="shared" si="16"/>
        <v>-3</v>
      </c>
      <c r="F156" s="362">
        <f t="shared" si="17"/>
        <v>-0.05454545454545454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823</v>
      </c>
      <c r="C157" s="372">
        <v>0.8408</v>
      </c>
      <c r="D157" s="372">
        <v>1.23791</v>
      </c>
      <c r="E157" s="373">
        <f t="shared" si="16"/>
        <v>0.3971100000000001</v>
      </c>
      <c r="F157" s="362">
        <f t="shared" si="17"/>
        <v>0.4723001902949573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824</v>
      </c>
      <c r="C158" s="376">
        <f>C156*C157</f>
        <v>46.244</v>
      </c>
      <c r="D158" s="376">
        <f>LN_IE4*LN_IE5</f>
        <v>64.37132</v>
      </c>
      <c r="E158" s="376">
        <f t="shared" si="16"/>
        <v>18.127319999999997</v>
      </c>
      <c r="F158" s="362">
        <f t="shared" si="17"/>
        <v>0.3919929071879595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825</v>
      </c>
      <c r="C159" s="378">
        <f>IF(C158=0,0,C154/C158)</f>
        <v>2411.3182250670357</v>
      </c>
      <c r="D159" s="378">
        <f>IF(LN_IE6=0,0,LN_IE2/LN_IE6)</f>
        <v>2299.7664177152187</v>
      </c>
      <c r="E159" s="378">
        <f t="shared" si="16"/>
        <v>-111.55180735181693</v>
      </c>
      <c r="F159" s="362">
        <f t="shared" si="17"/>
        <v>-0.046261752676263104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872</v>
      </c>
      <c r="C160" s="378">
        <f>C48-C159</f>
        <v>2236.2309670267664</v>
      </c>
      <c r="D160" s="378">
        <f>LN_IB7-LN_IE7</f>
        <v>4115.548814258691</v>
      </c>
      <c r="E160" s="378">
        <f t="shared" si="16"/>
        <v>1879.3178472319246</v>
      </c>
      <c r="F160" s="362">
        <f t="shared" si="17"/>
        <v>0.8403952341875562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873</v>
      </c>
      <c r="C161" s="378">
        <f>C21-C159</f>
        <v>4172.004604543323</v>
      </c>
      <c r="D161" s="378">
        <f>LN_IA7-LN_IE7</f>
        <v>3967.8913742360905</v>
      </c>
      <c r="E161" s="378">
        <f t="shared" si="16"/>
        <v>-204.11323030723224</v>
      </c>
      <c r="F161" s="362">
        <f t="shared" si="17"/>
        <v>-0.04892449785049433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842</v>
      </c>
      <c r="C162" s="391">
        <f>C161*C158</f>
        <v>192930.18093250142</v>
      </c>
      <c r="D162" s="391">
        <f>LN_IE9*LN_IE6</f>
        <v>255418.40537619113</v>
      </c>
      <c r="E162" s="391">
        <f t="shared" si="16"/>
        <v>62488.224443689716</v>
      </c>
      <c r="F162" s="362">
        <f t="shared" si="17"/>
        <v>0.32389035319233883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355</v>
      </c>
      <c r="C163" s="369">
        <v>254</v>
      </c>
      <c r="D163" s="369">
        <v>335</v>
      </c>
      <c r="E163" s="419">
        <f t="shared" si="16"/>
        <v>81</v>
      </c>
      <c r="F163" s="362">
        <f t="shared" si="17"/>
        <v>0.3188976377952756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826</v>
      </c>
      <c r="C164" s="378">
        <f>IF(C163=0,0,C154/C163)</f>
        <v>439.01181102362204</v>
      </c>
      <c r="D164" s="378">
        <f>IF(LN_IE11=0,0,LN_IE2/LN_IE11)</f>
        <v>441.90746268656716</v>
      </c>
      <c r="E164" s="378">
        <f t="shared" si="16"/>
        <v>2.895651662945113</v>
      </c>
      <c r="F164" s="362">
        <f t="shared" si="17"/>
        <v>0.00659583999845805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827</v>
      </c>
      <c r="C165" s="379">
        <f>IF(C156=0,0,C163/C156)</f>
        <v>4.618181818181818</v>
      </c>
      <c r="D165" s="379">
        <f>IF(LN_IE4=0,0,LN_IE11/LN_IE4)</f>
        <v>6.4423076923076925</v>
      </c>
      <c r="E165" s="379">
        <f t="shared" si="16"/>
        <v>1.8241258741258743</v>
      </c>
      <c r="F165" s="362">
        <f t="shared" si="17"/>
        <v>0.39498788612961844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874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829</v>
      </c>
      <c r="C168" s="424">
        <v>2006899</v>
      </c>
      <c r="D168" s="424">
        <v>1642756</v>
      </c>
      <c r="E168" s="424">
        <f aca="true" t="shared" si="18" ref="E168:E176">D168-C168</f>
        <v>-364143</v>
      </c>
      <c r="F168" s="362">
        <f aca="true" t="shared" si="19" ref="F168:F176">IF(C168=0,0,E168/C168)</f>
        <v>-0.18144560339110238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830</v>
      </c>
      <c r="C169" s="424">
        <v>268322</v>
      </c>
      <c r="D169" s="424">
        <v>114993</v>
      </c>
      <c r="E169" s="424">
        <f t="shared" si="18"/>
        <v>-153329</v>
      </c>
      <c r="F169" s="362">
        <f t="shared" si="19"/>
        <v>-0.5714365575688911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831</v>
      </c>
      <c r="C170" s="366">
        <f>IF(C168=0,0,C169/C168)</f>
        <v>0.13369980253116873</v>
      </c>
      <c r="D170" s="366">
        <f>IF(LN_IE14=0,0,LN_IE15/LN_IE14)</f>
        <v>0.07000004869865031</v>
      </c>
      <c r="E170" s="367">
        <f t="shared" si="18"/>
        <v>-0.06369975383251841</v>
      </c>
      <c r="F170" s="362">
        <f t="shared" si="19"/>
        <v>-0.47643865306134936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832</v>
      </c>
      <c r="C171" s="366">
        <f>IF(C153=0,0,C168/C153)</f>
        <v>1.774568891576961</v>
      </c>
      <c r="D171" s="366">
        <f>IF(LN_IE1=0,0,LN_IE14/LN_IE1)</f>
        <v>1.2594837572998423</v>
      </c>
      <c r="E171" s="367">
        <f t="shared" si="18"/>
        <v>-0.5150851342771188</v>
      </c>
      <c r="F171" s="362">
        <f t="shared" si="19"/>
        <v>-0.29025930563867325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833</v>
      </c>
      <c r="C172" s="376">
        <f>C171*C156</f>
        <v>97.60128903673287</v>
      </c>
      <c r="D172" s="376">
        <f>LN_IE17*LN_IE4</f>
        <v>65.4931553795918</v>
      </c>
      <c r="E172" s="376">
        <f t="shared" si="18"/>
        <v>-32.10813365714107</v>
      </c>
      <c r="F172" s="362">
        <f t="shared" si="19"/>
        <v>-0.3289724344220184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834</v>
      </c>
      <c r="C173" s="378">
        <f>IF(C172=0,0,C169/C172)</f>
        <v>2749.1645105118982</v>
      </c>
      <c r="D173" s="378">
        <f>IF(LN_IE18=0,0,LN_IE15/LN_IE18)</f>
        <v>1755.8017984247672</v>
      </c>
      <c r="E173" s="378">
        <f t="shared" si="18"/>
        <v>-993.3627120871311</v>
      </c>
      <c r="F173" s="362">
        <f t="shared" si="19"/>
        <v>-0.3613325824223468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875</v>
      </c>
      <c r="C174" s="378">
        <f>C61-C173</f>
        <v>6039.047984492627</v>
      </c>
      <c r="D174" s="378">
        <f>LN_IB18-LN_IE19</f>
        <v>6259.981909582483</v>
      </c>
      <c r="E174" s="378">
        <f t="shared" si="18"/>
        <v>220.93392508985653</v>
      </c>
      <c r="F174" s="362">
        <f t="shared" si="19"/>
        <v>0.036584230769018865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876</v>
      </c>
      <c r="C175" s="378">
        <f>C32-C173</f>
        <v>2971.7991056833475</v>
      </c>
      <c r="D175" s="378">
        <f>LN_IA16-LN_IE19</f>
        <v>4037.365343748251</v>
      </c>
      <c r="E175" s="378">
        <f t="shared" si="18"/>
        <v>1065.5662380649032</v>
      </c>
      <c r="F175" s="362">
        <f t="shared" si="19"/>
        <v>0.35855931042818007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845</v>
      </c>
      <c r="C176" s="353">
        <f>C175*C172</f>
        <v>290051.42347290466</v>
      </c>
      <c r="D176" s="353">
        <f>LN_IE21*LN_IE18</f>
        <v>264419.79578228324</v>
      </c>
      <c r="E176" s="353">
        <f t="shared" si="18"/>
        <v>-25631.62769062142</v>
      </c>
      <c r="F176" s="362">
        <f t="shared" si="19"/>
        <v>-0.08836925323007702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877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836</v>
      </c>
      <c r="C179" s="361">
        <f>C153+C168</f>
        <v>3137821</v>
      </c>
      <c r="D179" s="361">
        <f>LN_IE1+LN_IE14</f>
        <v>2947065</v>
      </c>
      <c r="E179" s="361">
        <f>D179-C179</f>
        <v>-190756</v>
      </c>
      <c r="F179" s="362">
        <f>IF(C179=0,0,E179/C179)</f>
        <v>-0.06079250537235872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837</v>
      </c>
      <c r="C180" s="361">
        <f>C154+C169</f>
        <v>379831</v>
      </c>
      <c r="D180" s="361">
        <f>LN_IE15+LN_IE2</f>
        <v>263032</v>
      </c>
      <c r="E180" s="361">
        <f>D180-C180</f>
        <v>-116799</v>
      </c>
      <c r="F180" s="362">
        <f>IF(C180=0,0,E180/C180)</f>
        <v>-0.3075025471854588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838</v>
      </c>
      <c r="C181" s="361">
        <f>C179-C180</f>
        <v>2757990</v>
      </c>
      <c r="D181" s="361">
        <f>LN_IE23-LN_IE24</f>
        <v>2684033</v>
      </c>
      <c r="E181" s="361">
        <f>D181-C181</f>
        <v>-73957</v>
      </c>
      <c r="F181" s="362">
        <f>IF(C181=0,0,E181/C181)</f>
        <v>-0.026815543203564916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878</v>
      </c>
      <c r="C183" s="361">
        <f>C162+C176</f>
        <v>482981.60440540605</v>
      </c>
      <c r="D183" s="361">
        <f>LN_IE10+LN_IE22</f>
        <v>519838.2011584744</v>
      </c>
      <c r="E183" s="353">
        <f>D183-C183</f>
        <v>36856.59675306833</v>
      </c>
      <c r="F183" s="362">
        <f>IF(C183=0,0,E183/C183)</f>
        <v>0.07631056010599435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570</v>
      </c>
      <c r="B185" s="356" t="s">
        <v>879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880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820</v>
      </c>
      <c r="C188" s="361">
        <f>C118+C153</f>
        <v>9667884</v>
      </c>
      <c r="D188" s="361">
        <f>LN_ID1+LN_IE1</f>
        <v>6612931</v>
      </c>
      <c r="E188" s="361">
        <f aca="true" t="shared" si="20" ref="E188:E200">D188-C188</f>
        <v>-3054953</v>
      </c>
      <c r="F188" s="362">
        <f aca="true" t="shared" si="21" ref="F188:F200">IF(C188=0,0,E188/C188)</f>
        <v>-0.31598982776375883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821</v>
      </c>
      <c r="C189" s="361">
        <f>C119+C154</f>
        <v>1963064</v>
      </c>
      <c r="D189" s="361">
        <f>LN_1D2+LN_IE2</f>
        <v>1541922</v>
      </c>
      <c r="E189" s="361">
        <f t="shared" si="20"/>
        <v>-421142</v>
      </c>
      <c r="F189" s="362">
        <f t="shared" si="21"/>
        <v>-0.21453299535827666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822</v>
      </c>
      <c r="C190" s="366">
        <f>IF(C188=0,0,C189/C188)</f>
        <v>0.20305001590834149</v>
      </c>
      <c r="D190" s="366">
        <f>IF(LN_IF1=0,0,LN_IF2/LN_IF1)</f>
        <v>0.23316771337853065</v>
      </c>
      <c r="E190" s="367">
        <f t="shared" si="20"/>
        <v>0.030117697470189164</v>
      </c>
      <c r="F190" s="362">
        <f t="shared" si="21"/>
        <v>0.14832649648146076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353</v>
      </c>
      <c r="C191" s="369">
        <f>C121+C156</f>
        <v>660</v>
      </c>
      <c r="D191" s="369">
        <f>LN_ID4+LN_IE4</f>
        <v>456</v>
      </c>
      <c r="E191" s="369">
        <f t="shared" si="20"/>
        <v>-204</v>
      </c>
      <c r="F191" s="362">
        <f t="shared" si="21"/>
        <v>-0.3090909090909091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823</v>
      </c>
      <c r="C192" s="372">
        <f>IF((C121+C156)=0,0,(C123+C158)/(C121+C156))</f>
        <v>0.8408</v>
      </c>
      <c r="D192" s="372">
        <f>IF((LN_ID4+LN_IE4)=0,0,(LN_ID6+LN_IE6)/(LN_ID4+LN_IE4))</f>
        <v>0.9626318421052631</v>
      </c>
      <c r="E192" s="373">
        <f t="shared" si="20"/>
        <v>0.1218318421052631</v>
      </c>
      <c r="F192" s="362">
        <f t="shared" si="21"/>
        <v>0.14489990735640235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824</v>
      </c>
      <c r="C193" s="376">
        <f>C123+C158</f>
        <v>554.928</v>
      </c>
      <c r="D193" s="376">
        <f>LN_IF4*LN_IF5</f>
        <v>438.96011999999996</v>
      </c>
      <c r="E193" s="376">
        <f t="shared" si="20"/>
        <v>-115.96788000000004</v>
      </c>
      <c r="F193" s="362">
        <f t="shared" si="21"/>
        <v>-0.20897824582648566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825</v>
      </c>
      <c r="C194" s="378">
        <f>IF(C193=0,0,C189/C193)</f>
        <v>3537.5111726205923</v>
      </c>
      <c r="D194" s="378">
        <f>IF(LN_IF6=0,0,LN_IF2/LN_IF6)</f>
        <v>3512.669898121953</v>
      </c>
      <c r="E194" s="378">
        <f t="shared" si="20"/>
        <v>-24.84127449863945</v>
      </c>
      <c r="F194" s="362">
        <f t="shared" si="21"/>
        <v>-0.007022246230882433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881</v>
      </c>
      <c r="C195" s="378">
        <f>C48-C194</f>
        <v>1110.0380194732097</v>
      </c>
      <c r="D195" s="378">
        <f>LN_IB7-LN_IF7</f>
        <v>2902.6453338519573</v>
      </c>
      <c r="E195" s="378">
        <f t="shared" si="20"/>
        <v>1792.6073143787476</v>
      </c>
      <c r="F195" s="362">
        <f t="shared" si="21"/>
        <v>1.6149062310761793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882</v>
      </c>
      <c r="C196" s="378">
        <f>C21-C194</f>
        <v>3045.8116569897666</v>
      </c>
      <c r="D196" s="378">
        <f>LN_IA7-LN_IF7</f>
        <v>2754.9878938293564</v>
      </c>
      <c r="E196" s="378">
        <f t="shared" si="20"/>
        <v>-290.8237631604102</v>
      </c>
      <c r="F196" s="362">
        <f t="shared" si="21"/>
        <v>-0.09548317358790229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842</v>
      </c>
      <c r="C197" s="391">
        <f>C127+C162</f>
        <v>1690206.171190017</v>
      </c>
      <c r="D197" s="391">
        <f>LN_IF9*LN_IF6</f>
        <v>1209329.8164738815</v>
      </c>
      <c r="E197" s="391">
        <f t="shared" si="20"/>
        <v>-480876.3547161354</v>
      </c>
      <c r="F197" s="362">
        <f t="shared" si="21"/>
        <v>-0.28450751329204216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355</v>
      </c>
      <c r="C198" s="369">
        <f>C128+C163</f>
        <v>3117</v>
      </c>
      <c r="D198" s="369">
        <f>LN_ID11+LN_IE11</f>
        <v>2053</v>
      </c>
      <c r="E198" s="369">
        <f t="shared" si="20"/>
        <v>-1064</v>
      </c>
      <c r="F198" s="362">
        <f t="shared" si="21"/>
        <v>-0.34135386589669553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826</v>
      </c>
      <c r="C199" s="432">
        <f>IF(C198=0,0,C189/C198)</f>
        <v>629.7927494385627</v>
      </c>
      <c r="D199" s="432">
        <f>IF(LN_IF11=0,0,LN_IF2/LN_IF11)</f>
        <v>751.0579639551876</v>
      </c>
      <c r="E199" s="432">
        <f t="shared" si="20"/>
        <v>121.26521451662484</v>
      </c>
      <c r="F199" s="362">
        <f t="shared" si="21"/>
        <v>0.1925478097750861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827</v>
      </c>
      <c r="C200" s="379">
        <f>IF(C191=0,0,C198/C191)</f>
        <v>4.722727272727273</v>
      </c>
      <c r="D200" s="379">
        <f>IF(LN_IF4=0,0,LN_IF11/LN_IF4)</f>
        <v>4.50219298245614</v>
      </c>
      <c r="E200" s="379">
        <f t="shared" si="20"/>
        <v>-0.22053429027113225</v>
      </c>
      <c r="F200" s="362">
        <f t="shared" si="21"/>
        <v>-0.04669638485048036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883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829</v>
      </c>
      <c r="C203" s="361">
        <f>C133+C168</f>
        <v>12983410</v>
      </c>
      <c r="D203" s="361">
        <f>LN_ID14+LN_IE14</f>
        <v>11071723</v>
      </c>
      <c r="E203" s="361">
        <f aca="true" t="shared" si="22" ref="E203:E211">D203-C203</f>
        <v>-1911687</v>
      </c>
      <c r="F203" s="362">
        <f aca="true" t="shared" si="23" ref="F203:F211">IF(C203=0,0,E203/C203)</f>
        <v>-0.14724074800071785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830</v>
      </c>
      <c r="C204" s="361">
        <f>C134+C169</f>
        <v>2591710</v>
      </c>
      <c r="D204" s="361">
        <f>LN_ID15+LN_IE15</f>
        <v>2291509</v>
      </c>
      <c r="E204" s="361">
        <f t="shared" si="22"/>
        <v>-300201</v>
      </c>
      <c r="F204" s="362">
        <f t="shared" si="23"/>
        <v>-0.1158312465515046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831</v>
      </c>
      <c r="C205" s="366">
        <f>IF(C203=0,0,C204/C203)</f>
        <v>0.1996170497581144</v>
      </c>
      <c r="D205" s="366">
        <f>IF(LN_IF14=0,0,LN_IF15/LN_IF14)</f>
        <v>0.20696950239813622</v>
      </c>
      <c r="E205" s="367">
        <f t="shared" si="22"/>
        <v>0.007352452640021823</v>
      </c>
      <c r="F205" s="362">
        <f t="shared" si="23"/>
        <v>0.03683278882706234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832</v>
      </c>
      <c r="C206" s="366">
        <f>IF(C188=0,0,C203/C188)</f>
        <v>1.342942261202141</v>
      </c>
      <c r="D206" s="366">
        <f>IF(LN_IF1=0,0,LN_IF14/LN_IF1)</f>
        <v>1.674253519354731</v>
      </c>
      <c r="E206" s="367">
        <f t="shared" si="22"/>
        <v>0.3313112581525899</v>
      </c>
      <c r="F206" s="362">
        <f t="shared" si="23"/>
        <v>0.2467055120121211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833</v>
      </c>
      <c r="C207" s="376">
        <f>C137+C172</f>
        <v>875.4879839757522</v>
      </c>
      <c r="D207" s="376">
        <f>LN_ID18+LN_IE18</f>
        <v>783.0621719718449</v>
      </c>
      <c r="E207" s="376">
        <f t="shared" si="22"/>
        <v>-92.42581200390725</v>
      </c>
      <c r="F207" s="362">
        <f t="shared" si="23"/>
        <v>-0.10557062312172992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834</v>
      </c>
      <c r="C208" s="378">
        <f>IF(C207=0,0,C204/C207)</f>
        <v>2960.3033364667867</v>
      </c>
      <c r="D208" s="378">
        <f>IF(LN_IF18=0,0,LN_IF15/LN_IF18)</f>
        <v>2926.343631476546</v>
      </c>
      <c r="E208" s="378">
        <f t="shared" si="22"/>
        <v>-33.95970499024088</v>
      </c>
      <c r="F208" s="362">
        <f t="shared" si="23"/>
        <v>-0.011471697704726717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884</v>
      </c>
      <c r="C209" s="378">
        <f>C61-C208</f>
        <v>5827.909158537739</v>
      </c>
      <c r="D209" s="378">
        <f>LN_IB18-LN_IF19</f>
        <v>5089.440076530705</v>
      </c>
      <c r="E209" s="378">
        <f t="shared" si="22"/>
        <v>-738.4690820070346</v>
      </c>
      <c r="F209" s="362">
        <f t="shared" si="23"/>
        <v>-0.1267125244952036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885</v>
      </c>
      <c r="C210" s="378">
        <f>C32-C208</f>
        <v>2760.660279728459</v>
      </c>
      <c r="D210" s="378">
        <f>LN_IA16-LN_IF19</f>
        <v>2866.823510696472</v>
      </c>
      <c r="E210" s="378">
        <f t="shared" si="22"/>
        <v>106.16323096801307</v>
      </c>
      <c r="F210" s="362">
        <f t="shared" si="23"/>
        <v>0.038455738921434904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845</v>
      </c>
      <c r="C211" s="391">
        <f>C141+C176</f>
        <v>2416924.9027414043</v>
      </c>
      <c r="D211" s="353">
        <f>LN_IF21*LN_IF18</f>
        <v>2244901.044945929</v>
      </c>
      <c r="E211" s="353">
        <f t="shared" si="22"/>
        <v>-172023.85779547505</v>
      </c>
      <c r="F211" s="362">
        <f t="shared" si="23"/>
        <v>-0.07117468052083724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886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836</v>
      </c>
      <c r="C214" s="361">
        <f>C188+C203</f>
        <v>22651294</v>
      </c>
      <c r="D214" s="361">
        <f>LN_IF1+LN_IF14</f>
        <v>17684654</v>
      </c>
      <c r="E214" s="361">
        <f>D214-C214</f>
        <v>-4966640</v>
      </c>
      <c r="F214" s="362">
        <f>IF(C214=0,0,E214/C214)</f>
        <v>-0.2192651775214255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837</v>
      </c>
      <c r="C215" s="361">
        <f>C189+C204</f>
        <v>4554774</v>
      </c>
      <c r="D215" s="361">
        <f>LN_IF2+LN_IF15</f>
        <v>3833431</v>
      </c>
      <c r="E215" s="361">
        <f>D215-C215</f>
        <v>-721343</v>
      </c>
      <c r="F215" s="362">
        <f>IF(C215=0,0,E215/C215)</f>
        <v>-0.1583707556071937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838</v>
      </c>
      <c r="C216" s="361">
        <f>C214-C215</f>
        <v>18096520</v>
      </c>
      <c r="D216" s="361">
        <f>LN_IF23-LN_IF24</f>
        <v>13851223</v>
      </c>
      <c r="E216" s="361">
        <f>D216-C216</f>
        <v>-4245297</v>
      </c>
      <c r="F216" s="362">
        <f>IF(C216=0,0,E216/C216)</f>
        <v>-0.23459189943701883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582</v>
      </c>
      <c r="B218" s="356" t="s">
        <v>887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888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820</v>
      </c>
      <c r="C221" s="361">
        <v>410335</v>
      </c>
      <c r="D221" s="361">
        <v>423693</v>
      </c>
      <c r="E221" s="361">
        <f aca="true" t="shared" si="24" ref="E221:E230">D221-C221</f>
        <v>13358</v>
      </c>
      <c r="F221" s="362">
        <f aca="true" t="shared" si="25" ref="F221:F230">IF(C221=0,0,E221/C221)</f>
        <v>0.032553888895658425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821</v>
      </c>
      <c r="C222" s="361">
        <v>126999</v>
      </c>
      <c r="D222" s="361">
        <v>39949</v>
      </c>
      <c r="E222" s="361">
        <f t="shared" si="24"/>
        <v>-87050</v>
      </c>
      <c r="F222" s="362">
        <f t="shared" si="25"/>
        <v>-0.6854384680194332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822</v>
      </c>
      <c r="C223" s="366">
        <f>IF(C221=0,0,C222/C221)</f>
        <v>0.309500773758027</v>
      </c>
      <c r="D223" s="366">
        <f>IF(LN_IG1=0,0,LN_IG2/LN_IG1)</f>
        <v>0.09428760918872864</v>
      </c>
      <c r="E223" s="367">
        <f t="shared" si="24"/>
        <v>-0.21521316456929834</v>
      </c>
      <c r="F223" s="362">
        <f t="shared" si="25"/>
        <v>-0.6953558207823922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353</v>
      </c>
      <c r="C224" s="369">
        <v>23</v>
      </c>
      <c r="D224" s="369">
        <v>22</v>
      </c>
      <c r="E224" s="369">
        <f t="shared" si="24"/>
        <v>-1</v>
      </c>
      <c r="F224" s="362">
        <f t="shared" si="25"/>
        <v>-0.043478260869565216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823</v>
      </c>
      <c r="C225" s="372">
        <v>0.8516</v>
      </c>
      <c r="D225" s="372">
        <v>1.1757</v>
      </c>
      <c r="E225" s="373">
        <f t="shared" si="24"/>
        <v>0.32409999999999994</v>
      </c>
      <c r="F225" s="362">
        <f t="shared" si="25"/>
        <v>0.38057773602630335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824</v>
      </c>
      <c r="C226" s="376">
        <f>C224*C225</f>
        <v>19.5868</v>
      </c>
      <c r="D226" s="376">
        <f>LN_IG3*LN_IG4</f>
        <v>25.8654</v>
      </c>
      <c r="E226" s="376">
        <f t="shared" si="24"/>
        <v>6.278600000000001</v>
      </c>
      <c r="F226" s="362">
        <f t="shared" si="25"/>
        <v>0.3205526170686381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825</v>
      </c>
      <c r="C227" s="378">
        <f>IF(C226=0,0,C222/C226)</f>
        <v>6483.9075295607245</v>
      </c>
      <c r="D227" s="378">
        <f>IF(LN_IG5=0,0,LN_IG2/LN_IG5)</f>
        <v>1544.4957356159193</v>
      </c>
      <c r="E227" s="378">
        <f t="shared" si="24"/>
        <v>-4939.411793944805</v>
      </c>
      <c r="F227" s="362">
        <f t="shared" si="25"/>
        <v>-0.7617955332375697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355</v>
      </c>
      <c r="C228" s="369">
        <v>103</v>
      </c>
      <c r="D228" s="369">
        <v>101</v>
      </c>
      <c r="E228" s="369">
        <f t="shared" si="24"/>
        <v>-2</v>
      </c>
      <c r="F228" s="362">
        <f t="shared" si="25"/>
        <v>-0.019417475728155338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826</v>
      </c>
      <c r="C229" s="378">
        <f>IF(C228=0,0,C222/C228)</f>
        <v>1233</v>
      </c>
      <c r="D229" s="378">
        <f>IF(LN_IG6=0,0,LN_IG2/LN_IG6)</f>
        <v>395.53465346534654</v>
      </c>
      <c r="E229" s="378">
        <f t="shared" si="24"/>
        <v>-837.4653465346535</v>
      </c>
      <c r="F229" s="362">
        <f t="shared" si="25"/>
        <v>-0.6792095267920952</v>
      </c>
      <c r="Q229" s="330"/>
      <c r="U229" s="375"/>
    </row>
    <row r="230" spans="1:21" ht="11.25" customHeight="1">
      <c r="A230" s="364">
        <v>10</v>
      </c>
      <c r="B230" s="360" t="s">
        <v>827</v>
      </c>
      <c r="C230" s="379">
        <f>IF(C224=0,0,C228/C224)</f>
        <v>4.478260869565218</v>
      </c>
      <c r="D230" s="379">
        <f>IF(LN_IG3=0,0,LN_IG6/LN_IG3)</f>
        <v>4.590909090909091</v>
      </c>
      <c r="E230" s="379">
        <f t="shared" si="24"/>
        <v>0.11264822134387309</v>
      </c>
      <c r="F230" s="362">
        <f t="shared" si="25"/>
        <v>0.025154457193292047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889</v>
      </c>
      <c r="C232" s="330"/>
      <c r="Q232" s="330"/>
      <c r="U232" s="399"/>
    </row>
    <row r="233" spans="1:21" ht="11.25" customHeight="1">
      <c r="A233" s="364">
        <v>11</v>
      </c>
      <c r="B233" s="360" t="s">
        <v>829</v>
      </c>
      <c r="C233" s="361">
        <v>737228</v>
      </c>
      <c r="D233" s="361">
        <v>652602</v>
      </c>
      <c r="E233" s="361">
        <f>D233-C233</f>
        <v>-84626</v>
      </c>
      <c r="F233" s="362">
        <f>IF(C233=0,0,E233/C233)</f>
        <v>-0.11478945455137353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830</v>
      </c>
      <c r="C234" s="361">
        <v>214754</v>
      </c>
      <c r="D234" s="361">
        <v>113167</v>
      </c>
      <c r="E234" s="361">
        <f>D234-C234</f>
        <v>-101587</v>
      </c>
      <c r="F234" s="362">
        <f>IF(C234=0,0,E234/C234)</f>
        <v>-0.4730389189491232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890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836</v>
      </c>
      <c r="C237" s="361">
        <f>C221+C233</f>
        <v>1147563</v>
      </c>
      <c r="D237" s="361">
        <f>LN_IG1+LN_IG9</f>
        <v>1076295</v>
      </c>
      <c r="E237" s="361">
        <f>D237-C237</f>
        <v>-71268</v>
      </c>
      <c r="F237" s="362">
        <f>IF(C237=0,0,E237/C237)</f>
        <v>-0.06210377992319376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837</v>
      </c>
      <c r="C238" s="361">
        <f>C222+C234</f>
        <v>341753</v>
      </c>
      <c r="D238" s="361">
        <f>LN_IG2+LN_IG10</f>
        <v>153116</v>
      </c>
      <c r="E238" s="361">
        <f>D238-C238</f>
        <v>-188637</v>
      </c>
      <c r="F238" s="362">
        <f>IF(C238=0,0,E238/C238)</f>
        <v>-0.5519688195860754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838</v>
      </c>
      <c r="C239" s="361">
        <f>C237-C238</f>
        <v>805810</v>
      </c>
      <c r="D239" s="361">
        <f>LN_IG13-LN_IG14</f>
        <v>923179</v>
      </c>
      <c r="E239" s="361">
        <f>D239-C239</f>
        <v>117369</v>
      </c>
      <c r="F239" s="362">
        <f>IF(C239=0,0,E239/C239)</f>
        <v>0.1456534418783584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586</v>
      </c>
      <c r="B241" s="356" t="s">
        <v>891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892</v>
      </c>
      <c r="C243" s="361">
        <v>743950</v>
      </c>
      <c r="D243" s="361">
        <v>951983</v>
      </c>
      <c r="E243" s="353">
        <f>D243-C243</f>
        <v>208033</v>
      </c>
      <c r="F243" s="415">
        <f>IF(C243=0,0,E243/C243)</f>
        <v>0.27963303985482896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893</v>
      </c>
      <c r="C244" s="361">
        <v>75843310</v>
      </c>
      <c r="D244" s="361">
        <v>69149506</v>
      </c>
      <c r="E244" s="353">
        <f>D244-C244</f>
        <v>-6693804</v>
      </c>
      <c r="F244" s="415">
        <f>IF(C244=0,0,E244/C244)</f>
        <v>-0.08825833155224898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894</v>
      </c>
      <c r="C245" s="400">
        <v>201751</v>
      </c>
      <c r="D245" s="400">
        <v>0</v>
      </c>
      <c r="E245" s="400">
        <f>D245-C245</f>
        <v>-201751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895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896</v>
      </c>
      <c r="C248" s="353">
        <v>287523</v>
      </c>
      <c r="D248" s="353">
        <v>559676</v>
      </c>
      <c r="E248" s="353">
        <f>D248-C248</f>
        <v>272153</v>
      </c>
      <c r="F248" s="362">
        <f>IF(C248=0,0,E248/C248)</f>
        <v>0.9465434069622256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897</v>
      </c>
      <c r="C249" s="353">
        <v>8586666</v>
      </c>
      <c r="D249" s="353">
        <v>7812094</v>
      </c>
      <c r="E249" s="353">
        <f>D249-C249</f>
        <v>-774572</v>
      </c>
      <c r="F249" s="362">
        <f>IF(C249=0,0,E249/C249)</f>
        <v>-0.09020637346322775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898</v>
      </c>
      <c r="C250" s="353">
        <f>C248+C249</f>
        <v>8874189</v>
      </c>
      <c r="D250" s="353">
        <f>LN_IH4+LN_IH5</f>
        <v>8371770</v>
      </c>
      <c r="E250" s="353">
        <f>D250-C250</f>
        <v>-502419</v>
      </c>
      <c r="F250" s="362">
        <f>IF(C250=0,0,E250/C250)</f>
        <v>-0.05661576511385998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899</v>
      </c>
      <c r="C251" s="353">
        <f>C250*C313</f>
        <v>2331408.8496411024</v>
      </c>
      <c r="D251" s="353">
        <f>LN_IH6*LN_III10</f>
        <v>2638962.5941012613</v>
      </c>
      <c r="E251" s="353">
        <f>D251-C251</f>
        <v>307553.744460159</v>
      </c>
      <c r="F251" s="362">
        <f>IF(C251=0,0,E251/C251)</f>
        <v>0.13191755041485062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900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836</v>
      </c>
      <c r="C254" s="353">
        <f>C188+C203</f>
        <v>22651294</v>
      </c>
      <c r="D254" s="353">
        <f>LN_IF23</f>
        <v>17684654</v>
      </c>
      <c r="E254" s="353">
        <f>D254-C254</f>
        <v>-4966640</v>
      </c>
      <c r="F254" s="362">
        <f>IF(C254=0,0,E254/C254)</f>
        <v>-0.2192651775214255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837</v>
      </c>
      <c r="C255" s="353">
        <f>C189+C204</f>
        <v>4554774</v>
      </c>
      <c r="D255" s="353">
        <f>LN_IF24</f>
        <v>3833431</v>
      </c>
      <c r="E255" s="353">
        <f>D255-C255</f>
        <v>-721343</v>
      </c>
      <c r="F255" s="362">
        <f>IF(C255=0,0,E255/C255)</f>
        <v>-0.1583707556071937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901</v>
      </c>
      <c r="C256" s="353">
        <f>C254*C313</f>
        <v>5950901.799299339</v>
      </c>
      <c r="D256" s="353">
        <f>LN_IH8*LN_III10</f>
        <v>5574584.6333121015</v>
      </c>
      <c r="E256" s="353">
        <f>D256-C256</f>
        <v>-376317.16598723736</v>
      </c>
      <c r="F256" s="362">
        <f>IF(C256=0,0,E256/C256)</f>
        <v>-0.06323699813556746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902</v>
      </c>
      <c r="C257" s="353">
        <f>C256-C255</f>
        <v>1396127.7992993388</v>
      </c>
      <c r="D257" s="353">
        <f>LN_IH10-LN_IH9</f>
        <v>1741153.6333121015</v>
      </c>
      <c r="E257" s="353">
        <f>D257-C257</f>
        <v>345025.83401276264</v>
      </c>
      <c r="F257" s="362">
        <f>IF(C257=0,0,E257/C257)</f>
        <v>0.24713055222159278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260</v>
      </c>
      <c r="B258" s="349" t="s">
        <v>903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230</v>
      </c>
      <c r="B260" s="359" t="s">
        <v>904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905</v>
      </c>
      <c r="C261" s="361">
        <f>C15+C42+C188+C221</f>
        <v>100081615</v>
      </c>
      <c r="D261" s="361">
        <f>LN_IA1+LN_IB1+LN_IF1+LN_IG1</f>
        <v>83077033</v>
      </c>
      <c r="E261" s="361">
        <f aca="true" t="shared" si="26" ref="E261:E274">D261-C261</f>
        <v>-17004582</v>
      </c>
      <c r="F261" s="415">
        <f aca="true" t="shared" si="27" ref="F261:F274">IF(C261=0,0,E261/C261)</f>
        <v>-0.16990715027929956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906</v>
      </c>
      <c r="C262" s="361">
        <f>C16+C43+C189+C222</f>
        <v>25282854</v>
      </c>
      <c r="D262" s="361">
        <f>+LN_IA2+LN_IB2+LN_IF2+LN_IG2</f>
        <v>24972233</v>
      </c>
      <c r="E262" s="361">
        <f t="shared" si="26"/>
        <v>-310621</v>
      </c>
      <c r="F262" s="415">
        <f t="shared" si="27"/>
        <v>-0.012285836084802769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907</v>
      </c>
      <c r="C263" s="366">
        <f>IF(C261=0,0,C262/C261)</f>
        <v>0.2526223622590423</v>
      </c>
      <c r="D263" s="366">
        <f>IF(LN_IIA1=0,0,LN_IIA2/LN_IIA1)</f>
        <v>0.30059129579170213</v>
      </c>
      <c r="E263" s="367">
        <f t="shared" si="26"/>
        <v>0.04796893353265985</v>
      </c>
      <c r="F263" s="371">
        <f t="shared" si="27"/>
        <v>0.18988395605085776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908</v>
      </c>
      <c r="C264" s="369">
        <f>C18+C45+C191+C224</f>
        <v>4087</v>
      </c>
      <c r="D264" s="369">
        <f>LN_IA4+LN_IB4+LN_IF4+LN_IG3</f>
        <v>3618</v>
      </c>
      <c r="E264" s="369">
        <f t="shared" si="26"/>
        <v>-469</v>
      </c>
      <c r="F264" s="415">
        <f t="shared" si="27"/>
        <v>-0.11475409836065574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909</v>
      </c>
      <c r="C265" s="439">
        <f>IF(C264=0,0,C266/C264)</f>
        <v>1.101892781991681</v>
      </c>
      <c r="D265" s="439">
        <f>IF(LN_IIA4=0,0,LN_IIA6/LN_IIA4)</f>
        <v>1.1510783195135432</v>
      </c>
      <c r="E265" s="439">
        <f t="shared" si="26"/>
        <v>0.049185537521862166</v>
      </c>
      <c r="F265" s="415">
        <f t="shared" si="27"/>
        <v>0.04463731710172279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910</v>
      </c>
      <c r="C266" s="376">
        <f>C20+C47+C193+C226</f>
        <v>4503.4358</v>
      </c>
      <c r="D266" s="376">
        <f>LN_IA6+LN_IB6+LN_IF6+LN_IG5</f>
        <v>4164.60136</v>
      </c>
      <c r="E266" s="376">
        <f t="shared" si="26"/>
        <v>-338.83444000000054</v>
      </c>
      <c r="F266" s="415">
        <f t="shared" si="27"/>
        <v>-0.0752390963361797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911</v>
      </c>
      <c r="C267" s="361">
        <f>C27+C56+C203+C233</f>
        <v>136523764</v>
      </c>
      <c r="D267" s="361">
        <f>LN_IA11+LN_IB13+LN_IF14+LN_IG9</f>
        <v>112517502</v>
      </c>
      <c r="E267" s="361">
        <f t="shared" si="26"/>
        <v>-24006262</v>
      </c>
      <c r="F267" s="415">
        <f t="shared" si="27"/>
        <v>-0.17583943847314376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832</v>
      </c>
      <c r="C268" s="366">
        <f>IF(C261=0,0,C267/C261)</f>
        <v>1.364124309944439</v>
      </c>
      <c r="D268" s="366">
        <f>IF(LN_IIA1=0,0,LN_IIA7/LN_IIA1)</f>
        <v>1.354375546849392</v>
      </c>
      <c r="E268" s="367">
        <f t="shared" si="26"/>
        <v>-0.009748763095046797</v>
      </c>
      <c r="F268" s="371">
        <f t="shared" si="27"/>
        <v>-0.007146535710842853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912</v>
      </c>
      <c r="C269" s="361">
        <f>C28+C57+C204+C234</f>
        <v>45550067</v>
      </c>
      <c r="D269" s="361">
        <f>LN_IA12+LN_IB14+LN_IF15+LN_IG10</f>
        <v>38424932</v>
      </c>
      <c r="E269" s="361">
        <f t="shared" si="26"/>
        <v>-7125135</v>
      </c>
      <c r="F269" s="415">
        <f t="shared" si="27"/>
        <v>-0.15642424850878925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831</v>
      </c>
      <c r="C270" s="366">
        <f>IF(C267=0,0,C269/C267)</f>
        <v>0.3336420390518972</v>
      </c>
      <c r="D270" s="366">
        <f>IF(LN_IIA7=0,0,LN_IIA9/LN_IIA7)</f>
        <v>0.34150182253424005</v>
      </c>
      <c r="E270" s="367">
        <f t="shared" si="26"/>
        <v>0.007859783482342841</v>
      </c>
      <c r="F270" s="371">
        <f t="shared" si="27"/>
        <v>0.023557533411190643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913</v>
      </c>
      <c r="C271" s="353">
        <f>C261+C267</f>
        <v>236605379</v>
      </c>
      <c r="D271" s="353">
        <f>LN_IIA1+LN_IIA7</f>
        <v>195594535</v>
      </c>
      <c r="E271" s="353">
        <f t="shared" si="26"/>
        <v>-41010844</v>
      </c>
      <c r="F271" s="415">
        <f t="shared" si="27"/>
        <v>-0.17333014225344387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914</v>
      </c>
      <c r="C272" s="353">
        <f>C262+C269</f>
        <v>70832921</v>
      </c>
      <c r="D272" s="353">
        <f>LN_IIA2+LN_IIA9</f>
        <v>63397165</v>
      </c>
      <c r="E272" s="353">
        <f t="shared" si="26"/>
        <v>-7435756</v>
      </c>
      <c r="F272" s="415">
        <f t="shared" si="27"/>
        <v>-0.10497598990729183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915</v>
      </c>
      <c r="C273" s="366">
        <f>IF(C271=0,0,C272/C271)</f>
        <v>0.299371558243399</v>
      </c>
      <c r="D273" s="366">
        <f>IF(LN_IIA11=0,0,LN_IIA12/LN_IIA11)</f>
        <v>0.3241254414393531</v>
      </c>
      <c r="E273" s="367">
        <f t="shared" si="26"/>
        <v>0.02475388319595412</v>
      </c>
      <c r="F273" s="371">
        <f t="shared" si="27"/>
        <v>0.0826861554290618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355</v>
      </c>
      <c r="C274" s="421">
        <f>C22+C51+C198+C228</f>
        <v>21656</v>
      </c>
      <c r="D274" s="421">
        <f>LN_IA8+LN_IB10+LN_IF11+LN_IG6</f>
        <v>17998</v>
      </c>
      <c r="E274" s="442">
        <f t="shared" si="26"/>
        <v>-3658</v>
      </c>
      <c r="F274" s="371">
        <f t="shared" si="27"/>
        <v>-0.1689139268562985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242</v>
      </c>
      <c r="B276" s="359" t="s">
        <v>916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917</v>
      </c>
      <c r="C277" s="361">
        <f>C15+C188+C221</f>
        <v>72108804</v>
      </c>
      <c r="D277" s="361">
        <f>LN_IA1+LN_IF1+LN_IG1</f>
        <v>58893308</v>
      </c>
      <c r="E277" s="361">
        <f aca="true" t="shared" si="28" ref="E277:E291">D277-C277</f>
        <v>-13215496</v>
      </c>
      <c r="F277" s="415">
        <f aca="true" t="shared" si="29" ref="F277:F291">IF(C277=0,0,E277/C277)</f>
        <v>-0.18327160162024045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918</v>
      </c>
      <c r="C278" s="361">
        <f>C16+C189+C222</f>
        <v>18866363</v>
      </c>
      <c r="D278" s="361">
        <f>LN_IA2+LN_IF2+LN_IG2</f>
        <v>16220510</v>
      </c>
      <c r="E278" s="361">
        <f t="shared" si="28"/>
        <v>-2645853</v>
      </c>
      <c r="F278" s="415">
        <f t="shared" si="29"/>
        <v>-0.14024181555289697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919</v>
      </c>
      <c r="C279" s="366">
        <f>IF(C277=0,0,C278/C277)</f>
        <v>0.2616374416638501</v>
      </c>
      <c r="D279" s="366">
        <f>IF(D277=0,0,LN_IIB2/D277)</f>
        <v>0.27542195456230784</v>
      </c>
      <c r="E279" s="367">
        <f t="shared" si="28"/>
        <v>0.013784512898457724</v>
      </c>
      <c r="F279" s="371">
        <f t="shared" si="29"/>
        <v>0.05268555146693402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920</v>
      </c>
      <c r="C280" s="369">
        <f>C18+C191+C224</f>
        <v>2709</v>
      </c>
      <c r="D280" s="369">
        <f>LN_IA4+LN_IF4+LN_IG3</f>
        <v>2285</v>
      </c>
      <c r="E280" s="369">
        <f t="shared" si="28"/>
        <v>-424</v>
      </c>
      <c r="F280" s="415">
        <f t="shared" si="29"/>
        <v>-0.15651531930601698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921</v>
      </c>
      <c r="C281" s="439">
        <f>IF(C280=0,0,C282/C280)</f>
        <v>1.1527565891472868</v>
      </c>
      <c r="D281" s="439">
        <f>IF(LN_IIB4=0,0,LN_IIB6/LN_IIB4)</f>
        <v>1.2255619956236323</v>
      </c>
      <c r="E281" s="439">
        <f t="shared" si="28"/>
        <v>0.07280540647634548</v>
      </c>
      <c r="F281" s="415">
        <f t="shared" si="29"/>
        <v>0.06315765805355392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922</v>
      </c>
      <c r="C282" s="376">
        <f>C20+C193+C226</f>
        <v>3122.8176</v>
      </c>
      <c r="D282" s="376">
        <f>LN_IA6+LN_IF6+LN_IG5</f>
        <v>2800.4091599999997</v>
      </c>
      <c r="E282" s="376">
        <f t="shared" si="28"/>
        <v>-322.40844000000016</v>
      </c>
      <c r="F282" s="415">
        <f t="shared" si="29"/>
        <v>-0.10324280226933528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923</v>
      </c>
      <c r="C283" s="361">
        <f>C27+C203+C233</f>
        <v>56070310</v>
      </c>
      <c r="D283" s="361">
        <f>LN_IA11+LN_IF14+LN_IG9</f>
        <v>47201093</v>
      </c>
      <c r="E283" s="361">
        <f t="shared" si="28"/>
        <v>-8869217</v>
      </c>
      <c r="F283" s="415">
        <f t="shared" si="29"/>
        <v>-0.15818027401667656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924</v>
      </c>
      <c r="C284" s="366">
        <f>IF(C277=0,0,C283/C277)</f>
        <v>0.7775792537066625</v>
      </c>
      <c r="D284" s="366">
        <f>IF(D277=0,0,LN_IIB7/D277)</f>
        <v>0.8014678509823221</v>
      </c>
      <c r="E284" s="367">
        <f t="shared" si="28"/>
        <v>0.023888597275659618</v>
      </c>
      <c r="F284" s="371">
        <f t="shared" si="29"/>
        <v>0.030721752363870886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925</v>
      </c>
      <c r="C285" s="361">
        <f>C28+C204+C234</f>
        <v>10719676</v>
      </c>
      <c r="D285" s="361">
        <f>LN_IA12+LN_IF15+LN_IG10</f>
        <v>9566333</v>
      </c>
      <c r="E285" s="361">
        <f t="shared" si="28"/>
        <v>-1153343</v>
      </c>
      <c r="F285" s="415">
        <f t="shared" si="29"/>
        <v>-0.10759121824204389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926</v>
      </c>
      <c r="C286" s="366">
        <f>IF(C283=0,0,C285/C283)</f>
        <v>0.1911827489450299</v>
      </c>
      <c r="D286" s="366">
        <f>IF(LN_IIB7=0,0,LN_IIB9/LN_IIB7)</f>
        <v>0.2026718533827172</v>
      </c>
      <c r="E286" s="367">
        <f t="shared" si="28"/>
        <v>0.011489104437687303</v>
      </c>
      <c r="F286" s="371">
        <f t="shared" si="29"/>
        <v>0.06009488042768296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927</v>
      </c>
      <c r="C287" s="353">
        <f>C277+C283</f>
        <v>128179114</v>
      </c>
      <c r="D287" s="353">
        <f>D277+LN_IIB7</f>
        <v>106094401</v>
      </c>
      <c r="E287" s="353">
        <f t="shared" si="28"/>
        <v>-22084713</v>
      </c>
      <c r="F287" s="415">
        <f t="shared" si="29"/>
        <v>-0.17229572206280033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928</v>
      </c>
      <c r="C288" s="353">
        <f>C278+C285</f>
        <v>29586039</v>
      </c>
      <c r="D288" s="353">
        <f>LN_IIB2+LN_IIB9</f>
        <v>25786843</v>
      </c>
      <c r="E288" s="353">
        <f t="shared" si="28"/>
        <v>-3799196</v>
      </c>
      <c r="F288" s="415">
        <f t="shared" si="29"/>
        <v>-0.12841178232746872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929</v>
      </c>
      <c r="C289" s="366">
        <f>IF(C287=0,0,C288/C287)</f>
        <v>0.2308179396527893</v>
      </c>
      <c r="D289" s="366">
        <f>IF(LN_IIB11=0,0,LN_IIB12/LN_IIB11)</f>
        <v>0.24305564437844368</v>
      </c>
      <c r="E289" s="367">
        <f t="shared" si="28"/>
        <v>0.012237704725654386</v>
      </c>
      <c r="F289" s="371">
        <f t="shared" si="29"/>
        <v>0.05301886302279235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355</v>
      </c>
      <c r="C290" s="421">
        <f>C22+C198+C228</f>
        <v>16103</v>
      </c>
      <c r="D290" s="421">
        <f>LN_IA8+LN_IF11+LN_IG6</f>
        <v>12777</v>
      </c>
      <c r="E290" s="442">
        <f t="shared" si="28"/>
        <v>-3326</v>
      </c>
      <c r="F290" s="371">
        <f t="shared" si="29"/>
        <v>-0.2065453642178476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930</v>
      </c>
      <c r="C291" s="361">
        <f>C287-C288</f>
        <v>98593075</v>
      </c>
      <c r="D291" s="429">
        <f>LN_IIB11-LN_IIB12</f>
        <v>80307558</v>
      </c>
      <c r="E291" s="353">
        <f t="shared" si="28"/>
        <v>-18285517</v>
      </c>
      <c r="F291" s="415">
        <f t="shared" si="29"/>
        <v>-0.18546451665089053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252</v>
      </c>
      <c r="B293" s="358" t="s">
        <v>827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818</v>
      </c>
      <c r="C294" s="379">
        <f>IF(C18=0,0,C22/C18)</f>
        <v>6.35883514313919</v>
      </c>
      <c r="D294" s="379">
        <f>IF(LN_IA4=0,0,LN_IA8/LN_IA4)</f>
        <v>5.8788046485888215</v>
      </c>
      <c r="E294" s="379">
        <f aca="true" t="shared" si="30" ref="E294:E300">D294-C294</f>
        <v>-0.48003049455036884</v>
      </c>
      <c r="F294" s="415">
        <f aca="true" t="shared" si="31" ref="F294:F300">IF(C294=0,0,E294/C294)</f>
        <v>-0.07549031917713633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839</v>
      </c>
      <c r="C295" s="379">
        <f>IF(C45=0,0,C51/C45)</f>
        <v>4.029753265602322</v>
      </c>
      <c r="D295" s="379">
        <f>IF(LN_IB4=0,0,(LN_IB10)/(LN_IB4))</f>
        <v>3.916729182295574</v>
      </c>
      <c r="E295" s="379">
        <f t="shared" si="30"/>
        <v>-0.11302408330674796</v>
      </c>
      <c r="F295" s="415">
        <f t="shared" si="31"/>
        <v>-0.028047395425301404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854</v>
      </c>
      <c r="C296" s="379">
        <f>IF(C86=0,0,C93/C86)</f>
        <v>4.538461538461538</v>
      </c>
      <c r="D296" s="379">
        <f>IF(LN_IC4=0,0,LN_IC11/LN_IC4)</f>
        <v>5.5964912280701755</v>
      </c>
      <c r="E296" s="379">
        <f t="shared" si="30"/>
        <v>1.0580296896086372</v>
      </c>
      <c r="F296" s="415">
        <f t="shared" si="31"/>
        <v>0.23312518584597092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330</v>
      </c>
      <c r="C297" s="379">
        <f>IF(C121=0,0,C128/C121)</f>
        <v>4.732231404958678</v>
      </c>
      <c r="D297" s="379">
        <f>IF(LN_ID4=0,0,LN_ID11/LN_ID4)</f>
        <v>4.252475247524752</v>
      </c>
      <c r="E297" s="379">
        <f t="shared" si="30"/>
        <v>-0.4797561574339255</v>
      </c>
      <c r="F297" s="415">
        <f t="shared" si="31"/>
        <v>-0.10138053623734716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931</v>
      </c>
      <c r="C298" s="379">
        <f>IF(C156=0,0,C163/C156)</f>
        <v>4.618181818181818</v>
      </c>
      <c r="D298" s="379">
        <f>IF(LN_IE4=0,0,LN_IE11/LN_IE4)</f>
        <v>6.4423076923076925</v>
      </c>
      <c r="E298" s="379">
        <f t="shared" si="30"/>
        <v>1.8241258741258743</v>
      </c>
      <c r="F298" s="415">
        <f t="shared" si="31"/>
        <v>0.39498788612961844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634</v>
      </c>
      <c r="C299" s="379">
        <f>IF(C224=0,0,C228/C224)</f>
        <v>4.478260869565218</v>
      </c>
      <c r="D299" s="379">
        <f>IF(LN_IG3=0,0,LN_IG6/LN_IG3)</f>
        <v>4.590909090909091</v>
      </c>
      <c r="E299" s="379">
        <f t="shared" si="30"/>
        <v>0.11264822134387309</v>
      </c>
      <c r="F299" s="415">
        <f t="shared" si="31"/>
        <v>0.025154457193292047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932</v>
      </c>
      <c r="C300" s="379">
        <f>IF(C264=0,0,C274/C264)</f>
        <v>5.2987521409346705</v>
      </c>
      <c r="D300" s="379">
        <f>IF(LN_IIA4=0,0,LN_IIA14/LN_IIA4)</f>
        <v>4.974571586511885</v>
      </c>
      <c r="E300" s="379">
        <f t="shared" si="30"/>
        <v>-0.32418055442278515</v>
      </c>
      <c r="F300" s="415">
        <f t="shared" si="31"/>
        <v>-0.061180547004337046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351</v>
      </c>
      <c r="B302" s="446" t="s">
        <v>933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927</v>
      </c>
      <c r="C304" s="353">
        <f>C35+C66+C214+C221+C233</f>
        <v>236605379</v>
      </c>
      <c r="D304" s="353">
        <f>LN_IIA11</f>
        <v>195594535</v>
      </c>
      <c r="E304" s="353">
        <f aca="true" t="shared" si="32" ref="E304:E316">D304-C304</f>
        <v>-41010844</v>
      </c>
      <c r="F304" s="362">
        <f>IF(C304=0,0,E304/C304)</f>
        <v>-0.17333014225344387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930</v>
      </c>
      <c r="C305" s="353">
        <f>C291</f>
        <v>98593075</v>
      </c>
      <c r="D305" s="353">
        <f>LN_IIB14</f>
        <v>80307558</v>
      </c>
      <c r="E305" s="353">
        <f t="shared" si="32"/>
        <v>-18285517</v>
      </c>
      <c r="F305" s="362">
        <f>IF(C305=0,0,E305/C305)</f>
        <v>-0.18546451665089053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934</v>
      </c>
      <c r="C306" s="353">
        <f>C250</f>
        <v>8874189</v>
      </c>
      <c r="D306" s="353">
        <f>LN_IH6</f>
        <v>8371770</v>
      </c>
      <c r="E306" s="353">
        <f t="shared" si="32"/>
        <v>-502419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935</v>
      </c>
      <c r="C307" s="353">
        <f>C73-C74</f>
        <v>67179383</v>
      </c>
      <c r="D307" s="353">
        <f>LN_IB32-LN_IB33</f>
        <v>45259588</v>
      </c>
      <c r="E307" s="353">
        <f t="shared" si="32"/>
        <v>-21919795</v>
      </c>
      <c r="F307" s="362">
        <f aca="true" t="shared" si="33" ref="F307:F316">IF(C307=0,0,E307/C307)</f>
        <v>-0.3262875308039075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936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937</v>
      </c>
      <c r="C309" s="353">
        <f>C305+C307+C308+C306</f>
        <v>174646647</v>
      </c>
      <c r="D309" s="353">
        <f>LN_III2+LN_III3+LN_III4+LN_III5</f>
        <v>133938916</v>
      </c>
      <c r="E309" s="353">
        <f t="shared" si="32"/>
        <v>-40707731</v>
      </c>
      <c r="F309" s="362">
        <f t="shared" si="33"/>
        <v>-0.23308624413499332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938</v>
      </c>
      <c r="C310" s="353">
        <f>C304-C309</f>
        <v>61958732</v>
      </c>
      <c r="D310" s="353">
        <f>LN_III1-LN_III6</f>
        <v>61655619</v>
      </c>
      <c r="E310" s="353">
        <f t="shared" si="32"/>
        <v>-303113</v>
      </c>
      <c r="F310" s="362">
        <f t="shared" si="33"/>
        <v>-0.0048921756500762475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939</v>
      </c>
      <c r="C311" s="353">
        <f>C245</f>
        <v>201751</v>
      </c>
      <c r="D311" s="353">
        <f>LN_IH3</f>
        <v>0</v>
      </c>
      <c r="E311" s="353">
        <f t="shared" si="32"/>
        <v>-201751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940</v>
      </c>
      <c r="C312" s="353">
        <f>C310+C311</f>
        <v>62160483</v>
      </c>
      <c r="D312" s="353">
        <f>LN_III7+LN_III8</f>
        <v>61655619</v>
      </c>
      <c r="E312" s="353">
        <f t="shared" si="32"/>
        <v>-504864</v>
      </c>
      <c r="F312" s="362">
        <f t="shared" si="33"/>
        <v>-0.008121944612302964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941</v>
      </c>
      <c r="C313" s="448">
        <f>IF(C304=0,0,C312/C304)</f>
        <v>0.26271796213052284</v>
      </c>
      <c r="D313" s="448">
        <f>IF(LN_III1=0,0,LN_III9/LN_III1)</f>
        <v>0.31522158326151595</v>
      </c>
      <c r="E313" s="448">
        <f t="shared" si="32"/>
        <v>0.052503621130993106</v>
      </c>
      <c r="F313" s="362">
        <f t="shared" si="33"/>
        <v>0.1998478547306499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899</v>
      </c>
      <c r="C314" s="353">
        <f>C306*C313</f>
        <v>2331408.8496411024</v>
      </c>
      <c r="D314" s="353">
        <f>D313*LN_III5</f>
        <v>2638962.5941012613</v>
      </c>
      <c r="E314" s="353">
        <f t="shared" si="32"/>
        <v>307553.744460159</v>
      </c>
      <c r="F314" s="362">
        <f t="shared" si="33"/>
        <v>0.13191755041485062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902</v>
      </c>
      <c r="C315" s="353">
        <f>(C214*C313)-C215</f>
        <v>1396127.7992993388</v>
      </c>
      <c r="D315" s="353">
        <f>D313*LN_IH8-LN_IH9</f>
        <v>1741153.6333121015</v>
      </c>
      <c r="E315" s="353">
        <f t="shared" si="32"/>
        <v>345025.83401276264</v>
      </c>
      <c r="F315" s="362">
        <f t="shared" si="33"/>
        <v>0.24713055222159278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942</v>
      </c>
      <c r="C316" s="353">
        <v>-3727537</v>
      </c>
      <c r="D316" s="353">
        <v>0</v>
      </c>
      <c r="E316" s="353">
        <f t="shared" si="32"/>
        <v>3727537</v>
      </c>
      <c r="F316" s="362">
        <f t="shared" si="33"/>
        <v>-1</v>
      </c>
    </row>
    <row r="317" spans="1:21" ht="11.25" customHeight="1">
      <c r="A317" s="338">
        <v>14</v>
      </c>
      <c r="B317" s="360" t="s">
        <v>943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944</v>
      </c>
      <c r="C318" s="353">
        <f>C314+C315+C316</f>
        <v>-0.351059558801353</v>
      </c>
      <c r="D318" s="353">
        <f>D314+D315+D316</f>
        <v>4380116.227413363</v>
      </c>
      <c r="E318" s="353">
        <f>D318-C318</f>
        <v>4380116.578472922</v>
      </c>
      <c r="F318" s="362">
        <f>IF(C318=0,0,E318/C318)</f>
        <v>-12476847.49968996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360</v>
      </c>
      <c r="B320" s="445" t="s">
        <v>945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330</v>
      </c>
      <c r="C322" s="353">
        <f>C141</f>
        <v>2126873.4792684997</v>
      </c>
      <c r="D322" s="353">
        <f>LN_ID22</f>
        <v>1980481.2491636458</v>
      </c>
      <c r="E322" s="353">
        <f>LN_IV2-C322</f>
        <v>-146392.23010485386</v>
      </c>
      <c r="F322" s="362">
        <f>IF(C322=0,0,E322/C322)</f>
        <v>-0.06882977832569659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931</v>
      </c>
      <c r="C323" s="353">
        <f>C162+C176</f>
        <v>482981.60440540605</v>
      </c>
      <c r="D323" s="353">
        <f>LN_IE10+LN_IE22</f>
        <v>519838.2011584744</v>
      </c>
      <c r="E323" s="353">
        <f>LN_IV3-C323</f>
        <v>36856.59675306833</v>
      </c>
      <c r="F323" s="362">
        <f>IF(C323=0,0,E323/C323)</f>
        <v>0.07631056010599435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946</v>
      </c>
      <c r="C324" s="353">
        <f>C92+C106</f>
        <v>-1494883.8346846648</v>
      </c>
      <c r="D324" s="353">
        <f>LN_IC10+LN_IC22</f>
        <v>1172965.1216496592</v>
      </c>
      <c r="E324" s="353">
        <f>LN_IV1-C324</f>
        <v>2667848.956334324</v>
      </c>
      <c r="F324" s="362">
        <f>IF(C324=0,0,E324/C324)</f>
        <v>-1.7846530241576182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947</v>
      </c>
      <c r="C325" s="429">
        <f>C324+C322+C323</f>
        <v>1114971.2489892407</v>
      </c>
      <c r="D325" s="429">
        <f>LN_IV1+LN_IV2+LN_IV3</f>
        <v>3673284.571971779</v>
      </c>
      <c r="E325" s="353">
        <f>LN_IV4-C325</f>
        <v>2558313.3229825385</v>
      </c>
      <c r="F325" s="362">
        <f>IF(C325=0,0,E325/C325)</f>
        <v>2.2945105762159663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948</v>
      </c>
      <c r="B327" s="446" t="s">
        <v>949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950</v>
      </c>
      <c r="C329" s="431">
        <v>0</v>
      </c>
      <c r="D329" s="431">
        <v>0</v>
      </c>
      <c r="E329" s="431">
        <f aca="true" t="shared" si="34" ref="E329:E335">D329-C329</f>
        <v>0</v>
      </c>
      <c r="F329" s="462">
        <f aca="true" t="shared" si="35" ref="F329:F335">IF(C329=0,0,E329/C329)</f>
        <v>0</v>
      </c>
    </row>
    <row r="330" spans="1:6" s="333" customFormat="1" ht="11.25" customHeight="1">
      <c r="A330" s="364">
        <v>2</v>
      </c>
      <c r="B330" s="360" t="s">
        <v>951</v>
      </c>
      <c r="C330" s="429">
        <v>0</v>
      </c>
      <c r="D330" s="429">
        <v>0</v>
      </c>
      <c r="E330" s="431">
        <f t="shared" si="34"/>
        <v>0</v>
      </c>
      <c r="F330" s="463">
        <f t="shared" si="35"/>
        <v>0</v>
      </c>
    </row>
    <row r="331" spans="1:6" s="333" customFormat="1" ht="11.25" customHeight="1">
      <c r="A331" s="339">
        <v>3</v>
      </c>
      <c r="B331" s="360" t="s">
        <v>952</v>
      </c>
      <c r="C331" s="429">
        <v>71034672</v>
      </c>
      <c r="D331" s="429">
        <v>63397165</v>
      </c>
      <c r="E331" s="431">
        <f t="shared" si="34"/>
        <v>-7637507</v>
      </c>
      <c r="F331" s="462">
        <f t="shared" si="35"/>
        <v>-0.10751801599083895</v>
      </c>
    </row>
    <row r="332" spans="1:6" s="333" customFormat="1" ht="11.25" customHeight="1">
      <c r="A332" s="364">
        <v>4</v>
      </c>
      <c r="B332" s="360" t="s">
        <v>953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954</v>
      </c>
      <c r="C333" s="429">
        <v>236605380</v>
      </c>
      <c r="D333" s="429">
        <v>195594535</v>
      </c>
      <c r="E333" s="431">
        <f t="shared" si="34"/>
        <v>-41010845</v>
      </c>
      <c r="F333" s="462">
        <f t="shared" si="35"/>
        <v>-0.17333014574731986</v>
      </c>
    </row>
    <row r="334" spans="1:6" s="333" customFormat="1" ht="11.25" customHeight="1">
      <c r="A334" s="339">
        <v>6</v>
      </c>
      <c r="B334" s="360" t="s">
        <v>955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6" s="333" customFormat="1" ht="11.25" customHeight="1">
      <c r="A335" s="364">
        <v>7</v>
      </c>
      <c r="B335" s="360" t="s">
        <v>956</v>
      </c>
      <c r="C335" s="429">
        <v>8874189</v>
      </c>
      <c r="D335" s="429">
        <v>8371770</v>
      </c>
      <c r="E335" s="429">
        <f t="shared" si="34"/>
        <v>-502419</v>
      </c>
      <c r="F335" s="462">
        <f t="shared" si="35"/>
        <v>-0.05661576511385998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FILING&amp;RJOHNSON MEMORIAL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G20" sqref="G20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216</v>
      </c>
      <c r="B2" s="710"/>
      <c r="C2" s="710"/>
      <c r="D2" s="710"/>
      <c r="E2" s="710"/>
    </row>
    <row r="3" spans="1:5" s="338" customFormat="1" ht="15.75" customHeight="1">
      <c r="A3" s="709" t="s">
        <v>809</v>
      </c>
      <c r="B3" s="709"/>
      <c r="C3" s="709"/>
      <c r="D3" s="709"/>
      <c r="E3" s="709"/>
    </row>
    <row r="4" spans="1:5" s="338" customFormat="1" ht="15.75" customHeight="1">
      <c r="A4" s="709" t="s">
        <v>218</v>
      </c>
      <c r="B4" s="709"/>
      <c r="C4" s="709"/>
      <c r="D4" s="709"/>
      <c r="E4" s="709"/>
    </row>
    <row r="5" spans="1:5" s="338" customFormat="1" ht="15.75" customHeight="1">
      <c r="A5" s="709" t="s">
        <v>957</v>
      </c>
      <c r="B5" s="709"/>
      <c r="C5" s="709"/>
      <c r="D5" s="709"/>
      <c r="E5" s="709"/>
    </row>
    <row r="6" spans="1:5" s="338" customFormat="1" ht="15.75" customHeight="1">
      <c r="A6" s="709" t="s">
        <v>958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224</v>
      </c>
      <c r="B9" s="493" t="s">
        <v>225</v>
      </c>
      <c r="C9" s="494" t="s">
        <v>959</v>
      </c>
      <c r="D9" s="494" t="s">
        <v>960</v>
      </c>
      <c r="E9" s="495" t="s">
        <v>961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228</v>
      </c>
      <c r="B11" s="501" t="s">
        <v>962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230</v>
      </c>
      <c r="B13" s="509" t="s">
        <v>963</v>
      </c>
      <c r="C13" s="510"/>
      <c r="D13" s="340"/>
      <c r="E13" s="511"/>
    </row>
    <row r="14" spans="1:5" s="506" customFormat="1" ht="12.75">
      <c r="A14" s="512">
        <v>1</v>
      </c>
      <c r="B14" s="511" t="s">
        <v>839</v>
      </c>
      <c r="C14" s="513">
        <v>27972811</v>
      </c>
      <c r="D14" s="513">
        <v>24183725</v>
      </c>
      <c r="E14" s="514">
        <f aca="true" t="shared" si="0" ref="E14:E22">D14-C14</f>
        <v>-3789086</v>
      </c>
    </row>
    <row r="15" spans="1:5" s="506" customFormat="1" ht="12.75">
      <c r="A15" s="512">
        <v>2</v>
      </c>
      <c r="B15" s="511" t="s">
        <v>818</v>
      </c>
      <c r="C15" s="513">
        <v>62030585</v>
      </c>
      <c r="D15" s="515">
        <v>51856684</v>
      </c>
      <c r="E15" s="514">
        <f t="shared" si="0"/>
        <v>-10173901</v>
      </c>
    </row>
    <row r="16" spans="1:5" s="506" customFormat="1" ht="12.75">
      <c r="A16" s="512">
        <v>3</v>
      </c>
      <c r="B16" s="511" t="s">
        <v>964</v>
      </c>
      <c r="C16" s="513">
        <v>9667884</v>
      </c>
      <c r="D16" s="515">
        <v>6612931</v>
      </c>
      <c r="E16" s="514">
        <f t="shared" si="0"/>
        <v>-3054953</v>
      </c>
    </row>
    <row r="17" spans="1:5" s="506" customFormat="1" ht="12.75">
      <c r="A17" s="512">
        <v>4</v>
      </c>
      <c r="B17" s="511" t="s">
        <v>330</v>
      </c>
      <c r="C17" s="513">
        <v>8536962</v>
      </c>
      <c r="D17" s="515">
        <v>5308622</v>
      </c>
      <c r="E17" s="514">
        <f t="shared" si="0"/>
        <v>-3228340</v>
      </c>
    </row>
    <row r="18" spans="1:5" s="506" customFormat="1" ht="12.75">
      <c r="A18" s="512">
        <v>5</v>
      </c>
      <c r="B18" s="511" t="s">
        <v>931</v>
      </c>
      <c r="C18" s="513">
        <v>1130922</v>
      </c>
      <c r="D18" s="515">
        <v>1304309</v>
      </c>
      <c r="E18" s="514">
        <f t="shared" si="0"/>
        <v>173387</v>
      </c>
    </row>
    <row r="19" spans="1:5" s="506" customFormat="1" ht="12.75">
      <c r="A19" s="512">
        <v>6</v>
      </c>
      <c r="B19" s="511" t="s">
        <v>634</v>
      </c>
      <c r="C19" s="513">
        <v>410335</v>
      </c>
      <c r="D19" s="515">
        <v>423693</v>
      </c>
      <c r="E19" s="514">
        <f t="shared" si="0"/>
        <v>13358</v>
      </c>
    </row>
    <row r="20" spans="1:5" s="506" customFormat="1" ht="12.75">
      <c r="A20" s="512">
        <v>7</v>
      </c>
      <c r="B20" s="511" t="s">
        <v>946</v>
      </c>
      <c r="C20" s="513">
        <v>2592114</v>
      </c>
      <c r="D20" s="515">
        <v>2666773</v>
      </c>
      <c r="E20" s="514">
        <f t="shared" si="0"/>
        <v>74659</v>
      </c>
    </row>
    <row r="21" spans="1:5" s="506" customFormat="1" ht="12.75">
      <c r="A21" s="512"/>
      <c r="B21" s="516" t="s">
        <v>965</v>
      </c>
      <c r="C21" s="517">
        <f>SUM(C15+C16+C19)</f>
        <v>72108804</v>
      </c>
      <c r="D21" s="517">
        <f>SUM(D15+D16+D19)</f>
        <v>58893308</v>
      </c>
      <c r="E21" s="517">
        <f t="shared" si="0"/>
        <v>-13215496</v>
      </c>
    </row>
    <row r="22" spans="1:5" s="506" customFormat="1" ht="12.75">
      <c r="A22" s="512"/>
      <c r="B22" s="516" t="s">
        <v>905</v>
      </c>
      <c r="C22" s="517">
        <f>SUM(C14+C21)</f>
        <v>100081615</v>
      </c>
      <c r="D22" s="517">
        <f>SUM(D14+D21)</f>
        <v>83077033</v>
      </c>
      <c r="E22" s="517">
        <f t="shared" si="0"/>
        <v>-17004582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242</v>
      </c>
      <c r="B24" s="509" t="s">
        <v>966</v>
      </c>
      <c r="C24" s="511"/>
      <c r="D24" s="511"/>
      <c r="E24" s="511"/>
    </row>
    <row r="25" spans="1:5" s="506" customFormat="1" ht="12.75">
      <c r="A25" s="512">
        <v>1</v>
      </c>
      <c r="B25" s="511" t="s">
        <v>839</v>
      </c>
      <c r="C25" s="513">
        <v>80453454</v>
      </c>
      <c r="D25" s="513">
        <v>65316409</v>
      </c>
      <c r="E25" s="514">
        <f aca="true" t="shared" si="1" ref="E25:E33">D25-C25</f>
        <v>-15137045</v>
      </c>
    </row>
    <row r="26" spans="1:5" s="506" customFormat="1" ht="12.75">
      <c r="A26" s="512">
        <v>2</v>
      </c>
      <c r="B26" s="511" t="s">
        <v>818</v>
      </c>
      <c r="C26" s="513">
        <v>42349672</v>
      </c>
      <c r="D26" s="515">
        <v>35476768</v>
      </c>
      <c r="E26" s="514">
        <f t="shared" si="1"/>
        <v>-6872904</v>
      </c>
    </row>
    <row r="27" spans="1:5" s="506" customFormat="1" ht="12.75">
      <c r="A27" s="512">
        <v>3</v>
      </c>
      <c r="B27" s="511" t="s">
        <v>964</v>
      </c>
      <c r="C27" s="513">
        <v>12983410</v>
      </c>
      <c r="D27" s="515">
        <v>11071723</v>
      </c>
      <c r="E27" s="514">
        <f t="shared" si="1"/>
        <v>-1911687</v>
      </c>
    </row>
    <row r="28" spans="1:5" s="506" customFormat="1" ht="12.75">
      <c r="A28" s="512">
        <v>4</v>
      </c>
      <c r="B28" s="511" t="s">
        <v>330</v>
      </c>
      <c r="C28" s="513">
        <v>10976511</v>
      </c>
      <c r="D28" s="515">
        <v>9428967</v>
      </c>
      <c r="E28" s="514">
        <f t="shared" si="1"/>
        <v>-1547544</v>
      </c>
    </row>
    <row r="29" spans="1:5" s="506" customFormat="1" ht="12.75">
      <c r="A29" s="512">
        <v>5</v>
      </c>
      <c r="B29" s="511" t="s">
        <v>931</v>
      </c>
      <c r="C29" s="513">
        <v>2006899</v>
      </c>
      <c r="D29" s="515">
        <v>1642756</v>
      </c>
      <c r="E29" s="514">
        <f t="shared" si="1"/>
        <v>-364143</v>
      </c>
    </row>
    <row r="30" spans="1:5" s="506" customFormat="1" ht="12.75">
      <c r="A30" s="512">
        <v>6</v>
      </c>
      <c r="B30" s="511" t="s">
        <v>634</v>
      </c>
      <c r="C30" s="513">
        <v>737228</v>
      </c>
      <c r="D30" s="515">
        <v>652602</v>
      </c>
      <c r="E30" s="514">
        <f t="shared" si="1"/>
        <v>-84626</v>
      </c>
    </row>
    <row r="31" spans="1:5" s="506" customFormat="1" ht="12.75">
      <c r="A31" s="512">
        <v>7</v>
      </c>
      <c r="B31" s="511" t="s">
        <v>946</v>
      </c>
      <c r="C31" s="514">
        <v>5979741</v>
      </c>
      <c r="D31" s="518">
        <v>4781994</v>
      </c>
      <c r="E31" s="514">
        <f t="shared" si="1"/>
        <v>-1197747</v>
      </c>
    </row>
    <row r="32" spans="1:5" s="506" customFormat="1" ht="12.75">
      <c r="A32" s="512"/>
      <c r="B32" s="516" t="s">
        <v>967</v>
      </c>
      <c r="C32" s="517">
        <f>SUM(C26+C27+C30)</f>
        <v>56070310</v>
      </c>
      <c r="D32" s="517">
        <f>SUM(D26+D27+D30)</f>
        <v>47201093</v>
      </c>
      <c r="E32" s="517">
        <f t="shared" si="1"/>
        <v>-8869217</v>
      </c>
    </row>
    <row r="33" spans="1:5" s="506" customFormat="1" ht="12.75">
      <c r="A33" s="512"/>
      <c r="B33" s="516" t="s">
        <v>911</v>
      </c>
      <c r="C33" s="517">
        <f>SUM(C25+C32)</f>
        <v>136523764</v>
      </c>
      <c r="D33" s="517">
        <f>SUM(D25+D32)</f>
        <v>112517502</v>
      </c>
      <c r="E33" s="517">
        <f t="shared" si="1"/>
        <v>-24006262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252</v>
      </c>
      <c r="B35" s="509" t="s">
        <v>836</v>
      </c>
      <c r="C35" s="514"/>
      <c r="D35" s="514"/>
      <c r="E35" s="511"/>
    </row>
    <row r="36" spans="1:5" s="506" customFormat="1" ht="12.75">
      <c r="A36" s="512">
        <v>1</v>
      </c>
      <c r="B36" s="511" t="s">
        <v>968</v>
      </c>
      <c r="C36" s="514">
        <f aca="true" t="shared" si="2" ref="C36:D42">C14+C25</f>
        <v>108426265</v>
      </c>
      <c r="D36" s="514">
        <f t="shared" si="2"/>
        <v>89500134</v>
      </c>
      <c r="E36" s="514">
        <f aca="true" t="shared" si="3" ref="E36:E44">D36-C36</f>
        <v>-18926131</v>
      </c>
    </row>
    <row r="37" spans="1:5" s="506" customFormat="1" ht="12.75">
      <c r="A37" s="512">
        <v>2</v>
      </c>
      <c r="B37" s="511" t="s">
        <v>969</v>
      </c>
      <c r="C37" s="514">
        <f t="shared" si="2"/>
        <v>104380257</v>
      </c>
      <c r="D37" s="514">
        <f t="shared" si="2"/>
        <v>87333452</v>
      </c>
      <c r="E37" s="514">
        <f t="shared" si="3"/>
        <v>-17046805</v>
      </c>
    </row>
    <row r="38" spans="1:5" s="506" customFormat="1" ht="12.75">
      <c r="A38" s="512">
        <v>3</v>
      </c>
      <c r="B38" s="511" t="s">
        <v>970</v>
      </c>
      <c r="C38" s="514">
        <f t="shared" si="2"/>
        <v>22651294</v>
      </c>
      <c r="D38" s="514">
        <f t="shared" si="2"/>
        <v>17684654</v>
      </c>
      <c r="E38" s="514">
        <f t="shared" si="3"/>
        <v>-4966640</v>
      </c>
    </row>
    <row r="39" spans="1:5" s="506" customFormat="1" ht="12.75">
      <c r="A39" s="512">
        <v>4</v>
      </c>
      <c r="B39" s="511" t="s">
        <v>971</v>
      </c>
      <c r="C39" s="514">
        <f t="shared" si="2"/>
        <v>19513473</v>
      </c>
      <c r="D39" s="514">
        <f t="shared" si="2"/>
        <v>14737589</v>
      </c>
      <c r="E39" s="514">
        <f t="shared" si="3"/>
        <v>-4775884</v>
      </c>
    </row>
    <row r="40" spans="1:5" s="506" customFormat="1" ht="12.75">
      <c r="A40" s="512">
        <v>5</v>
      </c>
      <c r="B40" s="511" t="s">
        <v>972</v>
      </c>
      <c r="C40" s="514">
        <f t="shared" si="2"/>
        <v>3137821</v>
      </c>
      <c r="D40" s="514">
        <f t="shared" si="2"/>
        <v>2947065</v>
      </c>
      <c r="E40" s="514">
        <f t="shared" si="3"/>
        <v>-190756</v>
      </c>
    </row>
    <row r="41" spans="1:5" s="506" customFormat="1" ht="12.75">
      <c r="A41" s="512">
        <v>6</v>
      </c>
      <c r="B41" s="511" t="s">
        <v>973</v>
      </c>
      <c r="C41" s="514">
        <f t="shared" si="2"/>
        <v>1147563</v>
      </c>
      <c r="D41" s="514">
        <f t="shared" si="2"/>
        <v>1076295</v>
      </c>
      <c r="E41" s="514">
        <f t="shared" si="3"/>
        <v>-71268</v>
      </c>
    </row>
    <row r="42" spans="1:5" s="506" customFormat="1" ht="12.75">
      <c r="A42" s="512">
        <v>7</v>
      </c>
      <c r="B42" s="511" t="s">
        <v>974</v>
      </c>
      <c r="C42" s="514">
        <f t="shared" si="2"/>
        <v>8571855</v>
      </c>
      <c r="D42" s="514">
        <f t="shared" si="2"/>
        <v>7448767</v>
      </c>
      <c r="E42" s="514">
        <f t="shared" si="3"/>
        <v>-1123088</v>
      </c>
    </row>
    <row r="43" spans="1:5" s="506" customFormat="1" ht="12.75">
      <c r="A43" s="512"/>
      <c r="B43" s="516" t="s">
        <v>975</v>
      </c>
      <c r="C43" s="517">
        <f>SUM(C37+C38+C41)</f>
        <v>128179114</v>
      </c>
      <c r="D43" s="517">
        <f>SUM(D37+D38+D41)</f>
        <v>106094401</v>
      </c>
      <c r="E43" s="517">
        <f t="shared" si="3"/>
        <v>-22084713</v>
      </c>
    </row>
    <row r="44" spans="1:5" s="506" customFormat="1" ht="12.75">
      <c r="A44" s="512"/>
      <c r="B44" s="516" t="s">
        <v>913</v>
      </c>
      <c r="C44" s="517">
        <f>SUM(C36+C43)</f>
        <v>236605379</v>
      </c>
      <c r="D44" s="517">
        <f>SUM(D36+D43)</f>
        <v>195594535</v>
      </c>
      <c r="E44" s="517">
        <f t="shared" si="3"/>
        <v>-41010844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537</v>
      </c>
      <c r="B46" s="509" t="s">
        <v>976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839</v>
      </c>
      <c r="C47" s="513">
        <v>6416491</v>
      </c>
      <c r="D47" s="513">
        <v>8751723</v>
      </c>
      <c r="E47" s="514">
        <f aca="true" t="shared" si="4" ref="E47:E55">D47-C47</f>
        <v>2335232</v>
      </c>
    </row>
    <row r="48" spans="1:5" s="506" customFormat="1" ht="12.75">
      <c r="A48" s="512">
        <v>2</v>
      </c>
      <c r="B48" s="511" t="s">
        <v>818</v>
      </c>
      <c r="C48" s="513">
        <v>16776300</v>
      </c>
      <c r="D48" s="515">
        <v>14638639</v>
      </c>
      <c r="E48" s="514">
        <f t="shared" si="4"/>
        <v>-2137661</v>
      </c>
    </row>
    <row r="49" spans="1:5" s="506" customFormat="1" ht="12.75">
      <c r="A49" s="512">
        <v>3</v>
      </c>
      <c r="B49" s="511" t="s">
        <v>964</v>
      </c>
      <c r="C49" s="513">
        <v>1963064</v>
      </c>
      <c r="D49" s="515">
        <v>1541922</v>
      </c>
      <c r="E49" s="514">
        <f t="shared" si="4"/>
        <v>-421142</v>
      </c>
    </row>
    <row r="50" spans="1:5" s="506" customFormat="1" ht="12.75">
      <c r="A50" s="512">
        <v>4</v>
      </c>
      <c r="B50" s="511" t="s">
        <v>330</v>
      </c>
      <c r="C50" s="513">
        <v>1851555</v>
      </c>
      <c r="D50" s="515">
        <v>1393883</v>
      </c>
      <c r="E50" s="514">
        <f t="shared" si="4"/>
        <v>-457672</v>
      </c>
    </row>
    <row r="51" spans="1:5" s="506" customFormat="1" ht="12.75">
      <c r="A51" s="512">
        <v>5</v>
      </c>
      <c r="B51" s="511" t="s">
        <v>931</v>
      </c>
      <c r="C51" s="513">
        <v>111509</v>
      </c>
      <c r="D51" s="515">
        <v>148039</v>
      </c>
      <c r="E51" s="514">
        <f t="shared" si="4"/>
        <v>36530</v>
      </c>
    </row>
    <row r="52" spans="1:5" s="506" customFormat="1" ht="12.75">
      <c r="A52" s="512">
        <v>6</v>
      </c>
      <c r="B52" s="511" t="s">
        <v>634</v>
      </c>
      <c r="C52" s="513">
        <v>126999</v>
      </c>
      <c r="D52" s="515">
        <v>39949</v>
      </c>
      <c r="E52" s="514">
        <f t="shared" si="4"/>
        <v>-87050</v>
      </c>
    </row>
    <row r="53" spans="1:5" s="506" customFormat="1" ht="12.75">
      <c r="A53" s="512">
        <v>7</v>
      </c>
      <c r="B53" s="511" t="s">
        <v>946</v>
      </c>
      <c r="C53" s="513">
        <v>773746</v>
      </c>
      <c r="D53" s="515">
        <v>26382</v>
      </c>
      <c r="E53" s="514">
        <f t="shared" si="4"/>
        <v>-747364</v>
      </c>
    </row>
    <row r="54" spans="1:5" s="506" customFormat="1" ht="12.75">
      <c r="A54" s="512"/>
      <c r="B54" s="516" t="s">
        <v>977</v>
      </c>
      <c r="C54" s="517">
        <f>SUM(C48+C49+C52)</f>
        <v>18866363</v>
      </c>
      <c r="D54" s="517">
        <f>SUM(D48+D49+D52)</f>
        <v>16220510</v>
      </c>
      <c r="E54" s="517">
        <f t="shared" si="4"/>
        <v>-2645853</v>
      </c>
    </row>
    <row r="55" spans="1:5" s="506" customFormat="1" ht="12.75">
      <c r="A55" s="512"/>
      <c r="B55" s="516" t="s">
        <v>906</v>
      </c>
      <c r="C55" s="517">
        <f>SUM(C47+C54)</f>
        <v>25282854</v>
      </c>
      <c r="D55" s="517">
        <f>SUM(D47+D54)</f>
        <v>24972233</v>
      </c>
      <c r="E55" s="517">
        <f t="shared" si="4"/>
        <v>-310621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558</v>
      </c>
      <c r="B57" s="509" t="s">
        <v>978</v>
      </c>
      <c r="C57" s="499"/>
      <c r="D57" s="515"/>
      <c r="E57" s="511"/>
    </row>
    <row r="58" spans="1:5" s="506" customFormat="1" ht="12.75">
      <c r="A58" s="512">
        <v>1</v>
      </c>
      <c r="B58" s="511" t="s">
        <v>839</v>
      </c>
      <c r="C58" s="513">
        <v>34830391</v>
      </c>
      <c r="D58" s="513">
        <v>28858599</v>
      </c>
      <c r="E58" s="514">
        <f aca="true" t="shared" si="5" ref="E58:E66">D58-C58</f>
        <v>-5971792</v>
      </c>
    </row>
    <row r="59" spans="1:5" s="506" customFormat="1" ht="12.75">
      <c r="A59" s="512">
        <v>2</v>
      </c>
      <c r="B59" s="511" t="s">
        <v>818</v>
      </c>
      <c r="C59" s="513">
        <v>7913212</v>
      </c>
      <c r="D59" s="515">
        <v>7161657</v>
      </c>
      <c r="E59" s="514">
        <f t="shared" si="5"/>
        <v>-751555</v>
      </c>
    </row>
    <row r="60" spans="1:5" s="506" customFormat="1" ht="12.75">
      <c r="A60" s="512">
        <v>3</v>
      </c>
      <c r="B60" s="511" t="s">
        <v>964</v>
      </c>
      <c r="C60" s="513">
        <f>C61+C62</f>
        <v>2591710</v>
      </c>
      <c r="D60" s="515">
        <f>D61+D62</f>
        <v>2291509</v>
      </c>
      <c r="E60" s="514">
        <f t="shared" si="5"/>
        <v>-300201</v>
      </c>
    </row>
    <row r="61" spans="1:5" s="506" customFormat="1" ht="12.75">
      <c r="A61" s="512">
        <v>4</v>
      </c>
      <c r="B61" s="511" t="s">
        <v>330</v>
      </c>
      <c r="C61" s="513">
        <v>2323388</v>
      </c>
      <c r="D61" s="515">
        <v>2176516</v>
      </c>
      <c r="E61" s="514">
        <f t="shared" si="5"/>
        <v>-146872</v>
      </c>
    </row>
    <row r="62" spans="1:5" s="506" customFormat="1" ht="12.75">
      <c r="A62" s="512">
        <v>5</v>
      </c>
      <c r="B62" s="511" t="s">
        <v>931</v>
      </c>
      <c r="C62" s="513">
        <v>268322</v>
      </c>
      <c r="D62" s="515">
        <v>114993</v>
      </c>
      <c r="E62" s="514">
        <f t="shared" si="5"/>
        <v>-153329</v>
      </c>
    </row>
    <row r="63" spans="1:5" s="506" customFormat="1" ht="12.75">
      <c r="A63" s="512">
        <v>6</v>
      </c>
      <c r="B63" s="511" t="s">
        <v>634</v>
      </c>
      <c r="C63" s="513">
        <v>214754</v>
      </c>
      <c r="D63" s="515">
        <v>113167</v>
      </c>
      <c r="E63" s="514">
        <f t="shared" si="5"/>
        <v>-101587</v>
      </c>
    </row>
    <row r="64" spans="1:5" s="506" customFormat="1" ht="12.75">
      <c r="A64" s="512">
        <v>7</v>
      </c>
      <c r="B64" s="511" t="s">
        <v>946</v>
      </c>
      <c r="C64" s="513">
        <v>1741301</v>
      </c>
      <c r="D64" s="515">
        <v>792161</v>
      </c>
      <c r="E64" s="514">
        <f t="shared" si="5"/>
        <v>-949140</v>
      </c>
    </row>
    <row r="65" spans="1:5" s="506" customFormat="1" ht="12.75">
      <c r="A65" s="512"/>
      <c r="B65" s="516" t="s">
        <v>979</v>
      </c>
      <c r="C65" s="517">
        <f>SUM(C59+C60+C63)</f>
        <v>10719676</v>
      </c>
      <c r="D65" s="517">
        <f>SUM(D59+D60+D63)</f>
        <v>9566333</v>
      </c>
      <c r="E65" s="517">
        <f t="shared" si="5"/>
        <v>-1153343</v>
      </c>
    </row>
    <row r="66" spans="1:5" s="506" customFormat="1" ht="12.75">
      <c r="A66" s="512"/>
      <c r="B66" s="516" t="s">
        <v>912</v>
      </c>
      <c r="C66" s="517">
        <f>SUM(C58+C65)</f>
        <v>45550067</v>
      </c>
      <c r="D66" s="517">
        <f>SUM(D58+D65)</f>
        <v>38424932</v>
      </c>
      <c r="E66" s="517">
        <f t="shared" si="5"/>
        <v>-7125135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570</v>
      </c>
      <c r="B68" s="521" t="s">
        <v>837</v>
      </c>
      <c r="C68" s="511"/>
      <c r="D68" s="511"/>
      <c r="E68" s="511"/>
    </row>
    <row r="69" spans="1:5" s="506" customFormat="1" ht="12.75">
      <c r="A69" s="512">
        <v>1</v>
      </c>
      <c r="B69" s="511" t="s">
        <v>968</v>
      </c>
      <c r="C69" s="514">
        <f aca="true" t="shared" si="6" ref="C69:D75">C47+C58</f>
        <v>41246882</v>
      </c>
      <c r="D69" s="514">
        <f t="shared" si="6"/>
        <v>37610322</v>
      </c>
      <c r="E69" s="514">
        <f aca="true" t="shared" si="7" ref="E69:E77">D69-C69</f>
        <v>-3636560</v>
      </c>
    </row>
    <row r="70" spans="1:5" s="506" customFormat="1" ht="12.75">
      <c r="A70" s="512">
        <v>2</v>
      </c>
      <c r="B70" s="511" t="s">
        <v>969</v>
      </c>
      <c r="C70" s="514">
        <f t="shared" si="6"/>
        <v>24689512</v>
      </c>
      <c r="D70" s="514">
        <f t="shared" si="6"/>
        <v>21800296</v>
      </c>
      <c r="E70" s="514">
        <f t="shared" si="7"/>
        <v>-2889216</v>
      </c>
    </row>
    <row r="71" spans="1:5" s="506" customFormat="1" ht="12.75">
      <c r="A71" s="512">
        <v>3</v>
      </c>
      <c r="B71" s="511" t="s">
        <v>970</v>
      </c>
      <c r="C71" s="514">
        <f t="shared" si="6"/>
        <v>4554774</v>
      </c>
      <c r="D71" s="514">
        <f t="shared" si="6"/>
        <v>3833431</v>
      </c>
      <c r="E71" s="514">
        <f t="shared" si="7"/>
        <v>-721343</v>
      </c>
    </row>
    <row r="72" spans="1:5" s="506" customFormat="1" ht="12.75">
      <c r="A72" s="512">
        <v>4</v>
      </c>
      <c r="B72" s="511" t="s">
        <v>971</v>
      </c>
      <c r="C72" s="514">
        <f t="shared" si="6"/>
        <v>4174943</v>
      </c>
      <c r="D72" s="514">
        <f t="shared" si="6"/>
        <v>3570399</v>
      </c>
      <c r="E72" s="514">
        <f t="shared" si="7"/>
        <v>-604544</v>
      </c>
    </row>
    <row r="73" spans="1:5" s="506" customFormat="1" ht="12.75">
      <c r="A73" s="512">
        <v>5</v>
      </c>
      <c r="B73" s="511" t="s">
        <v>972</v>
      </c>
      <c r="C73" s="514">
        <f t="shared" si="6"/>
        <v>379831</v>
      </c>
      <c r="D73" s="514">
        <f t="shared" si="6"/>
        <v>263032</v>
      </c>
      <c r="E73" s="514">
        <f t="shared" si="7"/>
        <v>-116799</v>
      </c>
    </row>
    <row r="74" spans="1:5" s="506" customFormat="1" ht="12.75">
      <c r="A74" s="512">
        <v>6</v>
      </c>
      <c r="B74" s="511" t="s">
        <v>973</v>
      </c>
      <c r="C74" s="514">
        <f t="shared" si="6"/>
        <v>341753</v>
      </c>
      <c r="D74" s="514">
        <f t="shared" si="6"/>
        <v>153116</v>
      </c>
      <c r="E74" s="514">
        <f t="shared" si="7"/>
        <v>-188637</v>
      </c>
    </row>
    <row r="75" spans="1:5" s="506" customFormat="1" ht="12.75">
      <c r="A75" s="512">
        <v>7</v>
      </c>
      <c r="B75" s="511" t="s">
        <v>974</v>
      </c>
      <c r="C75" s="514">
        <f t="shared" si="6"/>
        <v>2515047</v>
      </c>
      <c r="D75" s="514">
        <f t="shared" si="6"/>
        <v>818543</v>
      </c>
      <c r="E75" s="514">
        <f t="shared" si="7"/>
        <v>-1696504</v>
      </c>
    </row>
    <row r="76" spans="1:5" s="506" customFormat="1" ht="12.75">
      <c r="A76" s="512"/>
      <c r="B76" s="516" t="s">
        <v>0</v>
      </c>
      <c r="C76" s="517">
        <f>SUM(C70+C71+C74)</f>
        <v>29586039</v>
      </c>
      <c r="D76" s="517">
        <f>SUM(D70+D71+D74)</f>
        <v>25786843</v>
      </c>
      <c r="E76" s="517">
        <f t="shared" si="7"/>
        <v>-3799196</v>
      </c>
    </row>
    <row r="77" spans="1:5" s="506" customFormat="1" ht="12.75">
      <c r="A77" s="512"/>
      <c r="B77" s="516" t="s">
        <v>914</v>
      </c>
      <c r="C77" s="517">
        <f>SUM(C69+C76)</f>
        <v>70832921</v>
      </c>
      <c r="D77" s="517">
        <f>SUM(D69+D76)</f>
        <v>63397165</v>
      </c>
      <c r="E77" s="517">
        <f t="shared" si="7"/>
        <v>-7435756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260</v>
      </c>
      <c r="B79" s="501" t="s">
        <v>1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230</v>
      </c>
      <c r="B81" s="522" t="s">
        <v>2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839</v>
      </c>
      <c r="C83" s="523">
        <f aca="true" t="shared" si="8" ref="C83:D89">IF(C$44=0,0,C14/C$44)</f>
        <v>0.11822559198876033</v>
      </c>
      <c r="D83" s="523">
        <f t="shared" si="8"/>
        <v>0.12364213038978825</v>
      </c>
      <c r="E83" s="523">
        <f aca="true" t="shared" si="9" ref="E83:E91">D83-C83</f>
        <v>0.005416538401027918</v>
      </c>
    </row>
    <row r="84" spans="1:5" s="506" customFormat="1" ht="12.75">
      <c r="A84" s="512">
        <v>2</v>
      </c>
      <c r="B84" s="511" t="s">
        <v>818</v>
      </c>
      <c r="C84" s="523">
        <f t="shared" si="8"/>
        <v>0.2621689551698653</v>
      </c>
      <c r="D84" s="523">
        <f t="shared" si="8"/>
        <v>0.2651233788305997</v>
      </c>
      <c r="E84" s="523">
        <f t="shared" si="9"/>
        <v>0.0029544236607343954</v>
      </c>
    </row>
    <row r="85" spans="1:5" s="506" customFormat="1" ht="12.75">
      <c r="A85" s="512">
        <v>3</v>
      </c>
      <c r="B85" s="511" t="s">
        <v>964</v>
      </c>
      <c r="C85" s="523">
        <f t="shared" si="8"/>
        <v>0.04086079547667427</v>
      </c>
      <c r="D85" s="523">
        <f t="shared" si="8"/>
        <v>0.03380938531845994</v>
      </c>
      <c r="E85" s="523">
        <f t="shared" si="9"/>
        <v>-0.007051410158214325</v>
      </c>
    </row>
    <row r="86" spans="1:5" s="506" customFormat="1" ht="12.75">
      <c r="A86" s="512">
        <v>4</v>
      </c>
      <c r="B86" s="511" t="s">
        <v>330</v>
      </c>
      <c r="C86" s="523">
        <f t="shared" si="8"/>
        <v>0.03608101403307488</v>
      </c>
      <c r="D86" s="523">
        <f t="shared" si="8"/>
        <v>0.027140952583363333</v>
      </c>
      <c r="E86" s="523">
        <f t="shared" si="9"/>
        <v>-0.008940061449711545</v>
      </c>
    </row>
    <row r="87" spans="1:5" s="506" customFormat="1" ht="12.75">
      <c r="A87" s="512">
        <v>5</v>
      </c>
      <c r="B87" s="511" t="s">
        <v>931</v>
      </c>
      <c r="C87" s="523">
        <f t="shared" si="8"/>
        <v>0.004779781443599387</v>
      </c>
      <c r="D87" s="523">
        <f t="shared" si="8"/>
        <v>0.006668432735096612</v>
      </c>
      <c r="E87" s="523">
        <f t="shared" si="9"/>
        <v>0.0018886512914972255</v>
      </c>
    </row>
    <row r="88" spans="1:5" s="506" customFormat="1" ht="12.75">
      <c r="A88" s="512">
        <v>6</v>
      </c>
      <c r="B88" s="511" t="s">
        <v>634</v>
      </c>
      <c r="C88" s="523">
        <f t="shared" si="8"/>
        <v>0.0017342589662765022</v>
      </c>
      <c r="D88" s="523">
        <f t="shared" si="8"/>
        <v>0.00216618015426658</v>
      </c>
      <c r="E88" s="523">
        <f t="shared" si="9"/>
        <v>0.00043192118799007797</v>
      </c>
    </row>
    <row r="89" spans="1:5" s="506" customFormat="1" ht="12.75">
      <c r="A89" s="512">
        <v>7</v>
      </c>
      <c r="B89" s="511" t="s">
        <v>946</v>
      </c>
      <c r="C89" s="523">
        <f t="shared" si="8"/>
        <v>0.010955431406316421</v>
      </c>
      <c r="D89" s="523">
        <f t="shared" si="8"/>
        <v>0.013634189728255955</v>
      </c>
      <c r="E89" s="523">
        <f t="shared" si="9"/>
        <v>0.002678758321939534</v>
      </c>
    </row>
    <row r="90" spans="1:5" s="506" customFormat="1" ht="12.75">
      <c r="A90" s="512"/>
      <c r="B90" s="516" t="s">
        <v>3</v>
      </c>
      <c r="C90" s="524">
        <f>SUM(C84+C85+C88)</f>
        <v>0.3047640096128161</v>
      </c>
      <c r="D90" s="524">
        <f>SUM(D84+D85+D88)</f>
        <v>0.30109894430332623</v>
      </c>
      <c r="E90" s="525">
        <f t="shared" si="9"/>
        <v>-0.0036650653094898455</v>
      </c>
    </row>
    <row r="91" spans="1:5" s="506" customFormat="1" ht="12.75">
      <c r="A91" s="512"/>
      <c r="B91" s="516" t="s">
        <v>4</v>
      </c>
      <c r="C91" s="524">
        <f>SUM(C83+C90)</f>
        <v>0.4229896016015764</v>
      </c>
      <c r="D91" s="524">
        <f>SUM(D83+D90)</f>
        <v>0.4247410746931145</v>
      </c>
      <c r="E91" s="525">
        <f t="shared" si="9"/>
        <v>0.0017514730915381138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242</v>
      </c>
      <c r="B93" s="522" t="s">
        <v>5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839</v>
      </c>
      <c r="C95" s="523">
        <f aca="true" t="shared" si="10" ref="C95:D101">IF(C$44=0,0,C25/C$44)</f>
        <v>0.3400322272470399</v>
      </c>
      <c r="D95" s="523">
        <f t="shared" si="10"/>
        <v>0.3339378014830527</v>
      </c>
      <c r="E95" s="523">
        <f aca="true" t="shared" si="11" ref="E95:E103">D95-C95</f>
        <v>-0.006094425763987221</v>
      </c>
    </row>
    <row r="96" spans="1:5" s="506" customFormat="1" ht="12.75">
      <c r="A96" s="512">
        <v>2</v>
      </c>
      <c r="B96" s="511" t="s">
        <v>818</v>
      </c>
      <c r="C96" s="523">
        <f t="shared" si="10"/>
        <v>0.17898862730420004</v>
      </c>
      <c r="D96" s="523">
        <f t="shared" si="10"/>
        <v>0.18137913720339885</v>
      </c>
      <c r="E96" s="523">
        <f t="shared" si="11"/>
        <v>0.0023905098991988116</v>
      </c>
    </row>
    <row r="97" spans="1:5" s="506" customFormat="1" ht="12.75">
      <c r="A97" s="512">
        <v>3</v>
      </c>
      <c r="B97" s="511" t="s">
        <v>964</v>
      </c>
      <c r="C97" s="523">
        <f t="shared" si="10"/>
        <v>0.054873689071963154</v>
      </c>
      <c r="D97" s="523">
        <f t="shared" si="10"/>
        <v>0.056605482356651735</v>
      </c>
      <c r="E97" s="523">
        <f t="shared" si="11"/>
        <v>0.0017317932846885806</v>
      </c>
    </row>
    <row r="98" spans="1:5" s="506" customFormat="1" ht="12.75">
      <c r="A98" s="512">
        <v>4</v>
      </c>
      <c r="B98" s="511" t="s">
        <v>330</v>
      </c>
      <c r="C98" s="523">
        <f t="shared" si="10"/>
        <v>0.04639163761361486</v>
      </c>
      <c r="D98" s="523">
        <f t="shared" si="10"/>
        <v>0.048206699640150986</v>
      </c>
      <c r="E98" s="523">
        <f t="shared" si="11"/>
        <v>0.0018150620265361267</v>
      </c>
    </row>
    <row r="99" spans="1:5" s="506" customFormat="1" ht="12.75">
      <c r="A99" s="512">
        <v>5</v>
      </c>
      <c r="B99" s="511" t="s">
        <v>931</v>
      </c>
      <c r="C99" s="523">
        <f t="shared" si="10"/>
        <v>0.00848205145834829</v>
      </c>
      <c r="D99" s="523">
        <f t="shared" si="10"/>
        <v>0.008398782716500745</v>
      </c>
      <c r="E99" s="523">
        <f t="shared" si="11"/>
        <v>-8.326874184754612E-05</v>
      </c>
    </row>
    <row r="100" spans="1:5" s="506" customFormat="1" ht="12.75">
      <c r="A100" s="512">
        <v>6</v>
      </c>
      <c r="B100" s="511" t="s">
        <v>634</v>
      </c>
      <c r="C100" s="523">
        <f t="shared" si="10"/>
        <v>0.0031158547752204737</v>
      </c>
      <c r="D100" s="523">
        <f t="shared" si="10"/>
        <v>0.0033365042637822167</v>
      </c>
      <c r="E100" s="523">
        <f t="shared" si="11"/>
        <v>0.000220649488561743</v>
      </c>
    </row>
    <row r="101" spans="1:5" s="506" customFormat="1" ht="12.75">
      <c r="A101" s="512">
        <v>7</v>
      </c>
      <c r="B101" s="511" t="s">
        <v>946</v>
      </c>
      <c r="C101" s="523">
        <f t="shared" si="10"/>
        <v>0.02527305602802885</v>
      </c>
      <c r="D101" s="523">
        <f t="shared" si="10"/>
        <v>0.024448505169124484</v>
      </c>
      <c r="E101" s="523">
        <f t="shared" si="11"/>
        <v>-0.0008245508589043646</v>
      </c>
    </row>
    <row r="102" spans="1:5" s="506" customFormat="1" ht="12.75">
      <c r="A102" s="512"/>
      <c r="B102" s="516" t="s">
        <v>6</v>
      </c>
      <c r="C102" s="524">
        <f>SUM(C96+C97+C100)</f>
        <v>0.23697817115138367</v>
      </c>
      <c r="D102" s="524">
        <f>SUM(D96+D97+D100)</f>
        <v>0.24132112382383278</v>
      </c>
      <c r="E102" s="525">
        <f t="shared" si="11"/>
        <v>0.004342952672449107</v>
      </c>
    </row>
    <row r="103" spans="1:5" s="506" customFormat="1" ht="12.75">
      <c r="A103" s="512"/>
      <c r="B103" s="516" t="s">
        <v>7</v>
      </c>
      <c r="C103" s="524">
        <f>SUM(C95+C102)</f>
        <v>0.5770103983984236</v>
      </c>
      <c r="D103" s="524">
        <f>SUM(D95+D102)</f>
        <v>0.5752589253068855</v>
      </c>
      <c r="E103" s="525">
        <f t="shared" si="11"/>
        <v>-0.0017514730915381138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8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252</v>
      </c>
      <c r="B107" s="522" t="s">
        <v>9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839</v>
      </c>
      <c r="C109" s="523">
        <f aca="true" t="shared" si="12" ref="C109:D115">IF(C$77=0,0,C47/C$77)</f>
        <v>0.09058628261285455</v>
      </c>
      <c r="D109" s="523">
        <f t="shared" si="12"/>
        <v>0.13804596782837214</v>
      </c>
      <c r="E109" s="523">
        <f aca="true" t="shared" si="13" ref="E109:E117">D109-C109</f>
        <v>0.04745968521551759</v>
      </c>
    </row>
    <row r="110" spans="1:5" s="506" customFormat="1" ht="12.75">
      <c r="A110" s="512">
        <v>2</v>
      </c>
      <c r="B110" s="511" t="s">
        <v>818</v>
      </c>
      <c r="C110" s="523">
        <f t="shared" si="12"/>
        <v>0.23684326105935968</v>
      </c>
      <c r="D110" s="523">
        <f t="shared" si="12"/>
        <v>0.2309036847310128</v>
      </c>
      <c r="E110" s="523">
        <f t="shared" si="13"/>
        <v>-0.005939576328346879</v>
      </c>
    </row>
    <row r="111" spans="1:5" s="506" customFormat="1" ht="12.75">
      <c r="A111" s="512">
        <v>3</v>
      </c>
      <c r="B111" s="511" t="s">
        <v>964</v>
      </c>
      <c r="C111" s="523">
        <f t="shared" si="12"/>
        <v>0.027714006034002182</v>
      </c>
      <c r="D111" s="523">
        <f t="shared" si="12"/>
        <v>0.02432162384548268</v>
      </c>
      <c r="E111" s="523">
        <f t="shared" si="13"/>
        <v>-0.0033923821885195014</v>
      </c>
    </row>
    <row r="112" spans="1:5" s="506" customFormat="1" ht="12.75">
      <c r="A112" s="512">
        <v>4</v>
      </c>
      <c r="B112" s="511" t="s">
        <v>330</v>
      </c>
      <c r="C112" s="523">
        <f t="shared" si="12"/>
        <v>0.026139752164110245</v>
      </c>
      <c r="D112" s="523">
        <f t="shared" si="12"/>
        <v>0.021986519428747325</v>
      </c>
      <c r="E112" s="523">
        <f t="shared" si="13"/>
        <v>-0.00415323273536292</v>
      </c>
    </row>
    <row r="113" spans="1:5" s="506" customFormat="1" ht="12.75">
      <c r="A113" s="512">
        <v>5</v>
      </c>
      <c r="B113" s="511" t="s">
        <v>931</v>
      </c>
      <c r="C113" s="523">
        <f t="shared" si="12"/>
        <v>0.0015742538698919391</v>
      </c>
      <c r="D113" s="523">
        <f t="shared" si="12"/>
        <v>0.002335104416735354</v>
      </c>
      <c r="E113" s="523">
        <f t="shared" si="13"/>
        <v>0.0007608505468434147</v>
      </c>
    </row>
    <row r="114" spans="1:5" s="506" customFormat="1" ht="12.75">
      <c r="A114" s="512">
        <v>6</v>
      </c>
      <c r="B114" s="511" t="s">
        <v>634</v>
      </c>
      <c r="C114" s="523">
        <f t="shared" si="12"/>
        <v>0.0017929374958290934</v>
      </c>
      <c r="D114" s="523">
        <f t="shared" si="12"/>
        <v>0.0006301385874273715</v>
      </c>
      <c r="E114" s="523">
        <f t="shared" si="13"/>
        <v>-0.001162798908401722</v>
      </c>
    </row>
    <row r="115" spans="1:5" s="506" customFormat="1" ht="12.75">
      <c r="A115" s="512">
        <v>7</v>
      </c>
      <c r="B115" s="511" t="s">
        <v>946</v>
      </c>
      <c r="C115" s="523">
        <f t="shared" si="12"/>
        <v>0.010923536529010288</v>
      </c>
      <c r="D115" s="523">
        <f t="shared" si="12"/>
        <v>0.00041613848190214816</v>
      </c>
      <c r="E115" s="523">
        <f t="shared" si="13"/>
        <v>-0.01050739804710814</v>
      </c>
    </row>
    <row r="116" spans="1:5" s="506" customFormat="1" ht="12.75">
      <c r="A116" s="512"/>
      <c r="B116" s="516" t="s">
        <v>3</v>
      </c>
      <c r="C116" s="524">
        <f>SUM(C110+C111+C114)</f>
        <v>0.26635020458919095</v>
      </c>
      <c r="D116" s="524">
        <f>SUM(D110+D111+D114)</f>
        <v>0.2558554471639229</v>
      </c>
      <c r="E116" s="525">
        <f t="shared" si="13"/>
        <v>-0.010494757425268064</v>
      </c>
    </row>
    <row r="117" spans="1:5" s="506" customFormat="1" ht="12.75">
      <c r="A117" s="512"/>
      <c r="B117" s="516" t="s">
        <v>4</v>
      </c>
      <c r="C117" s="524">
        <f>SUM(C109+C116)</f>
        <v>0.3569364872020455</v>
      </c>
      <c r="D117" s="524">
        <f>SUM(D109+D116)</f>
        <v>0.39390141499229503</v>
      </c>
      <c r="E117" s="525">
        <f t="shared" si="13"/>
        <v>0.03696492779024951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537</v>
      </c>
      <c r="B119" s="522" t="s">
        <v>10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839</v>
      </c>
      <c r="C121" s="523">
        <f aca="true" t="shared" si="14" ref="C121:D127">IF(C$77=0,0,C58/C$77)</f>
        <v>0.49172602948281635</v>
      </c>
      <c r="D121" s="523">
        <f t="shared" si="14"/>
        <v>0.45520330443798235</v>
      </c>
      <c r="E121" s="523">
        <f aca="true" t="shared" si="15" ref="E121:E129">D121-C121</f>
        <v>-0.036522725044834004</v>
      </c>
    </row>
    <row r="122" spans="1:5" s="506" customFormat="1" ht="12.75">
      <c r="A122" s="512">
        <v>2</v>
      </c>
      <c r="B122" s="511" t="s">
        <v>818</v>
      </c>
      <c r="C122" s="523">
        <f t="shared" si="14"/>
        <v>0.11171658443959977</v>
      </c>
      <c r="D122" s="523">
        <f t="shared" si="14"/>
        <v>0.11296494094018242</v>
      </c>
      <c r="E122" s="523">
        <f t="shared" si="15"/>
        <v>0.0012483565005826508</v>
      </c>
    </row>
    <row r="123" spans="1:5" s="506" customFormat="1" ht="12.75">
      <c r="A123" s="512">
        <v>3</v>
      </c>
      <c r="B123" s="511" t="s">
        <v>964</v>
      </c>
      <c r="C123" s="523">
        <f t="shared" si="14"/>
        <v>0.03658906005019898</v>
      </c>
      <c r="D123" s="523">
        <f t="shared" si="14"/>
        <v>0.036145291354905226</v>
      </c>
      <c r="E123" s="523">
        <f t="shared" si="15"/>
        <v>-0.0004437686952937503</v>
      </c>
    </row>
    <row r="124" spans="1:5" s="506" customFormat="1" ht="12.75">
      <c r="A124" s="512">
        <v>4</v>
      </c>
      <c r="B124" s="511" t="s">
        <v>330</v>
      </c>
      <c r="C124" s="523">
        <f t="shared" si="14"/>
        <v>0.03280096270489819</v>
      </c>
      <c r="D124" s="523">
        <f t="shared" si="14"/>
        <v>0.034331440530503216</v>
      </c>
      <c r="E124" s="523">
        <f t="shared" si="15"/>
        <v>0.0015304778256050242</v>
      </c>
    </row>
    <row r="125" spans="1:5" s="506" customFormat="1" ht="12.75">
      <c r="A125" s="512">
        <v>5</v>
      </c>
      <c r="B125" s="511" t="s">
        <v>931</v>
      </c>
      <c r="C125" s="523">
        <f t="shared" si="14"/>
        <v>0.0037880973453007817</v>
      </c>
      <c r="D125" s="523">
        <f t="shared" si="14"/>
        <v>0.001813850824402006</v>
      </c>
      <c r="E125" s="523">
        <f t="shared" si="15"/>
        <v>-0.0019742465208987757</v>
      </c>
    </row>
    <row r="126" spans="1:5" s="506" customFormat="1" ht="12.75">
      <c r="A126" s="512">
        <v>6</v>
      </c>
      <c r="B126" s="511" t="s">
        <v>634</v>
      </c>
      <c r="C126" s="523">
        <f t="shared" si="14"/>
        <v>0.0030318388253394207</v>
      </c>
      <c r="D126" s="523">
        <f t="shared" si="14"/>
        <v>0.0017850482746349936</v>
      </c>
      <c r="E126" s="523">
        <f t="shared" si="15"/>
        <v>-0.0012467905507044272</v>
      </c>
    </row>
    <row r="127" spans="1:5" s="506" customFormat="1" ht="12.75">
      <c r="A127" s="512">
        <v>7</v>
      </c>
      <c r="B127" s="511" t="s">
        <v>946</v>
      </c>
      <c r="C127" s="523">
        <f t="shared" si="14"/>
        <v>0.02458321604441528</v>
      </c>
      <c r="D127" s="523">
        <f t="shared" si="14"/>
        <v>0.012495211733836994</v>
      </c>
      <c r="E127" s="523">
        <f t="shared" si="15"/>
        <v>-0.012088004310578285</v>
      </c>
    </row>
    <row r="128" spans="1:5" s="506" customFormat="1" ht="12.75">
      <c r="A128" s="512"/>
      <c r="B128" s="516" t="s">
        <v>6</v>
      </c>
      <c r="C128" s="524">
        <f>SUM(C122+C123+C126)</f>
        <v>0.15133748331513816</v>
      </c>
      <c r="D128" s="524">
        <f>SUM(D122+D123+D126)</f>
        <v>0.15089528056972262</v>
      </c>
      <c r="E128" s="525">
        <f t="shared" si="15"/>
        <v>-0.0004422027454155375</v>
      </c>
    </row>
    <row r="129" spans="1:5" s="506" customFormat="1" ht="12.75">
      <c r="A129" s="512"/>
      <c r="B129" s="516" t="s">
        <v>7</v>
      </c>
      <c r="C129" s="524">
        <f>SUM(C121+C128)</f>
        <v>0.6430635127979545</v>
      </c>
      <c r="D129" s="524">
        <f>SUM(D121+D128)</f>
        <v>0.606098585007705</v>
      </c>
      <c r="E129" s="525">
        <f t="shared" si="15"/>
        <v>-0.03696492779024951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11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351</v>
      </c>
      <c r="B133" s="501" t="s">
        <v>12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230</v>
      </c>
      <c r="B135" s="509" t="s">
        <v>13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839</v>
      </c>
      <c r="C137" s="530">
        <v>1378</v>
      </c>
      <c r="D137" s="530">
        <v>1333</v>
      </c>
      <c r="E137" s="531">
        <f aca="true" t="shared" si="16" ref="E137:E145">D137-C137</f>
        <v>-45</v>
      </c>
    </row>
    <row r="138" spans="1:5" s="506" customFormat="1" ht="12.75">
      <c r="A138" s="512">
        <v>2</v>
      </c>
      <c r="B138" s="511" t="s">
        <v>818</v>
      </c>
      <c r="C138" s="530">
        <v>2026</v>
      </c>
      <c r="D138" s="530">
        <v>1807</v>
      </c>
      <c r="E138" s="531">
        <f t="shared" si="16"/>
        <v>-219</v>
      </c>
    </row>
    <row r="139" spans="1:5" s="506" customFormat="1" ht="12.75">
      <c r="A139" s="512">
        <v>3</v>
      </c>
      <c r="B139" s="511" t="s">
        <v>964</v>
      </c>
      <c r="C139" s="530">
        <f>C140+C141</f>
        <v>660</v>
      </c>
      <c r="D139" s="530">
        <f>D140+D141</f>
        <v>456</v>
      </c>
      <c r="E139" s="531">
        <f t="shared" si="16"/>
        <v>-204</v>
      </c>
    </row>
    <row r="140" spans="1:5" s="506" customFormat="1" ht="12.75">
      <c r="A140" s="512">
        <v>4</v>
      </c>
      <c r="B140" s="511" t="s">
        <v>330</v>
      </c>
      <c r="C140" s="530">
        <v>605</v>
      </c>
      <c r="D140" s="530">
        <v>404</v>
      </c>
      <c r="E140" s="531">
        <f t="shared" si="16"/>
        <v>-201</v>
      </c>
    </row>
    <row r="141" spans="1:5" s="506" customFormat="1" ht="12.75">
      <c r="A141" s="512">
        <v>5</v>
      </c>
      <c r="B141" s="511" t="s">
        <v>931</v>
      </c>
      <c r="C141" s="530">
        <v>55</v>
      </c>
      <c r="D141" s="530">
        <v>52</v>
      </c>
      <c r="E141" s="531">
        <f t="shared" si="16"/>
        <v>-3</v>
      </c>
    </row>
    <row r="142" spans="1:5" s="506" customFormat="1" ht="12.75">
      <c r="A142" s="512">
        <v>6</v>
      </c>
      <c r="B142" s="511" t="s">
        <v>634</v>
      </c>
      <c r="C142" s="530">
        <v>23</v>
      </c>
      <c r="D142" s="530">
        <v>22</v>
      </c>
      <c r="E142" s="531">
        <f t="shared" si="16"/>
        <v>-1</v>
      </c>
    </row>
    <row r="143" spans="1:5" s="506" customFormat="1" ht="12.75">
      <c r="A143" s="512">
        <v>7</v>
      </c>
      <c r="B143" s="511" t="s">
        <v>946</v>
      </c>
      <c r="C143" s="530">
        <v>52</v>
      </c>
      <c r="D143" s="530">
        <v>114</v>
      </c>
      <c r="E143" s="531">
        <f t="shared" si="16"/>
        <v>62</v>
      </c>
    </row>
    <row r="144" spans="1:5" s="506" customFormat="1" ht="12.75">
      <c r="A144" s="512"/>
      <c r="B144" s="516" t="s">
        <v>14</v>
      </c>
      <c r="C144" s="532">
        <f>SUM(C138+C139+C142)</f>
        <v>2709</v>
      </c>
      <c r="D144" s="532">
        <f>SUM(D138+D139+D142)</f>
        <v>2285</v>
      </c>
      <c r="E144" s="533">
        <f t="shared" si="16"/>
        <v>-424</v>
      </c>
    </row>
    <row r="145" spans="1:5" s="506" customFormat="1" ht="12.75">
      <c r="A145" s="512"/>
      <c r="B145" s="516" t="s">
        <v>908</v>
      </c>
      <c r="C145" s="532">
        <f>SUM(C137+C144)</f>
        <v>4087</v>
      </c>
      <c r="D145" s="532">
        <f>SUM(D137+D144)</f>
        <v>3618</v>
      </c>
      <c r="E145" s="533">
        <f t="shared" si="16"/>
        <v>-469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242</v>
      </c>
      <c r="B147" s="509" t="s">
        <v>355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839</v>
      </c>
      <c r="C149" s="534">
        <v>5553</v>
      </c>
      <c r="D149" s="534">
        <v>5221</v>
      </c>
      <c r="E149" s="531">
        <f aca="true" t="shared" si="17" ref="E149:E157">D149-C149</f>
        <v>-332</v>
      </c>
    </row>
    <row r="150" spans="1:5" s="506" customFormat="1" ht="12.75">
      <c r="A150" s="512">
        <v>2</v>
      </c>
      <c r="B150" s="511" t="s">
        <v>818</v>
      </c>
      <c r="C150" s="534">
        <v>12883</v>
      </c>
      <c r="D150" s="534">
        <v>10623</v>
      </c>
      <c r="E150" s="531">
        <f t="shared" si="17"/>
        <v>-2260</v>
      </c>
    </row>
    <row r="151" spans="1:5" s="506" customFormat="1" ht="12.75">
      <c r="A151" s="512">
        <v>3</v>
      </c>
      <c r="B151" s="511" t="s">
        <v>964</v>
      </c>
      <c r="C151" s="534">
        <f>C152+C153</f>
        <v>3117</v>
      </c>
      <c r="D151" s="534">
        <f>D152+D153</f>
        <v>2053</v>
      </c>
      <c r="E151" s="531">
        <f t="shared" si="17"/>
        <v>-1064</v>
      </c>
    </row>
    <row r="152" spans="1:5" s="506" customFormat="1" ht="12.75">
      <c r="A152" s="512">
        <v>4</v>
      </c>
      <c r="B152" s="511" t="s">
        <v>330</v>
      </c>
      <c r="C152" s="534">
        <v>2863</v>
      </c>
      <c r="D152" s="534">
        <v>1718</v>
      </c>
      <c r="E152" s="531">
        <f t="shared" si="17"/>
        <v>-1145</v>
      </c>
    </row>
    <row r="153" spans="1:5" s="506" customFormat="1" ht="12.75">
      <c r="A153" s="512">
        <v>5</v>
      </c>
      <c r="B153" s="511" t="s">
        <v>931</v>
      </c>
      <c r="C153" s="535">
        <v>254</v>
      </c>
      <c r="D153" s="534">
        <v>335</v>
      </c>
      <c r="E153" s="531">
        <f t="shared" si="17"/>
        <v>81</v>
      </c>
    </row>
    <row r="154" spans="1:5" s="506" customFormat="1" ht="12.75">
      <c r="A154" s="512">
        <v>6</v>
      </c>
      <c r="B154" s="511" t="s">
        <v>634</v>
      </c>
      <c r="C154" s="534">
        <v>103</v>
      </c>
      <c r="D154" s="534">
        <v>101</v>
      </c>
      <c r="E154" s="531">
        <f t="shared" si="17"/>
        <v>-2</v>
      </c>
    </row>
    <row r="155" spans="1:5" s="506" customFormat="1" ht="12.75">
      <c r="A155" s="512">
        <v>7</v>
      </c>
      <c r="B155" s="511" t="s">
        <v>946</v>
      </c>
      <c r="C155" s="534">
        <v>236</v>
      </c>
      <c r="D155" s="534">
        <v>638</v>
      </c>
      <c r="E155" s="531">
        <f t="shared" si="17"/>
        <v>402</v>
      </c>
    </row>
    <row r="156" spans="1:5" s="506" customFormat="1" ht="12.75">
      <c r="A156" s="512"/>
      <c r="B156" s="516" t="s">
        <v>15</v>
      </c>
      <c r="C156" s="532">
        <f>SUM(C150+C151+C154)</f>
        <v>16103</v>
      </c>
      <c r="D156" s="532">
        <f>SUM(D150+D151+D154)</f>
        <v>12777</v>
      </c>
      <c r="E156" s="533">
        <f t="shared" si="17"/>
        <v>-3326</v>
      </c>
    </row>
    <row r="157" spans="1:5" s="506" customFormat="1" ht="12.75">
      <c r="A157" s="512"/>
      <c r="B157" s="516" t="s">
        <v>16</v>
      </c>
      <c r="C157" s="532">
        <f>SUM(C149+C156)</f>
        <v>21656</v>
      </c>
      <c r="D157" s="532">
        <f>SUM(D149+D156)</f>
        <v>17998</v>
      </c>
      <c r="E157" s="533">
        <f t="shared" si="17"/>
        <v>-3658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252</v>
      </c>
      <c r="B159" s="509" t="s">
        <v>17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839</v>
      </c>
      <c r="C161" s="536">
        <f aca="true" t="shared" si="18" ref="C161:D169">IF(C137=0,0,C149/C137)</f>
        <v>4.029753265602322</v>
      </c>
      <c r="D161" s="536">
        <f t="shared" si="18"/>
        <v>3.916729182295574</v>
      </c>
      <c r="E161" s="537">
        <f aca="true" t="shared" si="19" ref="E161:E169">D161-C161</f>
        <v>-0.11302408330674796</v>
      </c>
    </row>
    <row r="162" spans="1:5" s="506" customFormat="1" ht="12.75">
      <c r="A162" s="512">
        <v>2</v>
      </c>
      <c r="B162" s="511" t="s">
        <v>818</v>
      </c>
      <c r="C162" s="536">
        <f t="shared" si="18"/>
        <v>6.35883514313919</v>
      </c>
      <c r="D162" s="536">
        <f t="shared" si="18"/>
        <v>5.8788046485888215</v>
      </c>
      <c r="E162" s="537">
        <f t="shared" si="19"/>
        <v>-0.48003049455036884</v>
      </c>
    </row>
    <row r="163" spans="1:5" s="506" customFormat="1" ht="12.75">
      <c r="A163" s="512">
        <v>3</v>
      </c>
      <c r="B163" s="511" t="s">
        <v>964</v>
      </c>
      <c r="C163" s="536">
        <f t="shared" si="18"/>
        <v>4.722727272727273</v>
      </c>
      <c r="D163" s="536">
        <f t="shared" si="18"/>
        <v>4.50219298245614</v>
      </c>
      <c r="E163" s="537">
        <f t="shared" si="19"/>
        <v>-0.22053429027113225</v>
      </c>
    </row>
    <row r="164" spans="1:5" s="506" customFormat="1" ht="12.75">
      <c r="A164" s="512">
        <v>4</v>
      </c>
      <c r="B164" s="511" t="s">
        <v>330</v>
      </c>
      <c r="C164" s="536">
        <f t="shared" si="18"/>
        <v>4.732231404958678</v>
      </c>
      <c r="D164" s="536">
        <f t="shared" si="18"/>
        <v>4.252475247524752</v>
      </c>
      <c r="E164" s="537">
        <f t="shared" si="19"/>
        <v>-0.4797561574339255</v>
      </c>
    </row>
    <row r="165" spans="1:5" s="506" customFormat="1" ht="12.75">
      <c r="A165" s="512">
        <v>5</v>
      </c>
      <c r="B165" s="511" t="s">
        <v>931</v>
      </c>
      <c r="C165" s="536">
        <f t="shared" si="18"/>
        <v>4.618181818181818</v>
      </c>
      <c r="D165" s="536">
        <f t="shared" si="18"/>
        <v>6.4423076923076925</v>
      </c>
      <c r="E165" s="537">
        <f t="shared" si="19"/>
        <v>1.8241258741258743</v>
      </c>
    </row>
    <row r="166" spans="1:5" s="506" customFormat="1" ht="12.75">
      <c r="A166" s="512">
        <v>6</v>
      </c>
      <c r="B166" s="511" t="s">
        <v>634</v>
      </c>
      <c r="C166" s="536">
        <f t="shared" si="18"/>
        <v>4.478260869565218</v>
      </c>
      <c r="D166" s="536">
        <f t="shared" si="18"/>
        <v>4.590909090909091</v>
      </c>
      <c r="E166" s="537">
        <f t="shared" si="19"/>
        <v>0.11264822134387309</v>
      </c>
    </row>
    <row r="167" spans="1:5" s="506" customFormat="1" ht="12.75">
      <c r="A167" s="512">
        <v>7</v>
      </c>
      <c r="B167" s="511" t="s">
        <v>946</v>
      </c>
      <c r="C167" s="536">
        <f t="shared" si="18"/>
        <v>4.538461538461538</v>
      </c>
      <c r="D167" s="536">
        <f t="shared" si="18"/>
        <v>5.5964912280701755</v>
      </c>
      <c r="E167" s="537">
        <f t="shared" si="19"/>
        <v>1.0580296896086372</v>
      </c>
    </row>
    <row r="168" spans="1:5" s="506" customFormat="1" ht="12.75">
      <c r="A168" s="512"/>
      <c r="B168" s="516" t="s">
        <v>18</v>
      </c>
      <c r="C168" s="538">
        <f t="shared" si="18"/>
        <v>5.944259874492433</v>
      </c>
      <c r="D168" s="538">
        <f t="shared" si="18"/>
        <v>5.591684901531728</v>
      </c>
      <c r="E168" s="539">
        <f t="shared" si="19"/>
        <v>-0.3525749729607046</v>
      </c>
    </row>
    <row r="169" spans="1:5" s="506" customFormat="1" ht="12.75">
      <c r="A169" s="512"/>
      <c r="B169" s="516" t="s">
        <v>932</v>
      </c>
      <c r="C169" s="538">
        <f t="shared" si="18"/>
        <v>5.2987521409346705</v>
      </c>
      <c r="D169" s="538">
        <f t="shared" si="18"/>
        <v>4.974571586511885</v>
      </c>
      <c r="E169" s="539">
        <f t="shared" si="19"/>
        <v>-0.32418055442278515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537</v>
      </c>
      <c r="B171" s="509" t="s">
        <v>19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839</v>
      </c>
      <c r="C173" s="541">
        <f aca="true" t="shared" si="20" ref="C173:D181">IF(C137=0,0,C203/C137)</f>
        <v>1.0019</v>
      </c>
      <c r="D173" s="541">
        <f t="shared" si="20"/>
        <v>1.0234</v>
      </c>
      <c r="E173" s="542">
        <f aca="true" t="shared" si="21" ref="E173:E181">D173-C173</f>
        <v>0.021500000000000075</v>
      </c>
    </row>
    <row r="174" spans="1:5" s="506" customFormat="1" ht="12.75">
      <c r="A174" s="512">
        <v>2</v>
      </c>
      <c r="B174" s="511" t="s">
        <v>818</v>
      </c>
      <c r="C174" s="541">
        <f t="shared" si="20"/>
        <v>1.2578</v>
      </c>
      <c r="D174" s="541">
        <f t="shared" si="20"/>
        <v>1.29252</v>
      </c>
      <c r="E174" s="542">
        <f t="shared" si="21"/>
        <v>0.03471999999999986</v>
      </c>
    </row>
    <row r="175" spans="1:5" s="506" customFormat="1" ht="12.75">
      <c r="A175" s="512">
        <v>0</v>
      </c>
      <c r="B175" s="511" t="s">
        <v>964</v>
      </c>
      <c r="C175" s="541">
        <f t="shared" si="20"/>
        <v>0.8408</v>
      </c>
      <c r="D175" s="541">
        <f t="shared" si="20"/>
        <v>0.9626318421052631</v>
      </c>
      <c r="E175" s="542">
        <f t="shared" si="21"/>
        <v>0.1218318421052631</v>
      </c>
    </row>
    <row r="176" spans="1:5" s="506" customFormat="1" ht="12.75">
      <c r="A176" s="512">
        <v>4</v>
      </c>
      <c r="B176" s="511" t="s">
        <v>330</v>
      </c>
      <c r="C176" s="541">
        <f t="shared" si="20"/>
        <v>0.8408</v>
      </c>
      <c r="D176" s="541">
        <f t="shared" si="20"/>
        <v>0.9272</v>
      </c>
      <c r="E176" s="542">
        <f t="shared" si="21"/>
        <v>0.08640000000000003</v>
      </c>
    </row>
    <row r="177" spans="1:5" s="506" customFormat="1" ht="12.75">
      <c r="A177" s="512">
        <v>5</v>
      </c>
      <c r="B177" s="511" t="s">
        <v>931</v>
      </c>
      <c r="C177" s="541">
        <f t="shared" si="20"/>
        <v>0.8408</v>
      </c>
      <c r="D177" s="541">
        <f t="shared" si="20"/>
        <v>1.2379099999999998</v>
      </c>
      <c r="E177" s="542">
        <f t="shared" si="21"/>
        <v>0.39710999999999985</v>
      </c>
    </row>
    <row r="178" spans="1:5" s="506" customFormat="1" ht="12.75">
      <c r="A178" s="512">
        <v>6</v>
      </c>
      <c r="B178" s="511" t="s">
        <v>634</v>
      </c>
      <c r="C178" s="541">
        <f t="shared" si="20"/>
        <v>0.8516</v>
      </c>
      <c r="D178" s="541">
        <f t="shared" si="20"/>
        <v>1.1757</v>
      </c>
      <c r="E178" s="542">
        <f t="shared" si="21"/>
        <v>0.32409999999999994</v>
      </c>
    </row>
    <row r="179" spans="1:5" s="506" customFormat="1" ht="12.75">
      <c r="A179" s="512">
        <v>7</v>
      </c>
      <c r="B179" s="511" t="s">
        <v>946</v>
      </c>
      <c r="C179" s="541">
        <f t="shared" si="20"/>
        <v>0.97532</v>
      </c>
      <c r="D179" s="541">
        <f t="shared" si="20"/>
        <v>1.1298000000000001</v>
      </c>
      <c r="E179" s="542">
        <f t="shared" si="21"/>
        <v>0.15448000000000017</v>
      </c>
    </row>
    <row r="180" spans="1:5" s="506" customFormat="1" ht="12.75">
      <c r="A180" s="512"/>
      <c r="B180" s="516" t="s">
        <v>20</v>
      </c>
      <c r="C180" s="543">
        <f t="shared" si="20"/>
        <v>1.1527565891472868</v>
      </c>
      <c r="D180" s="543">
        <f t="shared" si="20"/>
        <v>1.2255619956236323</v>
      </c>
      <c r="E180" s="544">
        <f t="shared" si="21"/>
        <v>0.07280540647634548</v>
      </c>
    </row>
    <row r="181" spans="1:5" s="506" customFormat="1" ht="12.75">
      <c r="A181" s="512"/>
      <c r="B181" s="516" t="s">
        <v>909</v>
      </c>
      <c r="C181" s="543">
        <f t="shared" si="20"/>
        <v>1.101892781991681</v>
      </c>
      <c r="D181" s="543">
        <f t="shared" si="20"/>
        <v>1.1510783195135432</v>
      </c>
      <c r="E181" s="544">
        <f t="shared" si="21"/>
        <v>0.049185537521862166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558</v>
      </c>
      <c r="B183" s="509" t="s">
        <v>21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22</v>
      </c>
      <c r="C185" s="513">
        <v>108426265</v>
      </c>
      <c r="D185" s="513">
        <v>82051367</v>
      </c>
      <c r="E185" s="514">
        <f>D185-C185</f>
        <v>-26374898</v>
      </c>
    </row>
    <row r="186" spans="1:5" s="506" customFormat="1" ht="25.5">
      <c r="A186" s="512">
        <v>2</v>
      </c>
      <c r="B186" s="511" t="s">
        <v>23</v>
      </c>
      <c r="C186" s="513">
        <v>41246882</v>
      </c>
      <c r="D186" s="513">
        <v>36791779</v>
      </c>
      <c r="E186" s="514">
        <f>D186-C186</f>
        <v>-4455103</v>
      </c>
    </row>
    <row r="187" spans="1:5" s="506" customFormat="1" ht="12.75">
      <c r="A187" s="512"/>
      <c r="B187" s="511" t="s">
        <v>851</v>
      </c>
      <c r="C187" s="510"/>
      <c r="D187" s="510"/>
      <c r="E187" s="511"/>
    </row>
    <row r="188" spans="1:5" s="506" customFormat="1" ht="12.75">
      <c r="A188" s="512">
        <v>3</v>
      </c>
      <c r="B188" s="511" t="s">
        <v>935</v>
      </c>
      <c r="C188" s="546">
        <f>+C185-C186</f>
        <v>67179383</v>
      </c>
      <c r="D188" s="546">
        <f>+D185-D186</f>
        <v>45259588</v>
      </c>
      <c r="E188" s="514">
        <f aca="true" t="shared" si="22" ref="E188:E197">D188-C188</f>
        <v>-21919795</v>
      </c>
    </row>
    <row r="189" spans="1:5" s="506" customFormat="1" ht="12.75">
      <c r="A189" s="512">
        <v>4</v>
      </c>
      <c r="B189" s="511" t="s">
        <v>853</v>
      </c>
      <c r="C189" s="547">
        <f>IF(C185=0,0,+C188/C185)</f>
        <v>0.6195858817049541</v>
      </c>
      <c r="D189" s="547">
        <f>IF(D185=0,0,+D188/D185)</f>
        <v>0.5516006576709441</v>
      </c>
      <c r="E189" s="523">
        <f t="shared" si="22"/>
        <v>-0.06798522403400997</v>
      </c>
    </row>
    <row r="190" spans="1:5" s="506" customFormat="1" ht="12.75">
      <c r="A190" s="512">
        <v>5</v>
      </c>
      <c r="B190" s="511" t="s">
        <v>950</v>
      </c>
      <c r="C190" s="513">
        <v>0</v>
      </c>
      <c r="D190" s="513">
        <v>0</v>
      </c>
      <c r="E190" s="546">
        <f t="shared" si="22"/>
        <v>0</v>
      </c>
    </row>
    <row r="191" spans="1:5" s="506" customFormat="1" ht="12.75">
      <c r="A191" s="512">
        <v>6</v>
      </c>
      <c r="B191" s="511" t="s">
        <v>936</v>
      </c>
      <c r="C191" s="513">
        <v>0</v>
      </c>
      <c r="D191" s="513">
        <v>0</v>
      </c>
      <c r="E191" s="546">
        <f t="shared" si="22"/>
        <v>0</v>
      </c>
    </row>
    <row r="192" spans="1:5" ht="29.25">
      <c r="A192" s="512">
        <v>7</v>
      </c>
      <c r="B192" s="548" t="s">
        <v>24</v>
      </c>
      <c r="C192" s="513">
        <v>201751</v>
      </c>
      <c r="D192" s="513">
        <v>0</v>
      </c>
      <c r="E192" s="546">
        <f t="shared" si="22"/>
        <v>-201751</v>
      </c>
    </row>
    <row r="193" spans="1:5" s="506" customFormat="1" ht="12.75">
      <c r="A193" s="512">
        <v>8</v>
      </c>
      <c r="B193" s="511" t="s">
        <v>25</v>
      </c>
      <c r="C193" s="513">
        <v>287523</v>
      </c>
      <c r="D193" s="513">
        <v>559676</v>
      </c>
      <c r="E193" s="546">
        <f t="shared" si="22"/>
        <v>272153</v>
      </c>
    </row>
    <row r="194" spans="1:5" s="506" customFormat="1" ht="12.75">
      <c r="A194" s="512">
        <v>9</v>
      </c>
      <c r="B194" s="511" t="s">
        <v>26</v>
      </c>
      <c r="C194" s="513">
        <v>8586666</v>
      </c>
      <c r="D194" s="513">
        <v>7812094</v>
      </c>
      <c r="E194" s="546">
        <f t="shared" si="22"/>
        <v>-774572</v>
      </c>
    </row>
    <row r="195" spans="1:5" s="506" customFormat="1" ht="12.75">
      <c r="A195" s="512">
        <v>10</v>
      </c>
      <c r="B195" s="511" t="s">
        <v>27</v>
      </c>
      <c r="C195" s="513">
        <f>+C193+C194</f>
        <v>8874189</v>
      </c>
      <c r="D195" s="513">
        <f>+D193+D194</f>
        <v>8371770</v>
      </c>
      <c r="E195" s="549">
        <f t="shared" si="22"/>
        <v>-502419</v>
      </c>
    </row>
    <row r="196" spans="1:5" s="506" customFormat="1" ht="12.75">
      <c r="A196" s="512">
        <v>11</v>
      </c>
      <c r="B196" s="511" t="s">
        <v>28</v>
      </c>
      <c r="C196" s="513">
        <v>108426265</v>
      </c>
      <c r="D196" s="513">
        <v>82051367</v>
      </c>
      <c r="E196" s="546">
        <f t="shared" si="22"/>
        <v>-26374898</v>
      </c>
    </row>
    <row r="197" spans="1:5" s="506" customFormat="1" ht="12.75">
      <c r="A197" s="512">
        <v>12</v>
      </c>
      <c r="B197" s="511" t="s">
        <v>893</v>
      </c>
      <c r="C197" s="513">
        <v>75843310</v>
      </c>
      <c r="D197" s="513">
        <v>69149506</v>
      </c>
      <c r="E197" s="546">
        <f t="shared" si="22"/>
        <v>-6693804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360</v>
      </c>
      <c r="B199" s="550" t="s">
        <v>29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230</v>
      </c>
      <c r="B201" s="509" t="s">
        <v>30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839</v>
      </c>
      <c r="C203" s="553">
        <v>1380.6182000000001</v>
      </c>
      <c r="D203" s="553">
        <v>1364.1922000000002</v>
      </c>
      <c r="E203" s="554">
        <f aca="true" t="shared" si="23" ref="E203:E211">D203-C203</f>
        <v>-16.42599999999993</v>
      </c>
    </row>
    <row r="204" spans="1:5" s="506" customFormat="1" ht="12.75">
      <c r="A204" s="512">
        <v>2</v>
      </c>
      <c r="B204" s="511" t="s">
        <v>818</v>
      </c>
      <c r="C204" s="553">
        <v>2548.3028</v>
      </c>
      <c r="D204" s="553">
        <v>2335.58364</v>
      </c>
      <c r="E204" s="554">
        <f t="shared" si="23"/>
        <v>-212.7191600000001</v>
      </c>
    </row>
    <row r="205" spans="1:5" s="506" customFormat="1" ht="12.75">
      <c r="A205" s="512">
        <v>3</v>
      </c>
      <c r="B205" s="511" t="s">
        <v>964</v>
      </c>
      <c r="C205" s="553">
        <f>C206+C207</f>
        <v>554.928</v>
      </c>
      <c r="D205" s="553">
        <f>D206+D207</f>
        <v>438.96011999999996</v>
      </c>
      <c r="E205" s="554">
        <f t="shared" si="23"/>
        <v>-115.96788000000004</v>
      </c>
    </row>
    <row r="206" spans="1:5" s="506" customFormat="1" ht="12.75">
      <c r="A206" s="512">
        <v>4</v>
      </c>
      <c r="B206" s="511" t="s">
        <v>330</v>
      </c>
      <c r="C206" s="553">
        <v>508.68399999999997</v>
      </c>
      <c r="D206" s="553">
        <v>374.5888</v>
      </c>
      <c r="E206" s="554">
        <f t="shared" si="23"/>
        <v>-134.09519999999998</v>
      </c>
    </row>
    <row r="207" spans="1:5" s="506" customFormat="1" ht="12.75">
      <c r="A207" s="512">
        <v>5</v>
      </c>
      <c r="B207" s="511" t="s">
        <v>931</v>
      </c>
      <c r="C207" s="553">
        <v>46.244</v>
      </c>
      <c r="D207" s="553">
        <v>64.37132</v>
      </c>
      <c r="E207" s="554">
        <f t="shared" si="23"/>
        <v>18.127319999999997</v>
      </c>
    </row>
    <row r="208" spans="1:5" s="506" customFormat="1" ht="12.75">
      <c r="A208" s="512">
        <v>6</v>
      </c>
      <c r="B208" s="511" t="s">
        <v>634</v>
      </c>
      <c r="C208" s="553">
        <v>19.5868</v>
      </c>
      <c r="D208" s="553">
        <v>25.8654</v>
      </c>
      <c r="E208" s="554">
        <f t="shared" si="23"/>
        <v>6.278600000000001</v>
      </c>
    </row>
    <row r="209" spans="1:5" s="506" customFormat="1" ht="12.75">
      <c r="A209" s="512">
        <v>7</v>
      </c>
      <c r="B209" s="511" t="s">
        <v>946</v>
      </c>
      <c r="C209" s="553">
        <v>50.71664</v>
      </c>
      <c r="D209" s="553">
        <v>128.7972</v>
      </c>
      <c r="E209" s="554">
        <f t="shared" si="23"/>
        <v>78.08056</v>
      </c>
    </row>
    <row r="210" spans="1:5" s="506" customFormat="1" ht="12.75">
      <c r="A210" s="512"/>
      <c r="B210" s="516" t="s">
        <v>31</v>
      </c>
      <c r="C210" s="555">
        <f>C204+C205+C208</f>
        <v>3122.8176</v>
      </c>
      <c r="D210" s="555">
        <f>D204+D205+D208</f>
        <v>2800.4091599999997</v>
      </c>
      <c r="E210" s="556">
        <f t="shared" si="23"/>
        <v>-322.40844000000016</v>
      </c>
    </row>
    <row r="211" spans="1:5" s="506" customFormat="1" ht="12.75">
      <c r="A211" s="512"/>
      <c r="B211" s="516" t="s">
        <v>910</v>
      </c>
      <c r="C211" s="555">
        <f>C210+C203</f>
        <v>4503.4358</v>
      </c>
      <c r="D211" s="555">
        <f>D210+D203</f>
        <v>4164.60136</v>
      </c>
      <c r="E211" s="556">
        <f t="shared" si="23"/>
        <v>-338.83444000000054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242</v>
      </c>
      <c r="B213" s="509" t="s">
        <v>32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839</v>
      </c>
      <c r="C215" s="557">
        <f>IF(C14*C137=0,0,C25/C14*C137)</f>
        <v>3963.3077852633405</v>
      </c>
      <c r="D215" s="557">
        <f>IF(D14*D137=0,0,D25/D14*D137)</f>
        <v>3600.221768854881</v>
      </c>
      <c r="E215" s="557">
        <f aca="true" t="shared" si="24" ref="E215:E223">D215-C215</f>
        <v>-363.0860164084597</v>
      </c>
    </row>
    <row r="216" spans="1:5" s="506" customFormat="1" ht="12.75">
      <c r="A216" s="512">
        <v>2</v>
      </c>
      <c r="B216" s="511" t="s">
        <v>818</v>
      </c>
      <c r="C216" s="557">
        <f>IF(C15*C138=0,0,C26/C15*C138)</f>
        <v>1383.195652144825</v>
      </c>
      <c r="D216" s="557">
        <f>IF(D15*D138=0,0,D26/D15*D138)</f>
        <v>1236.224818694539</v>
      </c>
      <c r="E216" s="557">
        <f t="shared" si="24"/>
        <v>-146.97083345028614</v>
      </c>
    </row>
    <row r="217" spans="1:5" s="506" customFormat="1" ht="12.75">
      <c r="A217" s="512">
        <v>3</v>
      </c>
      <c r="B217" s="511" t="s">
        <v>964</v>
      </c>
      <c r="C217" s="557">
        <f>C218+C219</f>
        <v>875.4879839757522</v>
      </c>
      <c r="D217" s="557">
        <f>D218+D219</f>
        <v>783.0621719718449</v>
      </c>
      <c r="E217" s="557">
        <f t="shared" si="24"/>
        <v>-92.42581200390725</v>
      </c>
    </row>
    <row r="218" spans="1:5" s="506" customFormat="1" ht="12.75">
      <c r="A218" s="512">
        <v>4</v>
      </c>
      <c r="B218" s="511" t="s">
        <v>330</v>
      </c>
      <c r="C218" s="557">
        <f aca="true" t="shared" si="25" ref="C218:D221">IF(C17*C140=0,0,C28/C17*C140)</f>
        <v>777.8866949390193</v>
      </c>
      <c r="D218" s="557">
        <f t="shared" si="25"/>
        <v>717.5690165922531</v>
      </c>
      <c r="E218" s="557">
        <f t="shared" si="24"/>
        <v>-60.31767834676623</v>
      </c>
    </row>
    <row r="219" spans="1:5" s="506" customFormat="1" ht="12.75">
      <c r="A219" s="512">
        <v>5</v>
      </c>
      <c r="B219" s="511" t="s">
        <v>931</v>
      </c>
      <c r="C219" s="557">
        <f t="shared" si="25"/>
        <v>97.60128903673287</v>
      </c>
      <c r="D219" s="557">
        <f t="shared" si="25"/>
        <v>65.4931553795918</v>
      </c>
      <c r="E219" s="557">
        <f t="shared" si="24"/>
        <v>-32.10813365714107</v>
      </c>
    </row>
    <row r="220" spans="1:5" s="506" customFormat="1" ht="12.75">
      <c r="A220" s="512">
        <v>6</v>
      </c>
      <c r="B220" s="511" t="s">
        <v>634</v>
      </c>
      <c r="C220" s="557">
        <f t="shared" si="25"/>
        <v>41.322928826446685</v>
      </c>
      <c r="D220" s="557">
        <f t="shared" si="25"/>
        <v>33.88595988132917</v>
      </c>
      <c r="E220" s="557">
        <f t="shared" si="24"/>
        <v>-7.436968945117513</v>
      </c>
    </row>
    <row r="221" spans="1:5" s="506" customFormat="1" ht="12.75">
      <c r="A221" s="512">
        <v>7</v>
      </c>
      <c r="B221" s="511" t="s">
        <v>946</v>
      </c>
      <c r="C221" s="557">
        <f t="shared" si="25"/>
        <v>119.95866385506194</v>
      </c>
      <c r="D221" s="557">
        <f t="shared" si="25"/>
        <v>204.42209216907477</v>
      </c>
      <c r="E221" s="557">
        <f t="shared" si="24"/>
        <v>84.46342831401283</v>
      </c>
    </row>
    <row r="222" spans="1:5" s="506" customFormat="1" ht="12.75">
      <c r="A222" s="512"/>
      <c r="B222" s="516" t="s">
        <v>33</v>
      </c>
      <c r="C222" s="558">
        <f>C216+C218+C219+C220</f>
        <v>2300.006564947024</v>
      </c>
      <c r="D222" s="558">
        <f>D216+D218+D219+D220</f>
        <v>2053.172950547713</v>
      </c>
      <c r="E222" s="558">
        <f t="shared" si="24"/>
        <v>-246.83361439931105</v>
      </c>
    </row>
    <row r="223" spans="1:5" s="506" customFormat="1" ht="12.75">
      <c r="A223" s="512"/>
      <c r="B223" s="516" t="s">
        <v>34</v>
      </c>
      <c r="C223" s="558">
        <f>C215+C222</f>
        <v>6263.314350210365</v>
      </c>
      <c r="D223" s="558">
        <f>D215+D222</f>
        <v>5653.394719402593</v>
      </c>
      <c r="E223" s="558">
        <f t="shared" si="24"/>
        <v>-609.9196308077717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252</v>
      </c>
      <c r="B225" s="509" t="s">
        <v>35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839</v>
      </c>
      <c r="C227" s="560">
        <f aca="true" t="shared" si="26" ref="C227:D235">IF(C203=0,0,C47/C203)</f>
        <v>4647.549192093802</v>
      </c>
      <c r="D227" s="560">
        <f t="shared" si="26"/>
        <v>6415.31523197391</v>
      </c>
      <c r="E227" s="560">
        <f aca="true" t="shared" si="27" ref="E227:E235">D227-C227</f>
        <v>1767.766039880108</v>
      </c>
    </row>
    <row r="228" spans="1:5" s="506" customFormat="1" ht="12.75">
      <c r="A228" s="512">
        <v>2</v>
      </c>
      <c r="B228" s="511" t="s">
        <v>818</v>
      </c>
      <c r="C228" s="560">
        <f t="shared" si="26"/>
        <v>6583.322829610359</v>
      </c>
      <c r="D228" s="560">
        <f t="shared" si="26"/>
        <v>6267.657791951309</v>
      </c>
      <c r="E228" s="560">
        <f t="shared" si="27"/>
        <v>-315.66503765904963</v>
      </c>
    </row>
    <row r="229" spans="1:5" s="506" customFormat="1" ht="12.75">
      <c r="A229" s="512">
        <v>3</v>
      </c>
      <c r="B229" s="511" t="s">
        <v>964</v>
      </c>
      <c r="C229" s="560">
        <f t="shared" si="26"/>
        <v>3537.5111726205923</v>
      </c>
      <c r="D229" s="560">
        <f t="shared" si="26"/>
        <v>3512.669898121953</v>
      </c>
      <c r="E229" s="560">
        <f t="shared" si="27"/>
        <v>-24.84127449863945</v>
      </c>
    </row>
    <row r="230" spans="1:5" s="506" customFormat="1" ht="12.75">
      <c r="A230" s="512">
        <v>4</v>
      </c>
      <c r="B230" s="511" t="s">
        <v>330</v>
      </c>
      <c r="C230" s="560">
        <f t="shared" si="26"/>
        <v>3639.892349670916</v>
      </c>
      <c r="D230" s="560">
        <f t="shared" si="26"/>
        <v>3721.1016453241527</v>
      </c>
      <c r="E230" s="560">
        <f t="shared" si="27"/>
        <v>81.20929565323695</v>
      </c>
    </row>
    <row r="231" spans="1:5" s="506" customFormat="1" ht="12.75">
      <c r="A231" s="512">
        <v>5</v>
      </c>
      <c r="B231" s="511" t="s">
        <v>931</v>
      </c>
      <c r="C231" s="560">
        <f t="shared" si="26"/>
        <v>2411.3182250670357</v>
      </c>
      <c r="D231" s="560">
        <f t="shared" si="26"/>
        <v>2299.7664177152187</v>
      </c>
      <c r="E231" s="560">
        <f t="shared" si="27"/>
        <v>-111.55180735181693</v>
      </c>
    </row>
    <row r="232" spans="1:5" s="506" customFormat="1" ht="12.75">
      <c r="A232" s="512">
        <v>6</v>
      </c>
      <c r="B232" s="511" t="s">
        <v>634</v>
      </c>
      <c r="C232" s="560">
        <f t="shared" si="26"/>
        <v>6483.9075295607245</v>
      </c>
      <c r="D232" s="560">
        <f t="shared" si="26"/>
        <v>1544.4957356159193</v>
      </c>
      <c r="E232" s="560">
        <f t="shared" si="27"/>
        <v>-4939.411793944805</v>
      </c>
    </row>
    <row r="233" spans="1:5" s="506" customFormat="1" ht="12.75">
      <c r="A233" s="512">
        <v>7</v>
      </c>
      <c r="B233" s="511" t="s">
        <v>946</v>
      </c>
      <c r="C233" s="560">
        <f t="shared" si="26"/>
        <v>15256.255146239972</v>
      </c>
      <c r="D233" s="560">
        <f t="shared" si="26"/>
        <v>204.83364545191975</v>
      </c>
      <c r="E233" s="560">
        <f t="shared" si="27"/>
        <v>-15051.421500788052</v>
      </c>
    </row>
    <row r="234" spans="1:5" ht="12.75">
      <c r="A234" s="512"/>
      <c r="B234" s="516" t="s">
        <v>36</v>
      </c>
      <c r="C234" s="561">
        <f t="shared" si="26"/>
        <v>6041.455319068267</v>
      </c>
      <c r="D234" s="561">
        <f t="shared" si="26"/>
        <v>5792.19288084317</v>
      </c>
      <c r="E234" s="561">
        <f t="shared" si="27"/>
        <v>-249.26243822509696</v>
      </c>
    </row>
    <row r="235" spans="1:5" s="506" customFormat="1" ht="12.75">
      <c r="A235" s="512"/>
      <c r="B235" s="516" t="s">
        <v>37</v>
      </c>
      <c r="C235" s="561">
        <f t="shared" si="26"/>
        <v>5614.125552761294</v>
      </c>
      <c r="D235" s="561">
        <f t="shared" si="26"/>
        <v>5996.308131638319</v>
      </c>
      <c r="E235" s="561">
        <f t="shared" si="27"/>
        <v>382.18257887702475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537</v>
      </c>
      <c r="B237" s="509" t="s">
        <v>38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839</v>
      </c>
      <c r="C239" s="560">
        <f aca="true" t="shared" si="28" ref="C239:D247">IF(C215=0,0,C58/C215)</f>
        <v>8788.212495004525</v>
      </c>
      <c r="D239" s="560">
        <f t="shared" si="28"/>
        <v>8015.78370800725</v>
      </c>
      <c r="E239" s="562">
        <f aca="true" t="shared" si="29" ref="E239:E247">D239-C239</f>
        <v>-772.428786997275</v>
      </c>
    </row>
    <row r="240" spans="1:5" s="506" customFormat="1" ht="12.75">
      <c r="A240" s="512">
        <v>2</v>
      </c>
      <c r="B240" s="511" t="s">
        <v>818</v>
      </c>
      <c r="C240" s="560">
        <f t="shared" si="28"/>
        <v>5720.963616195246</v>
      </c>
      <c r="D240" s="560">
        <f t="shared" si="28"/>
        <v>5793.167142173018</v>
      </c>
      <c r="E240" s="562">
        <f t="shared" si="29"/>
        <v>72.20352597777219</v>
      </c>
    </row>
    <row r="241" spans="1:5" ht="12.75">
      <c r="A241" s="512">
        <v>3</v>
      </c>
      <c r="B241" s="511" t="s">
        <v>964</v>
      </c>
      <c r="C241" s="560">
        <f t="shared" si="28"/>
        <v>2960.3033364667867</v>
      </c>
      <c r="D241" s="560">
        <f t="shared" si="28"/>
        <v>2926.343631476546</v>
      </c>
      <c r="E241" s="562">
        <f t="shared" si="29"/>
        <v>-33.95970499024088</v>
      </c>
    </row>
    <row r="242" spans="1:5" ht="12.75">
      <c r="A242" s="512">
        <v>4</v>
      </c>
      <c r="B242" s="511" t="s">
        <v>330</v>
      </c>
      <c r="C242" s="560">
        <f t="shared" si="28"/>
        <v>2986.7948830030277</v>
      </c>
      <c r="D242" s="560">
        <f t="shared" si="28"/>
        <v>3033.1800142881166</v>
      </c>
      <c r="E242" s="562">
        <f t="shared" si="29"/>
        <v>46.385131285088846</v>
      </c>
    </row>
    <row r="243" spans="1:5" ht="12.75">
      <c r="A243" s="512">
        <v>5</v>
      </c>
      <c r="B243" s="511" t="s">
        <v>931</v>
      </c>
      <c r="C243" s="560">
        <f t="shared" si="28"/>
        <v>2749.1645105118982</v>
      </c>
      <c r="D243" s="560">
        <f t="shared" si="28"/>
        <v>1755.8017984247672</v>
      </c>
      <c r="E243" s="562">
        <f t="shared" si="29"/>
        <v>-993.3627120871311</v>
      </c>
    </row>
    <row r="244" spans="1:5" ht="12.75">
      <c r="A244" s="512">
        <v>6</v>
      </c>
      <c r="B244" s="511" t="s">
        <v>634</v>
      </c>
      <c r="C244" s="560">
        <f t="shared" si="28"/>
        <v>5196.96948156679</v>
      </c>
      <c r="D244" s="560">
        <f t="shared" si="28"/>
        <v>3339.6427427854537</v>
      </c>
      <c r="E244" s="562">
        <f t="shared" si="29"/>
        <v>-1857.3267387813362</v>
      </c>
    </row>
    <row r="245" spans="1:5" ht="12.75">
      <c r="A245" s="512">
        <v>7</v>
      </c>
      <c r="B245" s="511" t="s">
        <v>946</v>
      </c>
      <c r="C245" s="560">
        <f t="shared" si="28"/>
        <v>14515.841907875016</v>
      </c>
      <c r="D245" s="560">
        <f t="shared" si="28"/>
        <v>3875.1242177132904</v>
      </c>
      <c r="E245" s="562">
        <f t="shared" si="29"/>
        <v>-10640.717690161726</v>
      </c>
    </row>
    <row r="246" spans="1:5" ht="25.5">
      <c r="A246" s="512"/>
      <c r="B246" s="516" t="s">
        <v>39</v>
      </c>
      <c r="C246" s="561">
        <f t="shared" si="28"/>
        <v>4660.715392456676</v>
      </c>
      <c r="D246" s="561">
        <f t="shared" si="28"/>
        <v>4659.292339424229</v>
      </c>
      <c r="E246" s="563">
        <f t="shared" si="29"/>
        <v>-1.4230530324475694</v>
      </c>
    </row>
    <row r="247" spans="1:5" ht="12.75">
      <c r="A247" s="512"/>
      <c r="B247" s="516" t="s">
        <v>40</v>
      </c>
      <c r="C247" s="561">
        <f t="shared" si="28"/>
        <v>7272.518103529343</v>
      </c>
      <c r="D247" s="561">
        <f t="shared" si="28"/>
        <v>6796.789169545276</v>
      </c>
      <c r="E247" s="563">
        <f t="shared" si="29"/>
        <v>-475.7289339840663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948</v>
      </c>
      <c r="B249" s="550" t="s">
        <v>945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330</v>
      </c>
      <c r="C251" s="546">
        <f>((IF((IF(C15=0,0,C26/C15)*C138)=0,0,C59/(IF(C15=0,0,C26/C15)*C138)))-(IF((IF(C17=0,0,C28/C17)*C140)=0,0,C61/(IF(C17=0,0,C28/C17)*C140))))*(IF(C17=0,0,C28/C17)*C140)</f>
        <v>2126873.4792684997</v>
      </c>
      <c r="D251" s="546">
        <f>((IF((IF(D15=0,0,D26/D15)*D138)=0,0,D59/(IF(D15=0,0,D26/D15)*D138)))-(IF((IF(D17=0,0,D28/D17)*D140)=0,0,D61/(IF(D17=0,0,D28/D17)*D140))))*(IF(D17=0,0,D28/D17)*D140)</f>
        <v>1980481.2491636458</v>
      </c>
      <c r="E251" s="546">
        <f>D251-C251</f>
        <v>-146392.23010485386</v>
      </c>
    </row>
    <row r="252" spans="1:5" ht="12.75">
      <c r="A252" s="512">
        <v>2</v>
      </c>
      <c r="B252" s="511" t="s">
        <v>931</v>
      </c>
      <c r="C252" s="546">
        <f>IF(C231=0,0,(C228-C231)*C207)+IF(C243=0,0,(C240-C243)*C219)</f>
        <v>482981.60440540605</v>
      </c>
      <c r="D252" s="546">
        <f>IF(D231=0,0,(D228-D231)*D207)+IF(D243=0,0,(D240-D243)*D219)</f>
        <v>519838.2011584744</v>
      </c>
      <c r="E252" s="546">
        <f>D252-C252</f>
        <v>36856.59675306833</v>
      </c>
    </row>
    <row r="253" spans="1:5" ht="12.75">
      <c r="A253" s="512">
        <v>3</v>
      </c>
      <c r="B253" s="511" t="s">
        <v>946</v>
      </c>
      <c r="C253" s="546">
        <f>IF(C233=0,0,(C228-C233)*C209+IF(C221=0,0,(C240-C245)*C221))</f>
        <v>-1494883.8346846648</v>
      </c>
      <c r="D253" s="546">
        <f>IF(D233=0,0,(D228-D233)*D209+IF(D221=0,0,(D240-D245)*D221))</f>
        <v>1172965.1216496592</v>
      </c>
      <c r="E253" s="546">
        <f>D253-C253</f>
        <v>2667848.956334324</v>
      </c>
    </row>
    <row r="254" spans="1:5" ht="15" customHeight="1">
      <c r="A254" s="512"/>
      <c r="B254" s="516" t="s">
        <v>947</v>
      </c>
      <c r="C254" s="564">
        <f>+C251+C252+C253</f>
        <v>1114971.2489892407</v>
      </c>
      <c r="D254" s="564">
        <f>+D251+D252+D253</f>
        <v>3673284.571971779</v>
      </c>
      <c r="E254" s="564">
        <f>D254-C254</f>
        <v>2558313.3229825385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41</v>
      </c>
      <c r="B256" s="550" t="s">
        <v>42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913</v>
      </c>
      <c r="C258" s="546">
        <f>+C44</f>
        <v>236605379</v>
      </c>
      <c r="D258" s="549">
        <f>+D44</f>
        <v>195594535</v>
      </c>
      <c r="E258" s="546">
        <f aca="true" t="shared" si="30" ref="E258:E271">D258-C258</f>
        <v>-41010844</v>
      </c>
    </row>
    <row r="259" spans="1:5" ht="12.75">
      <c r="A259" s="512">
        <v>2</v>
      </c>
      <c r="B259" s="511" t="s">
        <v>930</v>
      </c>
      <c r="C259" s="546">
        <f>+(C43-C76)</f>
        <v>98593075</v>
      </c>
      <c r="D259" s="549">
        <f>+(D43-D76)</f>
        <v>80307558</v>
      </c>
      <c r="E259" s="546">
        <f t="shared" si="30"/>
        <v>-18285517</v>
      </c>
    </row>
    <row r="260" spans="1:5" ht="12.75">
      <c r="A260" s="512">
        <v>3</v>
      </c>
      <c r="B260" s="511" t="s">
        <v>934</v>
      </c>
      <c r="C260" s="546">
        <f>C195</f>
        <v>8874189</v>
      </c>
      <c r="D260" s="546">
        <f>D195</f>
        <v>8371770</v>
      </c>
      <c r="E260" s="546">
        <f t="shared" si="30"/>
        <v>-502419</v>
      </c>
    </row>
    <row r="261" spans="1:5" ht="12.75">
      <c r="A261" s="512">
        <v>4</v>
      </c>
      <c r="B261" s="511" t="s">
        <v>935</v>
      </c>
      <c r="C261" s="546">
        <f>C188</f>
        <v>67179383</v>
      </c>
      <c r="D261" s="546">
        <f>D188</f>
        <v>45259588</v>
      </c>
      <c r="E261" s="546">
        <f t="shared" si="30"/>
        <v>-21919795</v>
      </c>
    </row>
    <row r="262" spans="1:5" ht="12.75">
      <c r="A262" s="512">
        <v>5</v>
      </c>
      <c r="B262" s="511" t="s">
        <v>936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ht="12.75">
      <c r="A263" s="512">
        <v>6</v>
      </c>
      <c r="B263" s="511" t="s">
        <v>937</v>
      </c>
      <c r="C263" s="546">
        <f>+C259+C260+C261+C262</f>
        <v>174646647</v>
      </c>
      <c r="D263" s="546">
        <f>+D259+D260+D261+D262</f>
        <v>133938916</v>
      </c>
      <c r="E263" s="546">
        <f t="shared" si="30"/>
        <v>-40707731</v>
      </c>
    </row>
    <row r="264" spans="1:5" ht="12.75">
      <c r="A264" s="512">
        <v>7</v>
      </c>
      <c r="B264" s="511" t="s">
        <v>837</v>
      </c>
      <c r="C264" s="546">
        <f>+C258-C263</f>
        <v>61958732</v>
      </c>
      <c r="D264" s="546">
        <f>+D258-D263</f>
        <v>61655619</v>
      </c>
      <c r="E264" s="546">
        <f t="shared" si="30"/>
        <v>-303113</v>
      </c>
    </row>
    <row r="265" spans="1:5" ht="12.75">
      <c r="A265" s="512">
        <v>8</v>
      </c>
      <c r="B265" s="511" t="s">
        <v>43</v>
      </c>
      <c r="C265" s="565">
        <f>C192</f>
        <v>201751</v>
      </c>
      <c r="D265" s="565">
        <f>D192</f>
        <v>0</v>
      </c>
      <c r="E265" s="546">
        <f t="shared" si="30"/>
        <v>-201751</v>
      </c>
    </row>
    <row r="266" spans="1:5" ht="12.75">
      <c r="A266" s="512">
        <v>9</v>
      </c>
      <c r="B266" s="511" t="s">
        <v>44</v>
      </c>
      <c r="C266" s="546">
        <f>+C264+C265</f>
        <v>62160483</v>
      </c>
      <c r="D266" s="546">
        <f>+D264+D265</f>
        <v>61655619</v>
      </c>
      <c r="E266" s="565">
        <f t="shared" si="30"/>
        <v>-504864</v>
      </c>
    </row>
    <row r="267" spans="1:5" ht="12.75">
      <c r="A267" s="512">
        <v>10</v>
      </c>
      <c r="B267" s="511" t="s">
        <v>45</v>
      </c>
      <c r="C267" s="566">
        <f>IF(C258=0,0,C266/C258)</f>
        <v>0.26271796213052284</v>
      </c>
      <c r="D267" s="566">
        <f>IF(D258=0,0,D266/D258)</f>
        <v>0.31522158326151595</v>
      </c>
      <c r="E267" s="567">
        <f t="shared" si="30"/>
        <v>0.052503621130993106</v>
      </c>
    </row>
    <row r="268" spans="1:5" ht="12.75">
      <c r="A268" s="512">
        <v>11</v>
      </c>
      <c r="B268" s="511" t="s">
        <v>899</v>
      </c>
      <c r="C268" s="546">
        <f>+C260*C267</f>
        <v>2331408.8496411024</v>
      </c>
      <c r="D268" s="568">
        <f>+D260*D267</f>
        <v>2638962.5941012613</v>
      </c>
      <c r="E268" s="546">
        <f t="shared" si="30"/>
        <v>307553.744460159</v>
      </c>
    </row>
    <row r="269" spans="1:5" ht="12.75">
      <c r="A269" s="512">
        <v>12</v>
      </c>
      <c r="B269" s="511" t="s">
        <v>46</v>
      </c>
      <c r="C269" s="546">
        <f>((C17+C18+C28+C29)*C267)-(C50+C51+C61+C62)</f>
        <v>1396127.7992993388</v>
      </c>
      <c r="D269" s="568">
        <f>((D17+D18+D28+D29)*D267)-(D50+D51+D61+D62)</f>
        <v>1741153.6333121015</v>
      </c>
      <c r="E269" s="546">
        <f t="shared" si="30"/>
        <v>345025.83401276264</v>
      </c>
    </row>
    <row r="270" spans="1:5" s="569" customFormat="1" ht="12.75">
      <c r="A270" s="570">
        <v>13</v>
      </c>
      <c r="B270" s="571" t="s">
        <v>47</v>
      </c>
      <c r="C270" s="572">
        <v>-3727537</v>
      </c>
      <c r="D270" s="572">
        <v>0</v>
      </c>
      <c r="E270" s="546">
        <f t="shared" si="30"/>
        <v>3727537</v>
      </c>
    </row>
    <row r="271" spans="1:5" ht="12.75">
      <c r="A271" s="512">
        <v>14</v>
      </c>
      <c r="B271" s="511" t="s">
        <v>48</v>
      </c>
      <c r="C271" s="546">
        <f>+C268+C269+C270</f>
        <v>-0.351059558801353</v>
      </c>
      <c r="D271" s="546">
        <f>+D268+D269+D270</f>
        <v>4380116.227413363</v>
      </c>
      <c r="E271" s="549">
        <f t="shared" si="30"/>
        <v>4380116.578472922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49</v>
      </c>
      <c r="B273" s="550" t="s">
        <v>50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230</v>
      </c>
      <c r="B275" s="509" t="s">
        <v>51</v>
      </c>
      <c r="C275" s="340"/>
      <c r="D275" s="340"/>
      <c r="E275" s="520"/>
    </row>
    <row r="276" spans="1:5" ht="12.75">
      <c r="A276" s="512">
        <v>1</v>
      </c>
      <c r="B276" s="511" t="s">
        <v>839</v>
      </c>
      <c r="C276" s="547">
        <f aca="true" t="shared" si="31" ref="C276:D284">IF(C14=0,0,+C47/C14)</f>
        <v>0.22938313207063815</v>
      </c>
      <c r="D276" s="547">
        <f t="shared" si="31"/>
        <v>0.3618848213002753</v>
      </c>
      <c r="E276" s="574">
        <f aca="true" t="shared" si="32" ref="E276:E284">D276-C276</f>
        <v>0.13250168922963712</v>
      </c>
    </row>
    <row r="277" spans="1:5" ht="12.75">
      <c r="A277" s="512">
        <v>2</v>
      </c>
      <c r="B277" s="511" t="s">
        <v>818</v>
      </c>
      <c r="C277" s="547">
        <f t="shared" si="31"/>
        <v>0.27045206812091166</v>
      </c>
      <c r="D277" s="547">
        <f t="shared" si="31"/>
        <v>0.28229030224917584</v>
      </c>
      <c r="E277" s="574">
        <f t="shared" si="32"/>
        <v>0.01183823412826418</v>
      </c>
    </row>
    <row r="278" spans="1:5" ht="12.75">
      <c r="A278" s="512">
        <v>3</v>
      </c>
      <c r="B278" s="511" t="s">
        <v>964</v>
      </c>
      <c r="C278" s="547">
        <f t="shared" si="31"/>
        <v>0.20305001590834149</v>
      </c>
      <c r="D278" s="547">
        <f t="shared" si="31"/>
        <v>0.23316771337853065</v>
      </c>
      <c r="E278" s="574">
        <f t="shared" si="32"/>
        <v>0.030117697470189164</v>
      </c>
    </row>
    <row r="279" spans="1:5" ht="12.75">
      <c r="A279" s="512">
        <v>4</v>
      </c>
      <c r="B279" s="511" t="s">
        <v>330</v>
      </c>
      <c r="C279" s="547">
        <f t="shared" si="31"/>
        <v>0.21688687380827043</v>
      </c>
      <c r="D279" s="547">
        <f t="shared" si="31"/>
        <v>0.26256964613415684</v>
      </c>
      <c r="E279" s="574">
        <f t="shared" si="32"/>
        <v>0.04568277232588641</v>
      </c>
    </row>
    <row r="280" spans="1:5" ht="12.75">
      <c r="A280" s="512">
        <v>5</v>
      </c>
      <c r="B280" s="511" t="s">
        <v>931</v>
      </c>
      <c r="C280" s="547">
        <f t="shared" si="31"/>
        <v>0.09860008028847259</v>
      </c>
      <c r="D280" s="547">
        <f t="shared" si="31"/>
        <v>0.11349994518170158</v>
      </c>
      <c r="E280" s="574">
        <f t="shared" si="32"/>
        <v>0.01489986489322899</v>
      </c>
    </row>
    <row r="281" spans="1:5" ht="12.75">
      <c r="A281" s="512">
        <v>6</v>
      </c>
      <c r="B281" s="511" t="s">
        <v>634</v>
      </c>
      <c r="C281" s="547">
        <f t="shared" si="31"/>
        <v>0.309500773758027</v>
      </c>
      <c r="D281" s="547">
        <f t="shared" si="31"/>
        <v>0.09428760918872864</v>
      </c>
      <c r="E281" s="574">
        <f t="shared" si="32"/>
        <v>-0.21521316456929834</v>
      </c>
    </row>
    <row r="282" spans="1:5" ht="12.75">
      <c r="A282" s="512">
        <v>7</v>
      </c>
      <c r="B282" s="511" t="s">
        <v>946</v>
      </c>
      <c r="C282" s="547">
        <f t="shared" si="31"/>
        <v>0.29849998881222045</v>
      </c>
      <c r="D282" s="547">
        <f t="shared" si="31"/>
        <v>0.009892855522386045</v>
      </c>
      <c r="E282" s="574">
        <f t="shared" si="32"/>
        <v>-0.2886071332898344</v>
      </c>
    </row>
    <row r="283" spans="1:5" ht="29.25" customHeight="1">
      <c r="A283" s="512"/>
      <c r="B283" s="516" t="s">
        <v>52</v>
      </c>
      <c r="C283" s="575">
        <f t="shared" si="31"/>
        <v>0.2616374416638501</v>
      </c>
      <c r="D283" s="575">
        <f t="shared" si="31"/>
        <v>0.27542195456230784</v>
      </c>
      <c r="E283" s="576">
        <f t="shared" si="32"/>
        <v>0.013784512898457724</v>
      </c>
    </row>
    <row r="284" spans="1:5" ht="12.75">
      <c r="A284" s="512"/>
      <c r="B284" s="516" t="s">
        <v>53</v>
      </c>
      <c r="C284" s="575">
        <f t="shared" si="31"/>
        <v>0.2526223622590423</v>
      </c>
      <c r="D284" s="575">
        <f t="shared" si="31"/>
        <v>0.30059129579170213</v>
      </c>
      <c r="E284" s="576">
        <f t="shared" si="32"/>
        <v>0.04796893353265985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242</v>
      </c>
      <c r="B286" s="509" t="s">
        <v>54</v>
      </c>
      <c r="C286" s="520"/>
      <c r="D286" s="520"/>
      <c r="E286" s="520"/>
    </row>
    <row r="287" spans="1:5" ht="12.75">
      <c r="A287" s="512">
        <v>1</v>
      </c>
      <c r="B287" s="511" t="s">
        <v>839</v>
      </c>
      <c r="C287" s="547">
        <f aca="true" t="shared" si="33" ref="C287:D295">IF(C25=0,0,+C58/C25)</f>
        <v>0.4329259872422631</v>
      </c>
      <c r="D287" s="547">
        <f t="shared" si="33"/>
        <v>0.4418277036632556</v>
      </c>
      <c r="E287" s="574">
        <f aca="true" t="shared" si="34" ref="E287:E295">D287-C287</f>
        <v>0.008901716420992467</v>
      </c>
    </row>
    <row r="288" spans="1:5" ht="12.75">
      <c r="A288" s="512">
        <v>2</v>
      </c>
      <c r="B288" s="511" t="s">
        <v>818</v>
      </c>
      <c r="C288" s="547">
        <f t="shared" si="33"/>
        <v>0.18685415084206555</v>
      </c>
      <c r="D288" s="547">
        <f t="shared" si="33"/>
        <v>0.20186892447474358</v>
      </c>
      <c r="E288" s="574">
        <f t="shared" si="34"/>
        <v>0.01501477363267803</v>
      </c>
    </row>
    <row r="289" spans="1:5" ht="12.75">
      <c r="A289" s="512">
        <v>3</v>
      </c>
      <c r="B289" s="511" t="s">
        <v>964</v>
      </c>
      <c r="C289" s="547">
        <f t="shared" si="33"/>
        <v>0.1996170497581144</v>
      </c>
      <c r="D289" s="547">
        <f t="shared" si="33"/>
        <v>0.20696950239813622</v>
      </c>
      <c r="E289" s="574">
        <f t="shared" si="34"/>
        <v>0.007352452640021823</v>
      </c>
    </row>
    <row r="290" spans="1:5" ht="12.75">
      <c r="A290" s="512">
        <v>4</v>
      </c>
      <c r="B290" s="511" t="s">
        <v>330</v>
      </c>
      <c r="C290" s="547">
        <f t="shared" si="33"/>
        <v>0.21166908136838747</v>
      </c>
      <c r="D290" s="547">
        <f t="shared" si="33"/>
        <v>0.23083292157030563</v>
      </c>
      <c r="E290" s="574">
        <f t="shared" si="34"/>
        <v>0.019163840201918164</v>
      </c>
    </row>
    <row r="291" spans="1:5" ht="12.75">
      <c r="A291" s="512">
        <v>5</v>
      </c>
      <c r="B291" s="511" t="s">
        <v>931</v>
      </c>
      <c r="C291" s="547">
        <f t="shared" si="33"/>
        <v>0.13369980253116873</v>
      </c>
      <c r="D291" s="547">
        <f t="shared" si="33"/>
        <v>0.07000004869865031</v>
      </c>
      <c r="E291" s="574">
        <f t="shared" si="34"/>
        <v>-0.06369975383251841</v>
      </c>
    </row>
    <row r="292" spans="1:5" ht="12.75">
      <c r="A292" s="512">
        <v>6</v>
      </c>
      <c r="B292" s="511" t="s">
        <v>634</v>
      </c>
      <c r="C292" s="547">
        <f t="shared" si="33"/>
        <v>0.2912992995382704</v>
      </c>
      <c r="D292" s="547">
        <f t="shared" si="33"/>
        <v>0.1734089077263018</v>
      </c>
      <c r="E292" s="574">
        <f t="shared" si="34"/>
        <v>-0.11789039181196859</v>
      </c>
    </row>
    <row r="293" spans="1:5" ht="12.75">
      <c r="A293" s="512">
        <v>7</v>
      </c>
      <c r="B293" s="511" t="s">
        <v>946</v>
      </c>
      <c r="C293" s="547">
        <f t="shared" si="33"/>
        <v>0.2912000703709408</v>
      </c>
      <c r="D293" s="547">
        <f t="shared" si="33"/>
        <v>0.16565495481591988</v>
      </c>
      <c r="E293" s="574">
        <f t="shared" si="34"/>
        <v>-0.12554511555502093</v>
      </c>
    </row>
    <row r="294" spans="1:5" ht="29.25" customHeight="1">
      <c r="A294" s="512"/>
      <c r="B294" s="516" t="s">
        <v>55</v>
      </c>
      <c r="C294" s="575">
        <f t="shared" si="33"/>
        <v>0.1911827489450299</v>
      </c>
      <c r="D294" s="575">
        <f t="shared" si="33"/>
        <v>0.2026718533827172</v>
      </c>
      <c r="E294" s="576">
        <f t="shared" si="34"/>
        <v>0.011489104437687303</v>
      </c>
    </row>
    <row r="295" spans="1:5" ht="12.75">
      <c r="A295" s="512"/>
      <c r="B295" s="516" t="s">
        <v>56</v>
      </c>
      <c r="C295" s="575">
        <f t="shared" si="33"/>
        <v>0.3336420390518972</v>
      </c>
      <c r="D295" s="575">
        <f t="shared" si="33"/>
        <v>0.34150182253424005</v>
      </c>
      <c r="E295" s="576">
        <f t="shared" si="34"/>
        <v>0.007859783482342841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57</v>
      </c>
      <c r="B297" s="501" t="s">
        <v>58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230</v>
      </c>
      <c r="B299" s="509" t="s">
        <v>59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837</v>
      </c>
      <c r="C301" s="514">
        <f>+C48+C47+C50+C51+C52+C59+C58+C61+C62+C63</f>
        <v>70832921</v>
      </c>
      <c r="D301" s="514">
        <f>+D48+D47+D50+D51+D52+D59+D58+D61+D62+D63</f>
        <v>63397165</v>
      </c>
      <c r="E301" s="514">
        <f>D301-C301</f>
        <v>-7435756</v>
      </c>
    </row>
    <row r="302" spans="1:5" ht="25.5">
      <c r="A302" s="512">
        <v>2</v>
      </c>
      <c r="B302" s="511" t="s">
        <v>60</v>
      </c>
      <c r="C302" s="546">
        <f>C265</f>
        <v>201751</v>
      </c>
      <c r="D302" s="546">
        <f>D265</f>
        <v>0</v>
      </c>
      <c r="E302" s="514">
        <f>D302-C302</f>
        <v>-201751</v>
      </c>
    </row>
    <row r="303" spans="1:5" ht="12.75">
      <c r="A303" s="512"/>
      <c r="B303" s="516" t="s">
        <v>61</v>
      </c>
      <c r="C303" s="517">
        <f>+C301+C302</f>
        <v>71034672</v>
      </c>
      <c r="D303" s="517">
        <f>+D301+D302</f>
        <v>63397165</v>
      </c>
      <c r="E303" s="517">
        <f>D303-C303</f>
        <v>-7637507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62</v>
      </c>
      <c r="C305" s="513">
        <v>0</v>
      </c>
      <c r="D305" s="578">
        <v>0</v>
      </c>
      <c r="E305" s="579">
        <f>D305-C305</f>
        <v>0</v>
      </c>
    </row>
    <row r="306" spans="1:5" ht="12.75">
      <c r="A306" s="512">
        <v>4</v>
      </c>
      <c r="B306" s="516" t="s">
        <v>63</v>
      </c>
      <c r="C306" s="580">
        <f>+C303+C305+C194+C190-C191</f>
        <v>79621338</v>
      </c>
      <c r="D306" s="580">
        <f>+D303+D305</f>
        <v>63397165</v>
      </c>
      <c r="E306" s="580">
        <f>D306-C306</f>
        <v>-16224173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64</v>
      </c>
      <c r="C308" s="513">
        <v>71034672</v>
      </c>
      <c r="D308" s="513">
        <v>63397165</v>
      </c>
      <c r="E308" s="514">
        <f>D308-C308</f>
        <v>-7637507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65</v>
      </c>
      <c r="C310" s="581">
        <f>C306-C308</f>
        <v>8586666</v>
      </c>
      <c r="D310" s="582">
        <f>D306-D308</f>
        <v>0</v>
      </c>
      <c r="E310" s="580">
        <f>D310-C310</f>
        <v>-8586666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242</v>
      </c>
      <c r="B312" s="509" t="s">
        <v>66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67</v>
      </c>
      <c r="C314" s="514">
        <f>+C14+C15+C16+C19+C25+C26+C27+C30</f>
        <v>236605379</v>
      </c>
      <c r="D314" s="514">
        <f>+D14+D15+D16+D19+D25+D26+D27+D30</f>
        <v>195594535</v>
      </c>
      <c r="E314" s="514">
        <f>D314-C314</f>
        <v>-41010844</v>
      </c>
    </row>
    <row r="315" spans="1:5" ht="12.75">
      <c r="A315" s="512">
        <v>2</v>
      </c>
      <c r="B315" s="583" t="s">
        <v>68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69</v>
      </c>
      <c r="C316" s="581">
        <f>C314+C315</f>
        <v>236605379</v>
      </c>
      <c r="D316" s="581">
        <f>D314+D315</f>
        <v>195594535</v>
      </c>
      <c r="E316" s="517">
        <f>D316-C316</f>
        <v>-41010844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70</v>
      </c>
      <c r="C318" s="513">
        <v>236605380</v>
      </c>
      <c r="D318" s="513">
        <v>195594535</v>
      </c>
      <c r="E318" s="514">
        <f>D318-C318</f>
        <v>-41010845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65</v>
      </c>
      <c r="C320" s="581">
        <f>C316-C318</f>
        <v>-1</v>
      </c>
      <c r="D320" s="581">
        <f>D316-D318</f>
        <v>0</v>
      </c>
      <c r="E320" s="517">
        <f>D320-C320</f>
        <v>1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252</v>
      </c>
      <c r="B322" s="509" t="s">
        <v>71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72</v>
      </c>
      <c r="C324" s="513">
        <f>+C193+C194</f>
        <v>8874189</v>
      </c>
      <c r="D324" s="513">
        <f>+D193+D194</f>
        <v>8371770</v>
      </c>
      <c r="E324" s="514">
        <f>D324-C324</f>
        <v>-502419</v>
      </c>
    </row>
    <row r="325" spans="1:5" ht="12.75">
      <c r="A325" s="512">
        <v>2</v>
      </c>
      <c r="B325" s="511" t="s">
        <v>73</v>
      </c>
      <c r="C325" s="513">
        <v>0</v>
      </c>
      <c r="D325" s="513">
        <v>0</v>
      </c>
      <c r="E325" s="514">
        <f>D325-C325</f>
        <v>0</v>
      </c>
    </row>
    <row r="326" spans="1:5" ht="12.75">
      <c r="A326" s="512"/>
      <c r="B326" s="516" t="s">
        <v>74</v>
      </c>
      <c r="C326" s="581">
        <f>C324+C325</f>
        <v>8874189</v>
      </c>
      <c r="D326" s="581">
        <f>D324+D325</f>
        <v>8371770</v>
      </c>
      <c r="E326" s="517">
        <f>D326-C326</f>
        <v>-502419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75</v>
      </c>
      <c r="C328" s="513">
        <v>8874189</v>
      </c>
      <c r="D328" s="513">
        <v>8371770</v>
      </c>
      <c r="E328" s="514">
        <f>D328-C328</f>
        <v>-502419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76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 r:id="rId1"/>
  <headerFooter alignWithMargins="0">
    <oddHeader>&amp;LOFFICE OF HEALTH CARE ACCESS&amp;CTWELVE MONTHS ACTUAL FILING&amp;RJOHNSON MEMORIAL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03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216</v>
      </c>
      <c r="B2" s="705"/>
      <c r="C2" s="705"/>
      <c r="D2" s="585"/>
    </row>
    <row r="3" spans="1:4" s="338" customFormat="1" ht="15.75" customHeight="1">
      <c r="A3" s="695" t="s">
        <v>809</v>
      </c>
      <c r="B3" s="696"/>
      <c r="C3" s="697"/>
      <c r="D3" s="585"/>
    </row>
    <row r="4" spans="1:4" s="338" customFormat="1" ht="15.75" customHeight="1">
      <c r="A4" s="695" t="s">
        <v>218</v>
      </c>
      <c r="B4" s="696"/>
      <c r="C4" s="697"/>
      <c r="D4" s="585"/>
    </row>
    <row r="5" spans="1:4" s="338" customFormat="1" ht="15.75" customHeight="1">
      <c r="A5" s="695" t="s">
        <v>77</v>
      </c>
      <c r="B5" s="696"/>
      <c r="C5" s="697"/>
      <c r="D5" s="585"/>
    </row>
    <row r="6" spans="1:4" s="338" customFormat="1" ht="15.75" customHeight="1">
      <c r="A6" s="695" t="s">
        <v>78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224</v>
      </c>
      <c r="B9" s="493" t="s">
        <v>225</v>
      </c>
      <c r="C9" s="494" t="s">
        <v>79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228</v>
      </c>
      <c r="B11" s="501" t="s">
        <v>80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230</v>
      </c>
      <c r="B13" s="509" t="s">
        <v>963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839</v>
      </c>
      <c r="C14" s="513">
        <v>24183725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818</v>
      </c>
      <c r="C15" s="515">
        <v>51856684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964</v>
      </c>
      <c r="C16" s="515">
        <v>6612931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330</v>
      </c>
      <c r="C17" s="515">
        <v>5308622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931</v>
      </c>
      <c r="C18" s="515">
        <v>1304309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634</v>
      </c>
      <c r="C19" s="515">
        <v>423693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946</v>
      </c>
      <c r="C20" s="515">
        <v>2666773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965</v>
      </c>
      <c r="C21" s="517">
        <f>SUM(C15+C16+C19)</f>
        <v>58893308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905</v>
      </c>
      <c r="C22" s="517">
        <f>SUM(C14+C21)</f>
        <v>83077033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242</v>
      </c>
      <c r="B24" s="509" t="s">
        <v>966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839</v>
      </c>
      <c r="C25" s="513">
        <v>65316409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818</v>
      </c>
      <c r="C26" s="515">
        <v>35476768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964</v>
      </c>
      <c r="C27" s="515">
        <v>11071723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330</v>
      </c>
      <c r="C28" s="515">
        <v>9428967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931</v>
      </c>
      <c r="C29" s="515">
        <v>1642756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634</v>
      </c>
      <c r="C30" s="515">
        <v>652602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946</v>
      </c>
      <c r="C31" s="518">
        <v>4781994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967</v>
      </c>
      <c r="C32" s="517">
        <f>SUM(C26+C27+C30)</f>
        <v>47201093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911</v>
      </c>
      <c r="C33" s="517">
        <f>SUM(C25+C32)</f>
        <v>112517502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252</v>
      </c>
      <c r="B35" s="509" t="s">
        <v>836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81</v>
      </c>
      <c r="C36" s="514">
        <f>SUM(C14+C25)</f>
        <v>89500134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82</v>
      </c>
      <c r="C37" s="518">
        <f>SUM(C21+C32)</f>
        <v>106094401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836</v>
      </c>
      <c r="C38" s="517">
        <f>SUM(+C36+C37)</f>
        <v>195594535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537</v>
      </c>
      <c r="B40" s="509" t="s">
        <v>976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839</v>
      </c>
      <c r="C41" s="513">
        <v>8751723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818</v>
      </c>
      <c r="C42" s="515">
        <v>14638639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964</v>
      </c>
      <c r="C43" s="515">
        <v>1541922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330</v>
      </c>
      <c r="C44" s="515">
        <v>1393883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931</v>
      </c>
      <c r="C45" s="515">
        <v>148039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634</v>
      </c>
      <c r="C46" s="515">
        <v>39949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946</v>
      </c>
      <c r="C47" s="515">
        <v>26382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977</v>
      </c>
      <c r="C48" s="517">
        <f>SUM(C42+C43+C46)</f>
        <v>16220510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906</v>
      </c>
      <c r="C49" s="517">
        <f>SUM(C41+C48)</f>
        <v>24972233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558</v>
      </c>
      <c r="B51" s="509" t="s">
        <v>978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839</v>
      </c>
      <c r="C52" s="513">
        <v>28858599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818</v>
      </c>
      <c r="C53" s="515">
        <v>7161657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964</v>
      </c>
      <c r="C54" s="515">
        <v>2291509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330</v>
      </c>
      <c r="C55" s="515">
        <v>2176516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931</v>
      </c>
      <c r="C56" s="515">
        <v>114993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634</v>
      </c>
      <c r="C57" s="515">
        <v>113167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946</v>
      </c>
      <c r="C58" s="515">
        <v>792161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979</v>
      </c>
      <c r="C59" s="517">
        <f>SUM(C53+C54+C57)</f>
        <v>9566333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912</v>
      </c>
      <c r="C60" s="517">
        <f>SUM(C52+C59)</f>
        <v>38424932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570</v>
      </c>
      <c r="B62" s="521" t="s">
        <v>837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83</v>
      </c>
      <c r="C63" s="514">
        <f>SUM(C41+C52)</f>
        <v>37610322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84</v>
      </c>
      <c r="C64" s="518">
        <f>SUM(C48+C59)</f>
        <v>25786843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837</v>
      </c>
      <c r="C65" s="517">
        <f>SUM(+C63+C64)</f>
        <v>63397165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260</v>
      </c>
      <c r="B67" s="501" t="s">
        <v>85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230</v>
      </c>
      <c r="B69" s="509" t="s">
        <v>86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839</v>
      </c>
      <c r="C70" s="530">
        <v>1333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818</v>
      </c>
      <c r="C71" s="530">
        <v>1807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964</v>
      </c>
      <c r="C72" s="530">
        <v>456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330</v>
      </c>
      <c r="C73" s="530">
        <v>404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931</v>
      </c>
      <c r="C74" s="530">
        <v>52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634</v>
      </c>
      <c r="C75" s="545">
        <v>22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946</v>
      </c>
      <c r="C76" s="545">
        <v>114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14</v>
      </c>
      <c r="C77" s="532">
        <f>SUM(C71+C72+C75)</f>
        <v>2285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908</v>
      </c>
      <c r="C78" s="596">
        <f>SUM(C70+C77)</f>
        <v>3618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242</v>
      </c>
      <c r="B80" s="509" t="s">
        <v>19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839</v>
      </c>
      <c r="C81" s="541">
        <v>1.0234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818</v>
      </c>
      <c r="C82" s="541">
        <v>1.29252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964</v>
      </c>
      <c r="C83" s="541">
        <f>((C73*C84)+(C74*C85))/(C73+C74)</f>
        <v>0.9626318421052631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330</v>
      </c>
      <c r="C84" s="541">
        <v>0.9272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931</v>
      </c>
      <c r="C85" s="541">
        <v>1.23791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634</v>
      </c>
      <c r="C86" s="541">
        <v>1.1757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946</v>
      </c>
      <c r="C87" s="541">
        <v>1.1298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20</v>
      </c>
      <c r="C88" s="543">
        <f>((C71*C82)+(C73*C84)+(C74*C85)+(C75*C86))/(C71+C73+C74+C75)</f>
        <v>1.2255619956236325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909</v>
      </c>
      <c r="C89" s="543">
        <f>((C70*C81)+(C71*C82)+(C73*C84)+(C74*C85)+(C75*C86))/(C70+C71+C73+C74+C75)</f>
        <v>1.1510783195135432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252</v>
      </c>
      <c r="B91" s="509" t="s">
        <v>21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22</v>
      </c>
      <c r="C92" s="513">
        <v>82051367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23</v>
      </c>
      <c r="C93" s="546">
        <v>36791779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851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935</v>
      </c>
      <c r="C95" s="513">
        <f>+C92-C93</f>
        <v>45259588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853</v>
      </c>
      <c r="C96" s="597">
        <f>(+C92-C93)/C92</f>
        <v>0.5516006576709441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950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936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87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25</v>
      </c>
      <c r="C103" s="513">
        <v>559676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26</v>
      </c>
      <c r="C104" s="513">
        <v>7812094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27</v>
      </c>
      <c r="C105" s="578">
        <f>+C103+C104</f>
        <v>8371770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28</v>
      </c>
      <c r="C107" s="513">
        <v>951983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893</v>
      </c>
      <c r="C108" s="513">
        <v>69149506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351</v>
      </c>
      <c r="B110" s="501" t="s">
        <v>58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230</v>
      </c>
      <c r="B112" s="509" t="s">
        <v>59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837</v>
      </c>
      <c r="C114" s="514">
        <f>+C65</f>
        <v>63397165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60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61</v>
      </c>
      <c r="C116" s="517">
        <f>+C114+C115</f>
        <v>63397165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62</v>
      </c>
      <c r="C118" s="578">
        <v>0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63</v>
      </c>
      <c r="C119" s="580">
        <f>+C116+C118</f>
        <v>63397165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64</v>
      </c>
      <c r="C121" s="513">
        <v>63397165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65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242</v>
      </c>
      <c r="B125" s="509" t="s">
        <v>66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67</v>
      </c>
      <c r="C127" s="514">
        <f>+C38</f>
        <v>195594535</v>
      </c>
      <c r="D127" s="588"/>
      <c r="AR127" s="507"/>
    </row>
    <row r="128" spans="1:44" s="506" customFormat="1" ht="12.75">
      <c r="A128" s="512">
        <v>2</v>
      </c>
      <c r="B128" s="583" t="s">
        <v>68</v>
      </c>
      <c r="C128" s="513">
        <v>0</v>
      </c>
      <c r="D128" s="588"/>
      <c r="AR128" s="507"/>
    </row>
    <row r="129" spans="1:44" s="506" customFormat="1" ht="12.75">
      <c r="A129" s="512"/>
      <c r="B129" s="516" t="s">
        <v>69</v>
      </c>
      <c r="C129" s="581">
        <f>C127+C128</f>
        <v>195594535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70</v>
      </c>
      <c r="C131" s="513">
        <v>195594535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65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252</v>
      </c>
      <c r="B135" s="509" t="s">
        <v>71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72</v>
      </c>
      <c r="C137" s="513">
        <f>C105</f>
        <v>8371770</v>
      </c>
      <c r="D137" s="588"/>
      <c r="AR137" s="507"/>
    </row>
    <row r="138" spans="1:44" s="506" customFormat="1" ht="12.75">
      <c r="A138" s="512">
        <v>2</v>
      </c>
      <c r="B138" s="511" t="s">
        <v>88</v>
      </c>
      <c r="C138" s="513">
        <v>0</v>
      </c>
      <c r="D138" s="588"/>
      <c r="AR138" s="507"/>
    </row>
    <row r="139" spans="1:44" s="506" customFormat="1" ht="12.75">
      <c r="A139" s="512"/>
      <c r="B139" s="516" t="s">
        <v>74</v>
      </c>
      <c r="C139" s="581">
        <f>C137+C138</f>
        <v>8371770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89</v>
      </c>
      <c r="C141" s="513">
        <v>8371770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76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FILING&amp;RJOHNSON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2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216</v>
      </c>
      <c r="B2" s="715"/>
      <c r="C2" s="715"/>
      <c r="D2" s="715"/>
      <c r="E2" s="715"/>
      <c r="F2" s="716"/>
    </row>
    <row r="3" spans="1:6" ht="15.75" customHeight="1">
      <c r="A3" s="714" t="s">
        <v>809</v>
      </c>
      <c r="B3" s="715"/>
      <c r="C3" s="715"/>
      <c r="D3" s="715"/>
      <c r="E3" s="715"/>
      <c r="F3" s="716"/>
    </row>
    <row r="4" spans="1:6" ht="15.75" customHeight="1">
      <c r="A4" s="714" t="s">
        <v>810</v>
      </c>
      <c r="B4" s="715"/>
      <c r="C4" s="715"/>
      <c r="D4" s="715"/>
      <c r="E4" s="715"/>
      <c r="F4" s="716"/>
    </row>
    <row r="5" spans="1:6" ht="15.75" customHeight="1">
      <c r="A5" s="714" t="s">
        <v>90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813</v>
      </c>
      <c r="D8" s="35" t="s">
        <v>813</v>
      </c>
      <c r="E8" s="35" t="s">
        <v>222</v>
      </c>
      <c r="F8" s="35" t="s">
        <v>223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224</v>
      </c>
      <c r="B9" s="606" t="s">
        <v>225</v>
      </c>
      <c r="C9" s="607" t="s">
        <v>815</v>
      </c>
      <c r="D9" s="607" t="s">
        <v>816</v>
      </c>
      <c r="E9" s="605" t="s">
        <v>227</v>
      </c>
      <c r="F9" s="605" t="s">
        <v>227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230</v>
      </c>
      <c r="B11" s="606" t="s">
        <v>91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92</v>
      </c>
      <c r="C12" s="49">
        <v>242</v>
      </c>
      <c r="D12" s="49">
        <v>256</v>
      </c>
      <c r="E12" s="49">
        <f>+D12-C12</f>
        <v>14</v>
      </c>
      <c r="F12" s="70">
        <f>IF(C12=0,0,+E12/C12)</f>
        <v>0.05785123966942149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93</v>
      </c>
      <c r="C13" s="49">
        <v>225</v>
      </c>
      <c r="D13" s="49">
        <v>215</v>
      </c>
      <c r="E13" s="49">
        <f>+D13-C13</f>
        <v>-10</v>
      </c>
      <c r="F13" s="70">
        <f>IF(C13=0,0,+E13/C13)</f>
        <v>-0.044444444444444446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94</v>
      </c>
      <c r="C15" s="51">
        <v>287523</v>
      </c>
      <c r="D15" s="51">
        <v>559676</v>
      </c>
      <c r="E15" s="51">
        <f>+D15-C15</f>
        <v>272153</v>
      </c>
      <c r="F15" s="70">
        <f>IF(C15=0,0,+E15/C15)</f>
        <v>0.9465434069622256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95</v>
      </c>
      <c r="C16" s="27">
        <f>IF(C13=0,0,+C15/+C13)</f>
        <v>1277.88</v>
      </c>
      <c r="D16" s="27">
        <f>IF(D13=0,0,+D15/+D13)</f>
        <v>2603.1441860465115</v>
      </c>
      <c r="E16" s="27">
        <f>+D16-C16</f>
        <v>1325.2641860465114</v>
      </c>
      <c r="F16" s="28">
        <f>IF(C16=0,0,+E16/C16)</f>
        <v>1.0370803096116312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96</v>
      </c>
      <c r="C18" s="210">
        <v>0.37113</v>
      </c>
      <c r="D18" s="210">
        <v>0.319543</v>
      </c>
      <c r="E18" s="210">
        <f>+D18-C18</f>
        <v>-0.051586999999999994</v>
      </c>
      <c r="F18" s="70">
        <f>IF(C18=0,0,+E18/C18)</f>
        <v>-0.13899981138684556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97</v>
      </c>
      <c r="C19" s="27">
        <f>+C15*C18</f>
        <v>106708.41099</v>
      </c>
      <c r="D19" s="27">
        <f>+D15*D18</f>
        <v>178840.548068</v>
      </c>
      <c r="E19" s="27">
        <f>+D19-C19</f>
        <v>72132.137078</v>
      </c>
      <c r="F19" s="28">
        <f>IF(C19=0,0,+E19/C19)</f>
        <v>0.6759742405381685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98</v>
      </c>
      <c r="C20" s="27">
        <f>IF(C13=0,0,+C19/C13)</f>
        <v>474.2596044</v>
      </c>
      <c r="D20" s="27">
        <f>IF(D13=0,0,+D19/D13)</f>
        <v>831.8165026418604</v>
      </c>
      <c r="E20" s="27">
        <f>+D20-C20</f>
        <v>357.55689824186044</v>
      </c>
      <c r="F20" s="28">
        <f>IF(C20=0,0,+E20/C20)</f>
        <v>0.7539265307957577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99</v>
      </c>
      <c r="C22" s="51">
        <v>98776</v>
      </c>
      <c r="D22" s="51">
        <v>351141</v>
      </c>
      <c r="E22" s="51">
        <f>+D22-C22</f>
        <v>252365</v>
      </c>
      <c r="F22" s="70">
        <f>IF(C22=0,0,+E22/C22)</f>
        <v>2.55492224831943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100</v>
      </c>
      <c r="C23" s="49">
        <v>126427</v>
      </c>
      <c r="D23" s="49">
        <v>158840</v>
      </c>
      <c r="E23" s="49">
        <f>+D23-C23</f>
        <v>32413</v>
      </c>
      <c r="F23" s="70">
        <f>IF(C23=0,0,+E23/C23)</f>
        <v>0.2563771979086746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101</v>
      </c>
      <c r="C24" s="49">
        <v>62320</v>
      </c>
      <c r="D24" s="49">
        <v>49695</v>
      </c>
      <c r="E24" s="49">
        <f>+D24-C24</f>
        <v>-12625</v>
      </c>
      <c r="F24" s="70">
        <f>IF(C24=0,0,+E24/C24)</f>
        <v>-0.20258344030808728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94</v>
      </c>
      <c r="C25" s="27">
        <f>+C22+C23+C24</f>
        <v>287523</v>
      </c>
      <c r="D25" s="27">
        <f>+D22+D23+D24</f>
        <v>559676</v>
      </c>
      <c r="E25" s="27">
        <f>+E22+E23+E24</f>
        <v>272153</v>
      </c>
      <c r="F25" s="28">
        <f>IF(C25=0,0,+E25/C25)</f>
        <v>0.9465434069622256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102</v>
      </c>
      <c r="C27" s="49">
        <v>29</v>
      </c>
      <c r="D27" s="49">
        <v>67</v>
      </c>
      <c r="E27" s="49">
        <f>+D27-C27</f>
        <v>38</v>
      </c>
      <c r="F27" s="70">
        <f>IF(C27=0,0,+E27/C27)</f>
        <v>1.3103448275862069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103</v>
      </c>
      <c r="C28" s="49">
        <v>26</v>
      </c>
      <c r="D28" s="49">
        <v>34</v>
      </c>
      <c r="E28" s="49">
        <f>+D28-C28</f>
        <v>8</v>
      </c>
      <c r="F28" s="70">
        <f>IF(C28=0,0,+E28/C28)</f>
        <v>0.3076923076923077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104</v>
      </c>
      <c r="C29" s="49">
        <v>116</v>
      </c>
      <c r="D29" s="49">
        <v>99</v>
      </c>
      <c r="E29" s="49">
        <f>+D29-C29</f>
        <v>-17</v>
      </c>
      <c r="F29" s="70">
        <f>IF(C29=0,0,+E29/C29)</f>
        <v>-0.14655172413793102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105</v>
      </c>
      <c r="C30" s="49">
        <v>78</v>
      </c>
      <c r="D30" s="49">
        <v>76</v>
      </c>
      <c r="E30" s="49">
        <f>+D30-C30</f>
        <v>-2</v>
      </c>
      <c r="F30" s="70">
        <f>IF(C30=0,0,+E30/C30)</f>
        <v>-0.02564102564102564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242</v>
      </c>
      <c r="B32" s="606" t="s">
        <v>106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107</v>
      </c>
      <c r="C33" s="51">
        <v>2490675</v>
      </c>
      <c r="D33" s="51">
        <v>1517208</v>
      </c>
      <c r="E33" s="51">
        <f>+D33-C33</f>
        <v>-973467</v>
      </c>
      <c r="F33" s="70">
        <f>IF(C33=0,0,+E33/C33)</f>
        <v>-0.3908446505465386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108</v>
      </c>
      <c r="C34" s="49">
        <v>1560763</v>
      </c>
      <c r="D34" s="49">
        <v>1510550</v>
      </c>
      <c r="E34" s="49">
        <f>+D34-C34</f>
        <v>-50213</v>
      </c>
      <c r="F34" s="70">
        <f>IF(C34=0,0,+E34/C34)</f>
        <v>-0.03217208506352342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109</v>
      </c>
      <c r="C35" s="49">
        <v>4535228</v>
      </c>
      <c r="D35" s="49">
        <v>4784336</v>
      </c>
      <c r="E35" s="49">
        <f>+D35-C35</f>
        <v>249108</v>
      </c>
      <c r="F35" s="70">
        <f>IF(C35=0,0,+E35/C35)</f>
        <v>0.05492733772149934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110</v>
      </c>
      <c r="C36" s="27">
        <f>+C33+C34+C35</f>
        <v>8586666</v>
      </c>
      <c r="D36" s="27">
        <f>+D33+D34+D35</f>
        <v>7812094</v>
      </c>
      <c r="E36" s="27">
        <f>+E33+E34+E35</f>
        <v>-774572</v>
      </c>
      <c r="F36" s="28">
        <f>IF(C36=0,0,+E36/C36)</f>
        <v>-0.09020637346322775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252</v>
      </c>
      <c r="B38" s="606" t="s">
        <v>111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112</v>
      </c>
      <c r="C39" s="51">
        <f>+C25</f>
        <v>287523</v>
      </c>
      <c r="D39" s="51">
        <f>+D25</f>
        <v>559676</v>
      </c>
      <c r="E39" s="51">
        <f>+D39-C39</f>
        <v>272153</v>
      </c>
      <c r="F39" s="70">
        <f>IF(C39=0,0,+E39/C39)</f>
        <v>0.9465434069622256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113</v>
      </c>
      <c r="C40" s="49">
        <f>+C36</f>
        <v>8586666</v>
      </c>
      <c r="D40" s="49">
        <f>+D36</f>
        <v>7812094</v>
      </c>
      <c r="E40" s="49">
        <f>+D40-C40</f>
        <v>-774572</v>
      </c>
      <c r="F40" s="70">
        <f>IF(C40=0,0,+E40/C40)</f>
        <v>-0.09020637346322775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114</v>
      </c>
      <c r="C41" s="27">
        <f>+C39+C40</f>
        <v>8874189</v>
      </c>
      <c r="D41" s="27">
        <f>+D39+D40</f>
        <v>8371770</v>
      </c>
      <c r="E41" s="27">
        <f>+E39+E40</f>
        <v>-502419</v>
      </c>
      <c r="F41" s="28">
        <f>IF(C41=0,0,+E41/C41)</f>
        <v>-0.05661576511385998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115</v>
      </c>
      <c r="C43" s="51">
        <f aca="true" t="shared" si="0" ref="C43:D45">+C22+C33</f>
        <v>2589451</v>
      </c>
      <c r="D43" s="51">
        <f t="shared" si="0"/>
        <v>1868349</v>
      </c>
      <c r="E43" s="51">
        <f>+D43-C43</f>
        <v>-721102</v>
      </c>
      <c r="F43" s="70">
        <f>IF(C43=0,0,+E43/C43)</f>
        <v>-0.2784767890954492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116</v>
      </c>
      <c r="C44" s="49">
        <f t="shared" si="0"/>
        <v>1687190</v>
      </c>
      <c r="D44" s="49">
        <f t="shared" si="0"/>
        <v>1669390</v>
      </c>
      <c r="E44" s="49">
        <f>+D44-C44</f>
        <v>-17800</v>
      </c>
      <c r="F44" s="70">
        <f>IF(C44=0,0,+E44/C44)</f>
        <v>-0.010550086238064475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117</v>
      </c>
      <c r="C45" s="49">
        <f t="shared" si="0"/>
        <v>4597548</v>
      </c>
      <c r="D45" s="49">
        <f t="shared" si="0"/>
        <v>4834031</v>
      </c>
      <c r="E45" s="49">
        <f>+D45-C45</f>
        <v>236483</v>
      </c>
      <c r="F45" s="70">
        <f>IF(C45=0,0,+E45/C45)</f>
        <v>0.051436765858670755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114</v>
      </c>
      <c r="C46" s="27">
        <f>+C43+C44+C45</f>
        <v>8874189</v>
      </c>
      <c r="D46" s="27">
        <f>+D43+D44+D45</f>
        <v>8371770</v>
      </c>
      <c r="E46" s="27">
        <f>+E43+E44+E45</f>
        <v>-502419</v>
      </c>
      <c r="F46" s="28">
        <f>IF(C46=0,0,+E46/C46)</f>
        <v>-0.05661576511385998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118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FILING&amp;RJOHNSON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D19" sqref="D19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216</v>
      </c>
      <c r="B2" s="715"/>
      <c r="C2" s="715"/>
      <c r="D2" s="715"/>
      <c r="E2" s="715"/>
      <c r="F2" s="716"/>
    </row>
    <row r="3" spans="1:6" ht="15.75" customHeight="1">
      <c r="A3" s="714" t="s">
        <v>809</v>
      </c>
      <c r="B3" s="715"/>
      <c r="C3" s="715"/>
      <c r="D3" s="715"/>
      <c r="E3" s="715"/>
      <c r="F3" s="716"/>
    </row>
    <row r="4" spans="1:6" ht="15.75" customHeight="1">
      <c r="A4" s="714" t="s">
        <v>810</v>
      </c>
      <c r="B4" s="715"/>
      <c r="C4" s="715"/>
      <c r="D4" s="715"/>
      <c r="E4" s="715"/>
      <c r="F4" s="716"/>
    </row>
    <row r="5" spans="1:6" ht="15.75" customHeight="1">
      <c r="A5" s="714" t="s">
        <v>119</v>
      </c>
      <c r="B5" s="715"/>
      <c r="C5" s="715"/>
      <c r="D5" s="715"/>
      <c r="E5" s="715"/>
      <c r="F5" s="716"/>
    </row>
    <row r="6" spans="1:6" ht="15.75" customHeight="1">
      <c r="A6" s="714" t="s">
        <v>120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815</v>
      </c>
      <c r="D9" s="35" t="s">
        <v>816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121</v>
      </c>
      <c r="D10" s="35" t="s">
        <v>121</v>
      </c>
      <c r="E10" s="35" t="s">
        <v>222</v>
      </c>
      <c r="F10" s="35" t="s">
        <v>223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224</v>
      </c>
      <c r="B11" s="606" t="s">
        <v>225</v>
      </c>
      <c r="C11" s="605" t="s">
        <v>122</v>
      </c>
      <c r="D11" s="605" t="s">
        <v>122</v>
      </c>
      <c r="E11" s="605" t="s">
        <v>227</v>
      </c>
      <c r="F11" s="605" t="s">
        <v>227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123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541</v>
      </c>
      <c r="C15" s="51">
        <v>108426265</v>
      </c>
      <c r="D15" s="51">
        <v>82051367</v>
      </c>
      <c r="E15" s="51">
        <f>+D15-C15</f>
        <v>-26374898</v>
      </c>
      <c r="F15" s="70">
        <f>+E15/C15</f>
        <v>-0.2432519279346199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720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124</v>
      </c>
      <c r="C17" s="51">
        <v>67179383</v>
      </c>
      <c r="D17" s="51">
        <v>45259588</v>
      </c>
      <c r="E17" s="51">
        <f>+D17-C17</f>
        <v>-21919795</v>
      </c>
      <c r="F17" s="70">
        <f>+E17/C17</f>
        <v>-0.3262875308039075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125</v>
      </c>
      <c r="C19" s="27">
        <f>+C15-C17</f>
        <v>41246882</v>
      </c>
      <c r="D19" s="27">
        <f>+D15-D17</f>
        <v>36791779</v>
      </c>
      <c r="E19" s="27">
        <f>+D19-C19</f>
        <v>-4455103</v>
      </c>
      <c r="F19" s="28">
        <f>+E19/C19</f>
        <v>-0.10801066126646858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126</v>
      </c>
      <c r="C21" s="628">
        <f>+C17/C15</f>
        <v>0.6195858817049541</v>
      </c>
      <c r="D21" s="628">
        <f>+D17/D15</f>
        <v>0.5516006576709441</v>
      </c>
      <c r="E21" s="628">
        <f>+D21-C21</f>
        <v>-0.06798522403400997</v>
      </c>
      <c r="F21" s="28">
        <f>+E21/C21</f>
        <v>-0.10972687732478778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720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720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720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720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127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FILING&amp;R&amp;12JOHNSON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216</v>
      </c>
      <c r="B1" s="718"/>
      <c r="C1" s="718"/>
      <c r="D1" s="718"/>
      <c r="E1" s="718"/>
      <c r="F1" s="630"/>
    </row>
    <row r="2" spans="1:6" ht="25.5" customHeight="1">
      <c r="A2" s="718" t="s">
        <v>217</v>
      </c>
      <c r="B2" s="718"/>
      <c r="C2" s="718"/>
      <c r="D2" s="718"/>
      <c r="E2" s="718"/>
      <c r="F2" s="630"/>
    </row>
    <row r="3" spans="1:6" ht="25.5" customHeight="1">
      <c r="A3" s="718" t="s">
        <v>218</v>
      </c>
      <c r="B3" s="718"/>
      <c r="C3" s="718"/>
      <c r="D3" s="718"/>
      <c r="E3" s="718"/>
      <c r="F3" s="630"/>
    </row>
    <row r="4" spans="1:6" ht="25.5" customHeight="1">
      <c r="A4" s="718" t="s">
        <v>128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129</v>
      </c>
      <c r="B6" s="632" t="s">
        <v>130</v>
      </c>
      <c r="C6" s="632" t="s">
        <v>131</v>
      </c>
      <c r="D6" s="632" t="s">
        <v>132</v>
      </c>
      <c r="E6" s="632" t="s">
        <v>133</v>
      </c>
    </row>
    <row r="7" spans="1:5" ht="37.5" customHeight="1">
      <c r="A7" s="633" t="s">
        <v>224</v>
      </c>
      <c r="B7" s="634" t="s">
        <v>134</v>
      </c>
      <c r="C7" s="631" t="s">
        <v>135</v>
      </c>
      <c r="D7" s="631" t="s">
        <v>136</v>
      </c>
      <c r="E7" s="631" t="s">
        <v>137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230</v>
      </c>
      <c r="B9" s="637" t="s">
        <v>138</v>
      </c>
      <c r="C9" s="638"/>
      <c r="D9" s="638"/>
      <c r="E9" s="638"/>
    </row>
    <row r="10" spans="1:5" ht="25.5" customHeight="1">
      <c r="A10" s="639">
        <v>1</v>
      </c>
      <c r="B10" s="640" t="s">
        <v>139</v>
      </c>
      <c r="C10" s="641">
        <v>102371505</v>
      </c>
      <c r="D10" s="641">
        <v>100081615</v>
      </c>
      <c r="E10" s="641">
        <v>83077033</v>
      </c>
    </row>
    <row r="11" spans="1:5" ht="25.5" customHeight="1">
      <c r="A11" s="639">
        <v>2</v>
      </c>
      <c r="B11" s="640" t="s">
        <v>140</v>
      </c>
      <c r="C11" s="641">
        <v>106579994</v>
      </c>
      <c r="D11" s="641">
        <v>136523764</v>
      </c>
      <c r="E11" s="641">
        <v>112517502</v>
      </c>
    </row>
    <row r="12" spans="1:5" ht="25.5" customHeight="1">
      <c r="A12" s="639">
        <v>3</v>
      </c>
      <c r="B12" s="640" t="s">
        <v>287</v>
      </c>
      <c r="C12" s="641">
        <f>+C11+C10</f>
        <v>208951499</v>
      </c>
      <c r="D12" s="641">
        <f>+D11+D10</f>
        <v>236605379</v>
      </c>
      <c r="E12" s="641">
        <f>+E11+E10</f>
        <v>195594535</v>
      </c>
    </row>
    <row r="13" spans="1:5" ht="25.5" customHeight="1">
      <c r="A13" s="639">
        <v>4</v>
      </c>
      <c r="B13" s="640" t="s">
        <v>700</v>
      </c>
      <c r="C13" s="641">
        <v>63714589</v>
      </c>
      <c r="D13" s="641">
        <v>71034672</v>
      </c>
      <c r="E13" s="641">
        <v>63397165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242</v>
      </c>
      <c r="B15" s="642" t="s">
        <v>540</v>
      </c>
      <c r="C15" s="641"/>
      <c r="D15" s="641"/>
      <c r="E15" s="641"/>
    </row>
    <row r="16" spans="1:5" ht="25.5" customHeight="1">
      <c r="A16" s="639">
        <v>1</v>
      </c>
      <c r="B16" s="640" t="s">
        <v>141</v>
      </c>
      <c r="C16" s="641">
        <v>77430267</v>
      </c>
      <c r="D16" s="641">
        <v>75843310</v>
      </c>
      <c r="E16" s="641">
        <v>69149506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252</v>
      </c>
      <c r="B18" s="642" t="s">
        <v>142</v>
      </c>
      <c r="C18" s="643"/>
      <c r="D18" s="643"/>
      <c r="E18" s="641"/>
    </row>
    <row r="19" spans="1:5" ht="25.5" customHeight="1">
      <c r="A19" s="639">
        <v>1</v>
      </c>
      <c r="B19" s="640" t="s">
        <v>588</v>
      </c>
      <c r="C19" s="644">
        <v>24905</v>
      </c>
      <c r="D19" s="644">
        <v>21656</v>
      </c>
      <c r="E19" s="644">
        <v>17998</v>
      </c>
    </row>
    <row r="20" spans="1:5" ht="25.5" customHeight="1">
      <c r="A20" s="639">
        <v>2</v>
      </c>
      <c r="B20" s="640" t="s">
        <v>589</v>
      </c>
      <c r="C20" s="645">
        <v>4433</v>
      </c>
      <c r="D20" s="645">
        <v>4087</v>
      </c>
      <c r="E20" s="645">
        <v>3618</v>
      </c>
    </row>
    <row r="21" spans="1:5" ht="25.5" customHeight="1">
      <c r="A21" s="639">
        <v>3</v>
      </c>
      <c r="B21" s="640" t="s">
        <v>143</v>
      </c>
      <c r="C21" s="646">
        <f>IF(C20=0,0,+C19/C20)</f>
        <v>5.618091585833521</v>
      </c>
      <c r="D21" s="646">
        <f>IF(D20=0,0,+D19/D20)</f>
        <v>5.2987521409346705</v>
      </c>
      <c r="E21" s="646">
        <f>IF(E20=0,0,+E19/E20)</f>
        <v>4.974571586511885</v>
      </c>
    </row>
    <row r="22" spans="1:5" ht="25.5" customHeight="1">
      <c r="A22" s="639">
        <v>4</v>
      </c>
      <c r="B22" s="640" t="s">
        <v>144</v>
      </c>
      <c r="C22" s="645">
        <f>IF(C10=0,0,C19*(C12/C10))</f>
        <v>50833.8436813545</v>
      </c>
      <c r="D22" s="645">
        <f>IF(D10=0,0,D19*(D12/D10))</f>
        <v>51197.47605615677</v>
      </c>
      <c r="E22" s="645">
        <f>IF(E10=0,0,E19*(E12/E10))</f>
        <v>42374.05109219536</v>
      </c>
    </row>
    <row r="23" spans="1:5" ht="25.5" customHeight="1">
      <c r="A23" s="639">
        <v>0</v>
      </c>
      <c r="B23" s="640" t="s">
        <v>145</v>
      </c>
      <c r="C23" s="645">
        <f>IF(C10=0,0,C20*(C12/C10))</f>
        <v>9048.24047538424</v>
      </c>
      <c r="D23" s="645">
        <f>IF(D10=0,0,D20*(D12/D10))</f>
        <v>9662.176054742922</v>
      </c>
      <c r="E23" s="645">
        <f>IF(E10=0,0,E20*(E12/E10))</f>
        <v>8518.1307285011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537</v>
      </c>
      <c r="B25" s="642" t="s">
        <v>146</v>
      </c>
      <c r="C25" s="645"/>
      <c r="D25" s="645"/>
      <c r="E25" s="645"/>
    </row>
    <row r="26" spans="1:5" ht="25.5" customHeight="1">
      <c r="A26" s="639">
        <v>1</v>
      </c>
      <c r="B26" s="640" t="s">
        <v>638</v>
      </c>
      <c r="C26" s="647">
        <v>1.02038542747575</v>
      </c>
      <c r="D26" s="647">
        <v>1.101892781991681</v>
      </c>
      <c r="E26" s="647">
        <v>1.1510783195135432</v>
      </c>
    </row>
    <row r="27" spans="1:5" ht="25.5" customHeight="1">
      <c r="A27" s="639">
        <v>2</v>
      </c>
      <c r="B27" s="640" t="s">
        <v>147</v>
      </c>
      <c r="C27" s="645">
        <f>C19*C26</f>
        <v>25412.699071283554</v>
      </c>
      <c r="D27" s="645">
        <f>D19*D26</f>
        <v>23862.590086811844</v>
      </c>
      <c r="E27" s="645">
        <f>E19*E26</f>
        <v>20717.10759460475</v>
      </c>
    </row>
    <row r="28" spans="1:5" ht="25.5" customHeight="1">
      <c r="A28" s="639">
        <v>3</v>
      </c>
      <c r="B28" s="640" t="s">
        <v>148</v>
      </c>
      <c r="C28" s="645">
        <f>C20*C26</f>
        <v>4523.3686</v>
      </c>
      <c r="D28" s="645">
        <f>D20*D26</f>
        <v>4503.4358</v>
      </c>
      <c r="E28" s="645">
        <f>E20*E26</f>
        <v>4164.60136</v>
      </c>
    </row>
    <row r="29" spans="1:5" ht="25.5" customHeight="1">
      <c r="A29" s="639">
        <v>4</v>
      </c>
      <c r="B29" s="640" t="s">
        <v>149</v>
      </c>
      <c r="C29" s="645">
        <f>C22*C26</f>
        <v>51870.11331503436</v>
      </c>
      <c r="D29" s="645">
        <f>D22*D26</f>
        <v>56414.12932247106</v>
      </c>
      <c r="E29" s="645">
        <f>E22*E26</f>
        <v>48775.85152218526</v>
      </c>
    </row>
    <row r="30" spans="1:5" ht="25.5" customHeight="1">
      <c r="A30" s="639">
        <v>5</v>
      </c>
      <c r="B30" s="640" t="s">
        <v>150</v>
      </c>
      <c r="C30" s="645">
        <f>C23*C26</f>
        <v>9232.69272537833</v>
      </c>
      <c r="D30" s="645">
        <f>D23*D26</f>
        <v>10646.682053054084</v>
      </c>
      <c r="E30" s="645">
        <f>E23*E26</f>
        <v>9805.03560435972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558</v>
      </c>
      <c r="B32" s="634" t="s">
        <v>151</v>
      </c>
      <c r="C32" s="648"/>
      <c r="D32" s="648"/>
      <c r="E32" s="645"/>
    </row>
    <row r="33" spans="1:5" ht="25.5" customHeight="1">
      <c r="A33" s="639">
        <v>1</v>
      </c>
      <c r="B33" s="640" t="s">
        <v>152</v>
      </c>
      <c r="C33" s="641">
        <f>IF(C19=0,0,C12/C19)</f>
        <v>8389.941738606705</v>
      </c>
      <c r="D33" s="641">
        <f>IF(D19=0,0,D12/D19)</f>
        <v>10925.627031769487</v>
      </c>
      <c r="E33" s="641">
        <f>IF(E19=0,0,E12/E19)</f>
        <v>10867.570563395933</v>
      </c>
    </row>
    <row r="34" spans="1:5" ht="25.5" customHeight="1">
      <c r="A34" s="639">
        <v>2</v>
      </c>
      <c r="B34" s="640" t="s">
        <v>153</v>
      </c>
      <c r="C34" s="641">
        <f>IF(C20=0,0,C12/C20)</f>
        <v>47135.461087299795</v>
      </c>
      <c r="D34" s="641">
        <f>IF(D20=0,0,D12/D20)</f>
        <v>57892.18962564228</v>
      </c>
      <c r="E34" s="641">
        <f>IF(E20=0,0,E12/E20)</f>
        <v>54061.507739082364</v>
      </c>
    </row>
    <row r="35" spans="1:5" ht="25.5" customHeight="1">
      <c r="A35" s="639">
        <v>3</v>
      </c>
      <c r="B35" s="640" t="s">
        <v>154</v>
      </c>
      <c r="C35" s="641">
        <f>IF(C22=0,0,C12/C22)</f>
        <v>4110.480024091547</v>
      </c>
      <c r="D35" s="641">
        <f>IF(D22=0,0,D12/D22)</f>
        <v>4621.426625415589</v>
      </c>
      <c r="E35" s="641">
        <f>IF(E22=0,0,E12/E22)</f>
        <v>4615.9036004000445</v>
      </c>
    </row>
    <row r="36" spans="1:5" ht="25.5" customHeight="1">
      <c r="A36" s="639">
        <v>4</v>
      </c>
      <c r="B36" s="640" t="s">
        <v>155</v>
      </c>
      <c r="C36" s="641">
        <f>IF(C23=0,0,C12/C23)</f>
        <v>23093.053237085493</v>
      </c>
      <c r="D36" s="641">
        <f>IF(D23=0,0,D12/D23)</f>
        <v>24487.794225593345</v>
      </c>
      <c r="E36" s="641">
        <f>IF(E23=0,0,E12/E23)</f>
        <v>22962.14289662797</v>
      </c>
    </row>
    <row r="37" spans="1:5" ht="25.5" customHeight="1">
      <c r="A37" s="639">
        <v>5</v>
      </c>
      <c r="B37" s="640" t="s">
        <v>156</v>
      </c>
      <c r="C37" s="641">
        <f>IF(C29=0,0,C12/C29)</f>
        <v>4028.360179800035</v>
      </c>
      <c r="D37" s="641">
        <f>IF(D29=0,0,D12/D29)</f>
        <v>4194.080132789616</v>
      </c>
      <c r="E37" s="641">
        <f>IF(E29=0,0,E12/E29)</f>
        <v>4010.0690996862572</v>
      </c>
    </row>
    <row r="38" spans="1:5" ht="25.5" customHeight="1">
      <c r="A38" s="639">
        <v>6</v>
      </c>
      <c r="B38" s="640" t="s">
        <v>157</v>
      </c>
      <c r="C38" s="641">
        <f>IF(C30=0,0,C12/C30)</f>
        <v>22631.696430841388</v>
      </c>
      <c r="D38" s="641">
        <f>IF(D30=0,0,D12/D30)</f>
        <v>22223.391082870545</v>
      </c>
      <c r="E38" s="641">
        <f>IF(E30=0,0,E12/E30)</f>
        <v>19948.375803248553</v>
      </c>
    </row>
    <row r="39" spans="1:5" ht="25.5" customHeight="1">
      <c r="A39" s="639">
        <v>7</v>
      </c>
      <c r="B39" s="640" t="s">
        <v>158</v>
      </c>
      <c r="C39" s="641">
        <f>IF(C22=0,0,C10/C22)</f>
        <v>2013.8454538614628</v>
      </c>
      <c r="D39" s="641">
        <f>IF(D22=0,0,D10/D22)</f>
        <v>1954.815407115458</v>
      </c>
      <c r="E39" s="641">
        <f>IF(E22=0,0,E10/E22)</f>
        <v>1960.5638559137315</v>
      </c>
    </row>
    <row r="40" spans="1:5" ht="25.5" customHeight="1">
      <c r="A40" s="639">
        <v>8</v>
      </c>
      <c r="B40" s="640" t="s">
        <v>159</v>
      </c>
      <c r="C40" s="641">
        <f>IF(C23=0,0,C10/C23)</f>
        <v>11313.968199508172</v>
      </c>
      <c r="D40" s="641">
        <f>IF(D23=0,0,D10/D23)</f>
        <v>10358.082323585113</v>
      </c>
      <c r="E40" s="641">
        <f>IF(E23=0,0,E10/E23)</f>
        <v>9752.96525117063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570</v>
      </c>
      <c r="B42" s="634" t="s">
        <v>160</v>
      </c>
      <c r="C42" s="641"/>
      <c r="D42" s="641"/>
      <c r="E42" s="641"/>
    </row>
    <row r="43" spans="1:5" ht="25.5" customHeight="1">
      <c r="A43" s="639">
        <v>1</v>
      </c>
      <c r="B43" s="640" t="s">
        <v>161</v>
      </c>
      <c r="C43" s="641">
        <f>IF(C19=0,0,C13/C19)</f>
        <v>2558.305119453925</v>
      </c>
      <c r="D43" s="641">
        <f>IF(D19=0,0,D13/D19)</f>
        <v>3280.138160325083</v>
      </c>
      <c r="E43" s="641">
        <f>IF(E19=0,0,E13/E19)</f>
        <v>3522.456106234026</v>
      </c>
    </row>
    <row r="44" spans="1:5" ht="25.5" customHeight="1">
      <c r="A44" s="639">
        <v>2</v>
      </c>
      <c r="B44" s="640" t="s">
        <v>162</v>
      </c>
      <c r="C44" s="641">
        <f>IF(C20=0,0,C13/C20)</f>
        <v>14372.792465598917</v>
      </c>
      <c r="D44" s="641">
        <f>IF(D20=0,0,D13/D20)</f>
        <v>17380.63909958405</v>
      </c>
      <c r="E44" s="641">
        <f>IF(E20=0,0,E13/E20)</f>
        <v>17522.710060807076</v>
      </c>
    </row>
    <row r="45" spans="1:5" ht="25.5" customHeight="1">
      <c r="A45" s="639">
        <v>3</v>
      </c>
      <c r="B45" s="640" t="s">
        <v>163</v>
      </c>
      <c r="C45" s="641">
        <f>IF(C22=0,0,C13/C22)</f>
        <v>1253.389167252172</v>
      </c>
      <c r="D45" s="641">
        <f>IF(D22=0,0,D13/D22)</f>
        <v>1387.4643336340348</v>
      </c>
      <c r="E45" s="641">
        <f>IF(E22=0,0,E13/E22)</f>
        <v>1496.1317921211637</v>
      </c>
    </row>
    <row r="46" spans="1:5" ht="25.5" customHeight="1">
      <c r="A46" s="639">
        <v>4</v>
      </c>
      <c r="B46" s="640" t="s">
        <v>164</v>
      </c>
      <c r="C46" s="641">
        <f>IF(C23=0,0,C13/C23)</f>
        <v>7041.655134314311</v>
      </c>
      <c r="D46" s="641">
        <f>IF(D23=0,0,D13/D23)</f>
        <v>7351.8296083138375</v>
      </c>
      <c r="E46" s="641">
        <f>IF(E23=0,0,E13/E23)</f>
        <v>7442.614702763048</v>
      </c>
    </row>
    <row r="47" spans="1:5" ht="25.5" customHeight="1">
      <c r="A47" s="639">
        <v>5</v>
      </c>
      <c r="B47" s="640" t="s">
        <v>165</v>
      </c>
      <c r="C47" s="641">
        <f>IF(C29=0,0,C13/C29)</f>
        <v>1228.3487528362998</v>
      </c>
      <c r="D47" s="641">
        <f>IF(D29=0,0,D13/D29)</f>
        <v>1259.164554219314</v>
      </c>
      <c r="E47" s="641">
        <f>IF(E29=0,0,E13/E29)</f>
        <v>1299.7654171381173</v>
      </c>
    </row>
    <row r="48" spans="1:5" ht="25.5" customHeight="1">
      <c r="A48" s="639">
        <v>6</v>
      </c>
      <c r="B48" s="640" t="s">
        <v>166</v>
      </c>
      <c r="C48" s="641">
        <f>IF(C30=0,0,C13/C30)</f>
        <v>6900.975792778715</v>
      </c>
      <c r="D48" s="641">
        <f>IF(D30=0,0,D13/D30)</f>
        <v>6672.0008774586395</v>
      </c>
      <c r="E48" s="641">
        <f>IF(E30=0,0,E13/E30)</f>
        <v>6465.7761132260475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582</v>
      </c>
      <c r="B50" s="634" t="s">
        <v>167</v>
      </c>
      <c r="C50" s="648"/>
      <c r="D50" s="648"/>
      <c r="E50" s="641"/>
    </row>
    <row r="51" spans="1:5" ht="25.5" customHeight="1">
      <c r="A51" s="639">
        <v>1</v>
      </c>
      <c r="B51" s="640" t="s">
        <v>168</v>
      </c>
      <c r="C51" s="641">
        <f>IF(C19=0,0,C16/C19)</f>
        <v>3109.0249749046375</v>
      </c>
      <c r="D51" s="641">
        <f>IF(D19=0,0,D16/D19)</f>
        <v>3502.1846139637973</v>
      </c>
      <c r="E51" s="641">
        <f>IF(E19=0,0,E16/E19)</f>
        <v>3842.0661184576065</v>
      </c>
    </row>
    <row r="52" spans="1:5" ht="25.5" customHeight="1">
      <c r="A52" s="639">
        <v>2</v>
      </c>
      <c r="B52" s="640" t="s">
        <v>169</v>
      </c>
      <c r="C52" s="641">
        <f>IF(C20=0,0,C16/C20)</f>
        <v>17466.78705165802</v>
      </c>
      <c r="D52" s="641">
        <f>IF(D20=0,0,D16/D20)</f>
        <v>18557.208221189136</v>
      </c>
      <c r="E52" s="641">
        <f>IF(E20=0,0,E16/E20)</f>
        <v>19112.632946379214</v>
      </c>
    </row>
    <row r="53" spans="1:5" ht="25.5" customHeight="1">
      <c r="A53" s="639">
        <v>3</v>
      </c>
      <c r="B53" s="640" t="s">
        <v>170</v>
      </c>
      <c r="C53" s="641">
        <f>IF(C22=0,0,C16/C22)</f>
        <v>1523.2030748129496</v>
      </c>
      <c r="D53" s="641">
        <f>IF(D22=0,0,D16/D22)</f>
        <v>1481.3876745957175</v>
      </c>
      <c r="E53" s="641">
        <f>IF(E22=0,0,E16/E22)</f>
        <v>1631.8832921956866</v>
      </c>
    </row>
    <row r="54" spans="1:5" ht="25.5" customHeight="1">
      <c r="A54" s="639">
        <v>4</v>
      </c>
      <c r="B54" s="640" t="s">
        <v>171</v>
      </c>
      <c r="C54" s="641">
        <f>IF(C23=0,0,C16/C23)</f>
        <v>8557.49437812238</v>
      </c>
      <c r="D54" s="641">
        <f>IF(D23=0,0,D16/D23)</f>
        <v>7849.506112318291</v>
      </c>
      <c r="E54" s="641">
        <f>IF(E23=0,0,E16/E23)</f>
        <v>8117.920257860135</v>
      </c>
    </row>
    <row r="55" spans="1:5" ht="25.5" customHeight="1">
      <c r="A55" s="639">
        <v>5</v>
      </c>
      <c r="B55" s="640" t="s">
        <v>172</v>
      </c>
      <c r="C55" s="641">
        <f>IF(C29=0,0,C16/C29)</f>
        <v>1492.7722738858395</v>
      </c>
      <c r="D55" s="641">
        <f>IF(D29=0,0,D16/D29)</f>
        <v>1344.4027393646195</v>
      </c>
      <c r="E55" s="641">
        <f>IF(E29=0,0,E16/E29)</f>
        <v>1417.6996165520138</v>
      </c>
    </row>
    <row r="56" spans="1:5" ht="25.5" customHeight="1">
      <c r="A56" s="639">
        <v>6</v>
      </c>
      <c r="B56" s="640" t="s">
        <v>173</v>
      </c>
      <c r="C56" s="641">
        <f>IF(C30=0,0,C16/C30)</f>
        <v>8386.531351483607</v>
      </c>
      <c r="D56" s="641">
        <f>IF(D30=0,0,D16/D30)</f>
        <v>7123.656893486713</v>
      </c>
      <c r="E56" s="641">
        <f>IF(E30=0,0,E16/E30)</f>
        <v>7052.448230708444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586</v>
      </c>
      <c r="B58" s="642" t="s">
        <v>174</v>
      </c>
      <c r="C58" s="641"/>
      <c r="D58" s="641"/>
      <c r="E58" s="641"/>
    </row>
    <row r="59" spans="1:5" ht="25.5" customHeight="1">
      <c r="A59" s="639">
        <v>1</v>
      </c>
      <c r="B59" s="640" t="s">
        <v>175</v>
      </c>
      <c r="C59" s="649">
        <v>11180050</v>
      </c>
      <c r="D59" s="649">
        <v>10310688</v>
      </c>
      <c r="E59" s="649">
        <v>9164680</v>
      </c>
    </row>
    <row r="60" spans="1:5" ht="25.5" customHeight="1">
      <c r="A60" s="639">
        <v>2</v>
      </c>
      <c r="B60" s="640" t="s">
        <v>176</v>
      </c>
      <c r="C60" s="649">
        <v>2774074</v>
      </c>
      <c r="D60" s="649">
        <v>2483912</v>
      </c>
      <c r="E60" s="649">
        <v>2424561</v>
      </c>
    </row>
    <row r="61" spans="1:5" ht="25.5" customHeight="1">
      <c r="A61" s="650">
        <v>3</v>
      </c>
      <c r="B61" s="651" t="s">
        <v>177</v>
      </c>
      <c r="C61" s="652">
        <f>C59+C60</f>
        <v>13954124</v>
      </c>
      <c r="D61" s="652">
        <f>D59+D60</f>
        <v>12794600</v>
      </c>
      <c r="E61" s="652">
        <f>E59+E60</f>
        <v>11589241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228</v>
      </c>
      <c r="B63" s="642" t="s">
        <v>178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179</v>
      </c>
      <c r="C64" s="641">
        <v>2394838</v>
      </c>
      <c r="D64" s="641">
        <v>2409938</v>
      </c>
      <c r="E64" s="649">
        <v>2541554</v>
      </c>
      <c r="F64" s="653"/>
    </row>
    <row r="65" spans="1:6" ht="25.5" customHeight="1">
      <c r="A65" s="639">
        <v>2</v>
      </c>
      <c r="B65" s="640" t="s">
        <v>180</v>
      </c>
      <c r="C65" s="649">
        <v>594224</v>
      </c>
      <c r="D65" s="649">
        <v>580570</v>
      </c>
      <c r="E65" s="649">
        <v>672381</v>
      </c>
      <c r="F65" s="653"/>
    </row>
    <row r="66" spans="1:6" ht="25.5" customHeight="1">
      <c r="A66" s="650">
        <v>3</v>
      </c>
      <c r="B66" s="651" t="s">
        <v>181</v>
      </c>
      <c r="C66" s="654">
        <f>C64+C65</f>
        <v>2989062</v>
      </c>
      <c r="D66" s="654">
        <f>D64+D65</f>
        <v>2990508</v>
      </c>
      <c r="E66" s="654">
        <f>E64+E65</f>
        <v>3213935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612</v>
      </c>
      <c r="B68" s="642" t="s">
        <v>182</v>
      </c>
      <c r="C68" s="649"/>
      <c r="D68" s="649"/>
      <c r="E68" s="649"/>
    </row>
    <row r="69" spans="1:5" ht="25.5" customHeight="1">
      <c r="A69" s="639">
        <v>1</v>
      </c>
      <c r="B69" s="640" t="s">
        <v>183</v>
      </c>
      <c r="C69" s="649">
        <v>14933730</v>
      </c>
      <c r="D69" s="649">
        <v>17101496</v>
      </c>
      <c r="E69" s="649">
        <v>15030920</v>
      </c>
    </row>
    <row r="70" spans="1:5" ht="25.5" customHeight="1">
      <c r="A70" s="639">
        <v>2</v>
      </c>
      <c r="B70" s="640" t="s">
        <v>184</v>
      </c>
      <c r="C70" s="649">
        <v>3705465</v>
      </c>
      <c r="D70" s="649">
        <v>4119862</v>
      </c>
      <c r="E70" s="649">
        <v>3976504</v>
      </c>
    </row>
    <row r="71" spans="1:5" ht="25.5" customHeight="1">
      <c r="A71" s="650">
        <v>3</v>
      </c>
      <c r="B71" s="651" t="s">
        <v>185</v>
      </c>
      <c r="C71" s="652">
        <f>C69+C70</f>
        <v>18639195</v>
      </c>
      <c r="D71" s="652">
        <f>D69+D70</f>
        <v>21221358</v>
      </c>
      <c r="E71" s="652">
        <f>E69+E70</f>
        <v>19007424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628</v>
      </c>
      <c r="B74" s="642" t="s">
        <v>186</v>
      </c>
      <c r="C74" s="641"/>
      <c r="D74" s="641"/>
      <c r="E74" s="641"/>
    </row>
    <row r="75" spans="1:5" ht="25.5" customHeight="1">
      <c r="A75" s="639">
        <v>1</v>
      </c>
      <c r="B75" s="640" t="s">
        <v>187</v>
      </c>
      <c r="C75" s="641">
        <f aca="true" t="shared" si="0" ref="C75:E76">+C59+C64+C69</f>
        <v>28508618</v>
      </c>
      <c r="D75" s="641">
        <f t="shared" si="0"/>
        <v>29822122</v>
      </c>
      <c r="E75" s="641">
        <f t="shared" si="0"/>
        <v>26737154</v>
      </c>
    </row>
    <row r="76" spans="1:5" ht="25.5" customHeight="1">
      <c r="A76" s="639">
        <v>2</v>
      </c>
      <c r="B76" s="640" t="s">
        <v>188</v>
      </c>
      <c r="C76" s="641">
        <f t="shared" si="0"/>
        <v>7073763</v>
      </c>
      <c r="D76" s="641">
        <f t="shared" si="0"/>
        <v>7184344</v>
      </c>
      <c r="E76" s="641">
        <f t="shared" si="0"/>
        <v>7073446</v>
      </c>
    </row>
    <row r="77" spans="1:5" ht="25.5" customHeight="1">
      <c r="A77" s="650">
        <v>3</v>
      </c>
      <c r="B77" s="651" t="s">
        <v>186</v>
      </c>
      <c r="C77" s="654">
        <f>C75+C76</f>
        <v>35582381</v>
      </c>
      <c r="D77" s="654">
        <f>D75+D76</f>
        <v>37006466</v>
      </c>
      <c r="E77" s="654">
        <f>E75+E76</f>
        <v>33810600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637</v>
      </c>
      <c r="B79" s="642" t="s">
        <v>189</v>
      </c>
      <c r="C79" s="649"/>
      <c r="D79" s="649"/>
      <c r="E79" s="649"/>
    </row>
    <row r="80" spans="1:5" ht="25.5" customHeight="1">
      <c r="A80" s="639">
        <v>1</v>
      </c>
      <c r="B80" s="640" t="s">
        <v>794</v>
      </c>
      <c r="C80" s="646">
        <v>211.3</v>
      </c>
      <c r="D80" s="646">
        <v>132.3</v>
      </c>
      <c r="E80" s="646">
        <v>119</v>
      </c>
    </row>
    <row r="81" spans="1:5" ht="25.5" customHeight="1">
      <c r="A81" s="639">
        <v>2</v>
      </c>
      <c r="B81" s="640" t="s">
        <v>795</v>
      </c>
      <c r="C81" s="646">
        <v>10.7</v>
      </c>
      <c r="D81" s="646">
        <v>10.4</v>
      </c>
      <c r="E81" s="646">
        <v>11.3</v>
      </c>
    </row>
    <row r="82" spans="1:5" ht="25.5" customHeight="1">
      <c r="A82" s="639">
        <v>3</v>
      </c>
      <c r="B82" s="640" t="s">
        <v>190</v>
      </c>
      <c r="C82" s="646">
        <v>287.4</v>
      </c>
      <c r="D82" s="646">
        <v>409.9</v>
      </c>
      <c r="E82" s="646">
        <v>338.9</v>
      </c>
    </row>
    <row r="83" spans="1:5" ht="25.5" customHeight="1">
      <c r="A83" s="650">
        <v>4</v>
      </c>
      <c r="B83" s="651" t="s">
        <v>189</v>
      </c>
      <c r="C83" s="656">
        <f>C80+C81+C82</f>
        <v>509.4</v>
      </c>
      <c r="D83" s="656">
        <f>D80+D81+D82</f>
        <v>552.6</v>
      </c>
      <c r="E83" s="656">
        <f>E80+E81+E82</f>
        <v>469.2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640</v>
      </c>
      <c r="B85" s="642" t="s">
        <v>191</v>
      </c>
      <c r="C85" s="657"/>
      <c r="D85" s="657"/>
      <c r="E85" s="657"/>
    </row>
    <row r="86" spans="1:5" ht="25.5" customHeight="1">
      <c r="A86" s="639">
        <v>1</v>
      </c>
      <c r="B86" s="640" t="s">
        <v>192</v>
      </c>
      <c r="C86" s="649">
        <f>IF(C80=0,0,C59/C80)</f>
        <v>52910.79034548036</v>
      </c>
      <c r="D86" s="649">
        <f>IF(D80=0,0,D59/D80)</f>
        <v>77934.14965986394</v>
      </c>
      <c r="E86" s="649">
        <f>IF(E80=0,0,E59/E80)</f>
        <v>77014.11764705883</v>
      </c>
    </row>
    <row r="87" spans="1:5" ht="25.5" customHeight="1">
      <c r="A87" s="639">
        <v>2</v>
      </c>
      <c r="B87" s="640" t="s">
        <v>193</v>
      </c>
      <c r="C87" s="649">
        <f>IF(C80=0,0,C60/C80)</f>
        <v>13128.603880738287</v>
      </c>
      <c r="D87" s="649">
        <f>IF(D80=0,0,D60/D80)</f>
        <v>18774.845049130763</v>
      </c>
      <c r="E87" s="649">
        <f>IF(E80=0,0,E60/E80)</f>
        <v>20374.462184873948</v>
      </c>
    </row>
    <row r="88" spans="1:5" ht="25.5" customHeight="1">
      <c r="A88" s="650">
        <v>3</v>
      </c>
      <c r="B88" s="651" t="s">
        <v>194</v>
      </c>
      <c r="C88" s="652">
        <f>+C86+C87</f>
        <v>66039.39422621865</v>
      </c>
      <c r="D88" s="652">
        <f>+D86+D87</f>
        <v>96708.9947089947</v>
      </c>
      <c r="E88" s="652">
        <f>+E86+E87</f>
        <v>97388.57983193277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792</v>
      </c>
      <c r="B90" s="642" t="s">
        <v>195</v>
      </c>
    </row>
    <row r="91" spans="1:5" ht="25.5" customHeight="1">
      <c r="A91" s="639">
        <v>1</v>
      </c>
      <c r="B91" s="640" t="s">
        <v>196</v>
      </c>
      <c r="C91" s="641">
        <f>IF(C81=0,0,C64/C81)</f>
        <v>223816.6355140187</v>
      </c>
      <c r="D91" s="641">
        <f>IF(D81=0,0,D64/D81)</f>
        <v>231724.8076923077</v>
      </c>
      <c r="E91" s="641">
        <f>IF(E81=0,0,E64/E81)</f>
        <v>224916.2831858407</v>
      </c>
    </row>
    <row r="92" spans="1:5" ht="25.5" customHeight="1">
      <c r="A92" s="639">
        <v>2</v>
      </c>
      <c r="B92" s="640" t="s">
        <v>197</v>
      </c>
      <c r="C92" s="641">
        <f>IF(C81=0,0,C65/C81)</f>
        <v>55534.95327102804</v>
      </c>
      <c r="D92" s="641">
        <f>IF(D81=0,0,D65/D81)</f>
        <v>55824.03846153846</v>
      </c>
      <c r="E92" s="641">
        <f>IF(E81=0,0,E65/E81)</f>
        <v>59502.743362831854</v>
      </c>
    </row>
    <row r="93" spans="1:5" ht="25.5" customHeight="1">
      <c r="A93" s="650">
        <v>3</v>
      </c>
      <c r="B93" s="651" t="s">
        <v>198</v>
      </c>
      <c r="C93" s="654">
        <f>+C91+C92</f>
        <v>279351.58878504677</v>
      </c>
      <c r="D93" s="654">
        <f>+D91+D92</f>
        <v>287548.8461538461</v>
      </c>
      <c r="E93" s="654">
        <f>+E91+E92</f>
        <v>284419.0265486726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199</v>
      </c>
      <c r="B95" s="642" t="s">
        <v>200</v>
      </c>
      <c r="C95" s="649"/>
      <c r="D95" s="649"/>
      <c r="E95" s="649"/>
    </row>
    <row r="96" spans="1:5" ht="25.5" customHeight="1">
      <c r="A96" s="639">
        <v>1</v>
      </c>
      <c r="B96" s="640" t="s">
        <v>201</v>
      </c>
      <c r="C96" s="649">
        <f>IF(C82=0,0,C69/C82)</f>
        <v>51961.482254697294</v>
      </c>
      <c r="D96" s="649">
        <f>IF(D82=0,0,D69/D82)</f>
        <v>41721.14174188827</v>
      </c>
      <c r="E96" s="649">
        <f>IF(E82=0,0,E69/E82)</f>
        <v>44352.08025966362</v>
      </c>
    </row>
    <row r="97" spans="1:5" ht="25.5" customHeight="1">
      <c r="A97" s="639">
        <v>2</v>
      </c>
      <c r="B97" s="640" t="s">
        <v>202</v>
      </c>
      <c r="C97" s="649">
        <f>IF(C82=0,0,C70/C82)</f>
        <v>12893.058455114824</v>
      </c>
      <c r="D97" s="649">
        <f>IF(D82=0,0,D70/D82)</f>
        <v>10050.89534032691</v>
      </c>
      <c r="E97" s="649">
        <f>IF(E82=0,0,E70/E82)</f>
        <v>11733.56152257303</v>
      </c>
    </row>
    <row r="98" spans="1:5" ht="25.5" customHeight="1">
      <c r="A98" s="650">
        <v>3</v>
      </c>
      <c r="B98" s="651" t="s">
        <v>203</v>
      </c>
      <c r="C98" s="654">
        <f>+C96+C97</f>
        <v>64854.54070981212</v>
      </c>
      <c r="D98" s="654">
        <f>+D96+D97</f>
        <v>51772.03708221518</v>
      </c>
      <c r="E98" s="654">
        <f>+E96+E97</f>
        <v>56085.64178223665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204</v>
      </c>
      <c r="B100" s="642" t="s">
        <v>205</v>
      </c>
    </row>
    <row r="101" spans="1:5" ht="25.5" customHeight="1">
      <c r="A101" s="639">
        <v>1</v>
      </c>
      <c r="B101" s="640" t="s">
        <v>206</v>
      </c>
      <c r="C101" s="641">
        <f>IF(C83=0,0,C75/C83)</f>
        <v>55965.09226541029</v>
      </c>
      <c r="D101" s="641">
        <f>IF(D83=0,0,D75/D83)</f>
        <v>53966.92363373145</v>
      </c>
      <c r="E101" s="641">
        <f>IF(E83=0,0,E75/E83)</f>
        <v>56984.55669224211</v>
      </c>
    </row>
    <row r="102" spans="1:5" ht="25.5" customHeight="1">
      <c r="A102" s="639">
        <v>2</v>
      </c>
      <c r="B102" s="640" t="s">
        <v>207</v>
      </c>
      <c r="C102" s="658">
        <f>IF(C83=0,0,C76/C83)</f>
        <v>13886.4605418139</v>
      </c>
      <c r="D102" s="658">
        <f>IF(D83=0,0,D76/D83)</f>
        <v>13000.984437205934</v>
      </c>
      <c r="E102" s="658">
        <f>IF(E83=0,0,E76/E83)</f>
        <v>15075.545609548168</v>
      </c>
    </row>
    <row r="103" spans="1:5" ht="25.5" customHeight="1">
      <c r="A103" s="650">
        <v>3</v>
      </c>
      <c r="B103" s="651" t="s">
        <v>205</v>
      </c>
      <c r="C103" s="654">
        <f>+C101+C102</f>
        <v>69851.55280722419</v>
      </c>
      <c r="D103" s="654">
        <f>+D101+D102</f>
        <v>66967.90807093738</v>
      </c>
      <c r="E103" s="654">
        <f>+E101+E102</f>
        <v>72060.10230179028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208</v>
      </c>
      <c r="B107" s="634" t="s">
        <v>209</v>
      </c>
      <c r="C107" s="659"/>
      <c r="D107" s="659"/>
      <c r="E107" s="641"/>
    </row>
    <row r="108" spans="1:5" ht="25.5" customHeight="1">
      <c r="A108" s="639">
        <v>1</v>
      </c>
      <c r="B108" s="640" t="s">
        <v>210</v>
      </c>
      <c r="C108" s="641">
        <f>IF(C19=0,0,C77/C19)</f>
        <v>1428.7243926922304</v>
      </c>
      <c r="D108" s="641">
        <f>IF(D19=0,0,D77/D19)</f>
        <v>1708.8320096047285</v>
      </c>
      <c r="E108" s="641">
        <f>IF(E19=0,0,E77/E19)</f>
        <v>1878.5753972663629</v>
      </c>
    </row>
    <row r="109" spans="1:5" ht="25.5" customHeight="1">
      <c r="A109" s="639">
        <v>2</v>
      </c>
      <c r="B109" s="640" t="s">
        <v>211</v>
      </c>
      <c r="C109" s="641">
        <f>IF(C20=0,0,C77/C20)</f>
        <v>8026.704489059328</v>
      </c>
      <c r="D109" s="641">
        <f>IF(D20=0,0,D77/D20)</f>
        <v>9054.677269390751</v>
      </c>
      <c r="E109" s="641">
        <f>IF(E20=0,0,E77/E20)</f>
        <v>9345.107794361526</v>
      </c>
    </row>
    <row r="110" spans="1:5" ht="25.5" customHeight="1">
      <c r="A110" s="639">
        <v>3</v>
      </c>
      <c r="B110" s="640" t="s">
        <v>212</v>
      </c>
      <c r="C110" s="641">
        <f>IF(C22=0,0,C77/C22)</f>
        <v>699.9742380891684</v>
      </c>
      <c r="D110" s="641">
        <f>IF(D22=0,0,D77/D22)</f>
        <v>722.8181709467253</v>
      </c>
      <c r="E110" s="641">
        <f>IF(E22=0,0,E77/E22)</f>
        <v>797.9081331269595</v>
      </c>
    </row>
    <row r="111" spans="1:5" ht="25.5" customHeight="1">
      <c r="A111" s="639">
        <v>4</v>
      </c>
      <c r="B111" s="640" t="s">
        <v>213</v>
      </c>
      <c r="C111" s="641">
        <f>IF(C23=0,0,C77/C23)</f>
        <v>3932.5193773089863</v>
      </c>
      <c r="D111" s="641">
        <f>IF(D23=0,0,D77/D23)</f>
        <v>3830.0343308104434</v>
      </c>
      <c r="E111" s="641">
        <f>IF(E23=0,0,E77/E23)</f>
        <v>3969.2511277001154</v>
      </c>
    </row>
    <row r="112" spans="1:5" ht="25.5" customHeight="1">
      <c r="A112" s="639">
        <v>5</v>
      </c>
      <c r="B112" s="640" t="s">
        <v>214</v>
      </c>
      <c r="C112" s="641">
        <f>IF(C29=0,0,C77/C29)</f>
        <v>685.990037922022</v>
      </c>
      <c r="D112" s="641">
        <f>IF(D29=0,0,D77/D29)</f>
        <v>655.978678470173</v>
      </c>
      <c r="E112" s="641">
        <f>IF(E29=0,0,E77/E29)</f>
        <v>693.1831827604599</v>
      </c>
    </row>
    <row r="113" spans="1:5" ht="25.5" customHeight="1">
      <c r="A113" s="639">
        <v>6</v>
      </c>
      <c r="B113" s="640" t="s">
        <v>215</v>
      </c>
      <c r="C113" s="641">
        <f>IF(C30=0,0,C77/C30)</f>
        <v>3853.95486001533</v>
      </c>
      <c r="D113" s="641">
        <f>IF(D30=0,0,D77/D30)</f>
        <v>3475.8684269513246</v>
      </c>
      <c r="E113" s="641">
        <f>IF(E30=0,0,E77/E30)</f>
        <v>3448.2893652080593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FILING&amp;R&amp;12JOHNSON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8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216</v>
      </c>
      <c r="C1" s="57"/>
      <c r="D1" s="57"/>
      <c r="E1" s="57"/>
      <c r="F1" s="58"/>
    </row>
    <row r="2" spans="1:6" ht="22.5" customHeight="1">
      <c r="A2" s="57"/>
      <c r="B2" s="57" t="s">
        <v>217</v>
      </c>
      <c r="C2" s="57"/>
      <c r="D2" s="57"/>
      <c r="E2" s="57"/>
      <c r="F2" s="58"/>
    </row>
    <row r="3" spans="1:6" ht="22.5" customHeight="1">
      <c r="A3" s="57"/>
      <c r="B3" s="57" t="s">
        <v>218</v>
      </c>
      <c r="C3" s="57"/>
      <c r="D3" s="57"/>
      <c r="E3" s="57"/>
      <c r="F3" s="58"/>
    </row>
    <row r="4" spans="1:6" ht="22.5" customHeight="1">
      <c r="A4" s="57"/>
      <c r="B4" s="57" t="s">
        <v>285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220</v>
      </c>
      <c r="D6" s="10" t="s">
        <v>221</v>
      </c>
      <c r="E6" s="59" t="s">
        <v>222</v>
      </c>
      <c r="F6" s="59" t="s">
        <v>223</v>
      </c>
    </row>
    <row r="7" spans="1:8" ht="15.75" customHeight="1">
      <c r="A7" s="61" t="s">
        <v>224</v>
      </c>
      <c r="B7" s="62" t="s">
        <v>225</v>
      </c>
      <c r="C7" s="14" t="s">
        <v>226</v>
      </c>
      <c r="D7" s="14" t="s">
        <v>226</v>
      </c>
      <c r="E7" s="63" t="s">
        <v>227</v>
      </c>
      <c r="F7" s="63" t="s">
        <v>227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230</v>
      </c>
      <c r="B11" s="30" t="s">
        <v>286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287</v>
      </c>
      <c r="C12" s="51">
        <v>236605380</v>
      </c>
      <c r="D12" s="51">
        <v>195594535</v>
      </c>
      <c r="E12" s="51">
        <f aca="true" t="shared" si="0" ref="E12:E19">D12-C12</f>
        <v>-41010845</v>
      </c>
      <c r="F12" s="70">
        <f aca="true" t="shared" si="1" ref="F12:F19">IF(C12=0,0,E12/C12)</f>
        <v>-0.17333014574731986</v>
      </c>
    </row>
    <row r="13" spans="1:6" ht="22.5" customHeight="1">
      <c r="A13" s="25">
        <v>2</v>
      </c>
      <c r="B13" s="48" t="s">
        <v>288</v>
      </c>
      <c r="C13" s="51">
        <v>165473179</v>
      </c>
      <c r="D13" s="51">
        <v>131637694</v>
      </c>
      <c r="E13" s="51">
        <f t="shared" si="0"/>
        <v>-33835485</v>
      </c>
      <c r="F13" s="70">
        <f t="shared" si="1"/>
        <v>-0.20447715578123993</v>
      </c>
    </row>
    <row r="14" spans="1:6" ht="22.5" customHeight="1">
      <c r="A14" s="25">
        <v>3</v>
      </c>
      <c r="B14" s="48" t="s">
        <v>289</v>
      </c>
      <c r="C14" s="51">
        <v>97529</v>
      </c>
      <c r="D14" s="51">
        <v>559676</v>
      </c>
      <c r="E14" s="51">
        <f t="shared" si="0"/>
        <v>462147</v>
      </c>
      <c r="F14" s="70">
        <f t="shared" si="1"/>
        <v>4.738559812978703</v>
      </c>
    </row>
    <row r="15" spans="1:7" ht="22.5" customHeight="1">
      <c r="A15" s="25">
        <v>4</v>
      </c>
      <c r="B15" s="48" t="s">
        <v>290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291</v>
      </c>
      <c r="C16" s="27">
        <f>C12-C13-C14-C15</f>
        <v>71034672</v>
      </c>
      <c r="D16" s="27">
        <f>D12-D13-D14-D15</f>
        <v>63397165</v>
      </c>
      <c r="E16" s="27">
        <f t="shared" si="0"/>
        <v>-7637507</v>
      </c>
      <c r="F16" s="28">
        <f t="shared" si="1"/>
        <v>-0.10751801599083895</v>
      </c>
    </row>
    <row r="17" spans="1:7" ht="22.5" customHeight="1">
      <c r="A17" s="25">
        <v>5</v>
      </c>
      <c r="B17" s="48" t="s">
        <v>292</v>
      </c>
      <c r="C17" s="51">
        <v>743950</v>
      </c>
      <c r="D17" s="51">
        <v>951983</v>
      </c>
      <c r="E17" s="51">
        <f t="shared" si="0"/>
        <v>208033</v>
      </c>
      <c r="F17" s="70">
        <f t="shared" si="1"/>
        <v>0.27963303985482896</v>
      </c>
      <c r="G17" s="64"/>
    </row>
    <row r="18" spans="1:7" ht="22.5" customHeight="1">
      <c r="A18" s="25">
        <v>6</v>
      </c>
      <c r="B18" s="45" t="s">
        <v>293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294</v>
      </c>
      <c r="C19" s="27">
        <f>SUM(C16:C18)</f>
        <v>71778622</v>
      </c>
      <c r="D19" s="27">
        <f>SUM(D16:D18)</f>
        <v>64349148</v>
      </c>
      <c r="E19" s="27">
        <f t="shared" si="0"/>
        <v>-7429474</v>
      </c>
      <c r="F19" s="28">
        <f t="shared" si="1"/>
        <v>-0.10350538632519303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242</v>
      </c>
      <c r="B21" s="30" t="s">
        <v>295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296</v>
      </c>
      <c r="C22" s="51">
        <v>29822122</v>
      </c>
      <c r="D22" s="51">
        <v>26737154</v>
      </c>
      <c r="E22" s="51">
        <f aca="true" t="shared" si="2" ref="E22:E31">D22-C22</f>
        <v>-3084968</v>
      </c>
      <c r="F22" s="70">
        <f aca="true" t="shared" si="3" ref="F22:F31">IF(C22=0,0,E22/C22)</f>
        <v>-0.10344562335302632</v>
      </c>
    </row>
    <row r="23" spans="1:6" ht="22.5" customHeight="1">
      <c r="A23" s="25">
        <v>2</v>
      </c>
      <c r="B23" s="48" t="s">
        <v>297</v>
      </c>
      <c r="C23" s="51">
        <v>7184344</v>
      </c>
      <c r="D23" s="51">
        <v>7073446</v>
      </c>
      <c r="E23" s="51">
        <f t="shared" si="2"/>
        <v>-110898</v>
      </c>
      <c r="F23" s="70">
        <f t="shared" si="3"/>
        <v>-0.01543606486549085</v>
      </c>
    </row>
    <row r="24" spans="1:7" ht="22.5" customHeight="1">
      <c r="A24" s="25">
        <v>3</v>
      </c>
      <c r="B24" s="48" t="s">
        <v>298</v>
      </c>
      <c r="C24" s="51">
        <v>750893</v>
      </c>
      <c r="D24" s="51">
        <v>212632</v>
      </c>
      <c r="E24" s="51">
        <f t="shared" si="2"/>
        <v>-538261</v>
      </c>
      <c r="F24" s="70">
        <f t="shared" si="3"/>
        <v>-0.7168278303300204</v>
      </c>
      <c r="G24" s="64"/>
    </row>
    <row r="25" spans="1:6" ht="22.5" customHeight="1">
      <c r="A25" s="25">
        <v>4</v>
      </c>
      <c r="B25" s="48" t="s">
        <v>299</v>
      </c>
      <c r="C25" s="51">
        <v>6875689</v>
      </c>
      <c r="D25" s="51">
        <v>6480375</v>
      </c>
      <c r="E25" s="51">
        <f t="shared" si="2"/>
        <v>-395314</v>
      </c>
      <c r="F25" s="70">
        <f t="shared" si="3"/>
        <v>-0.057494456191954</v>
      </c>
    </row>
    <row r="26" spans="1:6" ht="22.5" customHeight="1">
      <c r="A26" s="25">
        <v>5</v>
      </c>
      <c r="B26" s="48" t="s">
        <v>300</v>
      </c>
      <c r="C26" s="51">
        <v>2821844</v>
      </c>
      <c r="D26" s="51">
        <v>2971537</v>
      </c>
      <c r="E26" s="51">
        <f t="shared" si="2"/>
        <v>149693</v>
      </c>
      <c r="F26" s="70">
        <f t="shared" si="3"/>
        <v>0.0530479360304822</v>
      </c>
    </row>
    <row r="27" spans="1:6" ht="22.5" customHeight="1">
      <c r="A27" s="25">
        <v>6</v>
      </c>
      <c r="B27" s="48" t="s">
        <v>301</v>
      </c>
      <c r="C27" s="51">
        <v>7282529</v>
      </c>
      <c r="D27" s="51">
        <v>5873672</v>
      </c>
      <c r="E27" s="51">
        <f t="shared" si="2"/>
        <v>-1408857</v>
      </c>
      <c r="F27" s="70">
        <f t="shared" si="3"/>
        <v>-0.19345710810077105</v>
      </c>
    </row>
    <row r="28" spans="1:6" ht="22.5" customHeight="1">
      <c r="A28" s="25">
        <v>7</v>
      </c>
      <c r="B28" s="48" t="s">
        <v>302</v>
      </c>
      <c r="C28" s="51">
        <v>1183162</v>
      </c>
      <c r="D28" s="51">
        <v>804653</v>
      </c>
      <c r="E28" s="51">
        <f t="shared" si="2"/>
        <v>-378509</v>
      </c>
      <c r="F28" s="70">
        <f t="shared" si="3"/>
        <v>-0.31991308037276384</v>
      </c>
    </row>
    <row r="29" spans="1:6" ht="22.5" customHeight="1">
      <c r="A29" s="25">
        <v>8</v>
      </c>
      <c r="B29" s="48" t="s">
        <v>303</v>
      </c>
      <c r="C29" s="51">
        <v>887832</v>
      </c>
      <c r="D29" s="51">
        <v>421101</v>
      </c>
      <c r="E29" s="51">
        <f t="shared" si="2"/>
        <v>-466731</v>
      </c>
      <c r="F29" s="70">
        <f t="shared" si="3"/>
        <v>-0.5256974292433704</v>
      </c>
    </row>
    <row r="30" spans="1:6" ht="22.5" customHeight="1">
      <c r="A30" s="25">
        <v>9</v>
      </c>
      <c r="B30" s="48" t="s">
        <v>304</v>
      </c>
      <c r="C30" s="51">
        <v>19034895</v>
      </c>
      <c r="D30" s="51">
        <v>18574936</v>
      </c>
      <c r="E30" s="51">
        <f t="shared" si="2"/>
        <v>-459959</v>
      </c>
      <c r="F30" s="70">
        <f t="shared" si="3"/>
        <v>-0.024163989346933618</v>
      </c>
    </row>
    <row r="31" spans="1:6" ht="22.5" customHeight="1">
      <c r="A31" s="29"/>
      <c r="B31" s="71" t="s">
        <v>305</v>
      </c>
      <c r="C31" s="27">
        <f>SUM(C22:C30)</f>
        <v>75843310</v>
      </c>
      <c r="D31" s="27">
        <f>SUM(D22:D30)</f>
        <v>69149506</v>
      </c>
      <c r="E31" s="27">
        <f t="shared" si="2"/>
        <v>-6693804</v>
      </c>
      <c r="F31" s="28">
        <f t="shared" si="3"/>
        <v>-0.08825833155224898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306</v>
      </c>
      <c r="C33" s="27">
        <f>+C19-C31</f>
        <v>-4064688</v>
      </c>
      <c r="D33" s="27">
        <f>+D19-D31</f>
        <v>-4800358</v>
      </c>
      <c r="E33" s="27">
        <f>D33-C33</f>
        <v>-735670</v>
      </c>
      <c r="F33" s="28">
        <f>IF(C33=0,0,E33/C33)</f>
        <v>0.18099052128970292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252</v>
      </c>
      <c r="B35" s="30" t="s">
        <v>307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308</v>
      </c>
      <c r="C36" s="51">
        <v>222723</v>
      </c>
      <c r="D36" s="51">
        <v>-605745</v>
      </c>
      <c r="E36" s="51">
        <f>D36-C36</f>
        <v>-828468</v>
      </c>
      <c r="F36" s="70">
        <f>IF(C36=0,0,E36/C36)</f>
        <v>-3.719723602860953</v>
      </c>
    </row>
    <row r="37" spans="1:6" ht="22.5" customHeight="1">
      <c r="A37" s="44">
        <v>2</v>
      </c>
      <c r="B37" s="48" t="s">
        <v>309</v>
      </c>
      <c r="C37" s="51">
        <v>1500000</v>
      </c>
      <c r="D37" s="51">
        <v>0</v>
      </c>
      <c r="E37" s="51">
        <f>D37-C37</f>
        <v>-1500000</v>
      </c>
      <c r="F37" s="70">
        <f>IF(C37=0,0,E37/C37)</f>
        <v>-1</v>
      </c>
    </row>
    <row r="38" spans="1:6" ht="22.5" customHeight="1">
      <c r="A38" s="44">
        <v>3</v>
      </c>
      <c r="B38" s="48" t="s">
        <v>310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2.5" customHeight="1">
      <c r="A39" s="20"/>
      <c r="B39" s="71" t="s">
        <v>311</v>
      </c>
      <c r="C39" s="27">
        <f>SUM(C36:C38)</f>
        <v>1722723</v>
      </c>
      <c r="D39" s="27">
        <f>SUM(D36:D38)</f>
        <v>-605745</v>
      </c>
      <c r="E39" s="27">
        <f>D39-C39</f>
        <v>-2328468</v>
      </c>
      <c r="F39" s="28">
        <f>IF(C39=0,0,E39/C39)</f>
        <v>-1.351620661011666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312</v>
      </c>
      <c r="C41" s="27">
        <f>C33+C39</f>
        <v>-2341965</v>
      </c>
      <c r="D41" s="27">
        <f>D33+D39</f>
        <v>-5406103</v>
      </c>
      <c r="E41" s="27">
        <f>D41-C41</f>
        <v>-3064138</v>
      </c>
      <c r="F41" s="28">
        <f>IF(C41=0,0,E41/C41)</f>
        <v>1.308361995162182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313</v>
      </c>
      <c r="C43" s="27"/>
      <c r="D43" s="27"/>
      <c r="E43" s="27"/>
      <c r="F43" s="28"/>
    </row>
    <row r="44" spans="1:6" ht="22.5" customHeight="1">
      <c r="A44" s="44"/>
      <c r="B44" s="48" t="s">
        <v>314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315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316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317</v>
      </c>
      <c r="C48" s="27">
        <f>C41+C46</f>
        <v>-2341965</v>
      </c>
      <c r="D48" s="27">
        <f>D41+D46</f>
        <v>-5406103</v>
      </c>
      <c r="E48" s="27">
        <f>D48-C48</f>
        <v>-3064138</v>
      </c>
      <c r="F48" s="28">
        <f>IF(C48=0,0,E48/C48)</f>
        <v>1.308361995162182</v>
      </c>
    </row>
    <row r="49" spans="1:6" ht="22.5" customHeight="1">
      <c r="A49" s="44"/>
      <c r="B49" s="48" t="s">
        <v>318</v>
      </c>
      <c r="C49" s="51">
        <v>0</v>
      </c>
      <c r="D49" s="51">
        <v>715486</v>
      </c>
      <c r="E49" s="51">
        <f>D49-C49</f>
        <v>715486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FILING&amp;RJOHNSON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G155" sqref="G155"/>
    </sheetView>
  </sheetViews>
  <sheetFormatPr defaultColWidth="9.140625" defaultRowHeight="18" customHeight="1"/>
  <cols>
    <col min="1" max="1" width="6.28125" style="75" customWidth="1"/>
    <col min="2" max="2" width="74.2812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216</v>
      </c>
      <c r="B2" s="675"/>
      <c r="C2" s="675"/>
      <c r="D2" s="675"/>
      <c r="E2" s="675"/>
      <c r="F2" s="675"/>
    </row>
    <row r="3" spans="1:6" ht="18" customHeight="1">
      <c r="A3" s="675" t="s">
        <v>217</v>
      </c>
      <c r="B3" s="675"/>
      <c r="C3" s="675"/>
      <c r="D3" s="675"/>
      <c r="E3" s="675"/>
      <c r="F3" s="675"/>
    </row>
    <row r="4" spans="1:6" ht="18" customHeight="1">
      <c r="A4" s="675" t="s">
        <v>218</v>
      </c>
      <c r="B4" s="675"/>
      <c r="C4" s="675"/>
      <c r="D4" s="675"/>
      <c r="E4" s="675"/>
      <c r="F4" s="675"/>
    </row>
    <row r="5" spans="1:6" ht="18" customHeight="1">
      <c r="A5" s="675" t="s">
        <v>319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224</v>
      </c>
      <c r="B8" s="87" t="s">
        <v>320</v>
      </c>
      <c r="C8" s="88" t="s">
        <v>321</v>
      </c>
      <c r="D8" s="89" t="s">
        <v>322</v>
      </c>
      <c r="E8" s="90" t="s">
        <v>323</v>
      </c>
      <c r="F8" s="91" t="s">
        <v>324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228</v>
      </c>
      <c r="B10" s="667" t="s">
        <v>325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326</v>
      </c>
      <c r="B13" s="95" t="s">
        <v>327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328</v>
      </c>
      <c r="C14" s="97">
        <v>56145786</v>
      </c>
      <c r="D14" s="97">
        <v>45517906</v>
      </c>
      <c r="E14" s="97">
        <f aca="true" t="shared" si="0" ref="E14:E25">D14-C14</f>
        <v>-10627880</v>
      </c>
      <c r="F14" s="98">
        <f aca="true" t="shared" si="1" ref="F14:F25">IF(C14=0,0,E14/C14)</f>
        <v>-0.18929078666740903</v>
      </c>
    </row>
    <row r="15" spans="1:6" ht="18" customHeight="1">
      <c r="A15" s="99">
        <v>2</v>
      </c>
      <c r="B15" s="100" t="s">
        <v>329</v>
      </c>
      <c r="C15" s="97">
        <v>5884799</v>
      </c>
      <c r="D15" s="97">
        <v>6338778</v>
      </c>
      <c r="E15" s="97">
        <f t="shared" si="0"/>
        <v>453979</v>
      </c>
      <c r="F15" s="98">
        <f t="shared" si="1"/>
        <v>0.07714435106449685</v>
      </c>
    </row>
    <row r="16" spans="1:6" ht="18" customHeight="1">
      <c r="A16" s="99">
        <v>3</v>
      </c>
      <c r="B16" s="100" t="s">
        <v>330</v>
      </c>
      <c r="C16" s="97">
        <v>3642971</v>
      </c>
      <c r="D16" s="97">
        <v>2226464</v>
      </c>
      <c r="E16" s="97">
        <f t="shared" si="0"/>
        <v>-1416507</v>
      </c>
      <c r="F16" s="98">
        <f t="shared" si="1"/>
        <v>-0.38883290588917674</v>
      </c>
    </row>
    <row r="17" spans="1:6" ht="18" customHeight="1">
      <c r="A17" s="99">
        <v>4</v>
      </c>
      <c r="B17" s="100" t="s">
        <v>331</v>
      </c>
      <c r="C17" s="97">
        <v>4893991</v>
      </c>
      <c r="D17" s="97">
        <v>3082158</v>
      </c>
      <c r="E17" s="97">
        <f t="shared" si="0"/>
        <v>-1811833</v>
      </c>
      <c r="F17" s="98">
        <f t="shared" si="1"/>
        <v>-0.37021584224409076</v>
      </c>
    </row>
    <row r="18" spans="1:6" ht="18" customHeight="1">
      <c r="A18" s="99">
        <v>5</v>
      </c>
      <c r="B18" s="100" t="s">
        <v>332</v>
      </c>
      <c r="C18" s="97">
        <v>410335</v>
      </c>
      <c r="D18" s="97">
        <v>423693</v>
      </c>
      <c r="E18" s="97">
        <f t="shared" si="0"/>
        <v>13358</v>
      </c>
      <c r="F18" s="98">
        <f t="shared" si="1"/>
        <v>0.032553888895658425</v>
      </c>
    </row>
    <row r="19" spans="1:6" ht="18" customHeight="1">
      <c r="A19" s="99">
        <v>6</v>
      </c>
      <c r="B19" s="100" t="s">
        <v>333</v>
      </c>
      <c r="C19" s="97">
        <v>1220996</v>
      </c>
      <c r="D19" s="97">
        <v>407077</v>
      </c>
      <c r="E19" s="97">
        <f t="shared" si="0"/>
        <v>-813919</v>
      </c>
      <c r="F19" s="98">
        <f t="shared" si="1"/>
        <v>-0.6666025113923387</v>
      </c>
    </row>
    <row r="20" spans="1:6" ht="18" customHeight="1">
      <c r="A20" s="99">
        <v>7</v>
      </c>
      <c r="B20" s="100" t="s">
        <v>334</v>
      </c>
      <c r="C20" s="97">
        <v>23949530</v>
      </c>
      <c r="D20" s="97">
        <v>20827413</v>
      </c>
      <c r="E20" s="97">
        <f t="shared" si="0"/>
        <v>-3122117</v>
      </c>
      <c r="F20" s="98">
        <f t="shared" si="1"/>
        <v>-0.13036234949078332</v>
      </c>
    </row>
    <row r="21" spans="1:6" ht="18" customHeight="1">
      <c r="A21" s="99">
        <v>8</v>
      </c>
      <c r="B21" s="100" t="s">
        <v>335</v>
      </c>
      <c r="C21" s="97">
        <v>210171</v>
      </c>
      <c r="D21" s="97">
        <v>282462</v>
      </c>
      <c r="E21" s="97">
        <f t="shared" si="0"/>
        <v>72291</v>
      </c>
      <c r="F21" s="98">
        <f t="shared" si="1"/>
        <v>0.3439627731704184</v>
      </c>
    </row>
    <row r="22" spans="1:6" ht="18" customHeight="1">
      <c r="A22" s="99">
        <v>9</v>
      </c>
      <c r="B22" s="100" t="s">
        <v>336</v>
      </c>
      <c r="C22" s="97">
        <v>2592114</v>
      </c>
      <c r="D22" s="97">
        <v>2666773</v>
      </c>
      <c r="E22" s="97">
        <f t="shared" si="0"/>
        <v>74659</v>
      </c>
      <c r="F22" s="98">
        <f t="shared" si="1"/>
        <v>0.028802359772756907</v>
      </c>
    </row>
    <row r="23" spans="1:6" ht="18" customHeight="1">
      <c r="A23" s="99">
        <v>10</v>
      </c>
      <c r="B23" s="100" t="s">
        <v>337</v>
      </c>
      <c r="C23" s="97">
        <v>1130922</v>
      </c>
      <c r="D23" s="97">
        <v>1304309</v>
      </c>
      <c r="E23" s="97">
        <f t="shared" si="0"/>
        <v>173387</v>
      </c>
      <c r="F23" s="98">
        <f t="shared" si="1"/>
        <v>0.1533147290440897</v>
      </c>
    </row>
    <row r="24" spans="1:6" ht="18" customHeight="1">
      <c r="A24" s="99">
        <v>11</v>
      </c>
      <c r="B24" s="100" t="s">
        <v>338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339</v>
      </c>
      <c r="C25" s="103">
        <f>SUM(C14:C24)</f>
        <v>100081615</v>
      </c>
      <c r="D25" s="103">
        <f>SUM(D14:D24)</f>
        <v>83077033</v>
      </c>
      <c r="E25" s="103">
        <f t="shared" si="0"/>
        <v>-17004582</v>
      </c>
      <c r="F25" s="104">
        <f t="shared" si="1"/>
        <v>-0.16990715027929956</v>
      </c>
    </row>
    <row r="26" spans="1:6" ht="18" customHeight="1">
      <c r="A26" s="94" t="s">
        <v>340</v>
      </c>
      <c r="B26" s="95" t="s">
        <v>341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328</v>
      </c>
      <c r="C27" s="97">
        <v>37270988</v>
      </c>
      <c r="D27" s="97">
        <v>29513340</v>
      </c>
      <c r="E27" s="97">
        <f aca="true" t="shared" si="2" ref="E27:E38">D27-C27</f>
        <v>-7757648</v>
      </c>
      <c r="F27" s="98">
        <f aca="true" t="shared" si="3" ref="F27:F38">IF(C27=0,0,E27/C27)</f>
        <v>-0.20814173211614354</v>
      </c>
    </row>
    <row r="28" spans="1:6" ht="18" customHeight="1">
      <c r="A28" s="99">
        <v>2</v>
      </c>
      <c r="B28" s="100" t="s">
        <v>329</v>
      </c>
      <c r="C28" s="97">
        <v>5078684</v>
      </c>
      <c r="D28" s="97">
        <v>5963428</v>
      </c>
      <c r="E28" s="97">
        <f t="shared" si="2"/>
        <v>884744</v>
      </c>
      <c r="F28" s="98">
        <f t="shared" si="3"/>
        <v>0.1742073340259012</v>
      </c>
    </row>
    <row r="29" spans="1:6" ht="18" customHeight="1">
      <c r="A29" s="99">
        <v>3</v>
      </c>
      <c r="B29" s="100" t="s">
        <v>330</v>
      </c>
      <c r="C29" s="97">
        <v>2498385</v>
      </c>
      <c r="D29" s="97">
        <v>2497889</v>
      </c>
      <c r="E29" s="97">
        <f t="shared" si="2"/>
        <v>-496</v>
      </c>
      <c r="F29" s="98">
        <f t="shared" si="3"/>
        <v>-0.00019852824924901485</v>
      </c>
    </row>
    <row r="30" spans="1:6" ht="18" customHeight="1">
      <c r="A30" s="99">
        <v>4</v>
      </c>
      <c r="B30" s="100" t="s">
        <v>331</v>
      </c>
      <c r="C30" s="97">
        <v>8478126</v>
      </c>
      <c r="D30" s="97">
        <v>6931078</v>
      </c>
      <c r="E30" s="97">
        <f t="shared" si="2"/>
        <v>-1547048</v>
      </c>
      <c r="F30" s="98">
        <f t="shared" si="3"/>
        <v>-0.18247523096495616</v>
      </c>
    </row>
    <row r="31" spans="1:6" ht="18" customHeight="1">
      <c r="A31" s="99">
        <v>5</v>
      </c>
      <c r="B31" s="100" t="s">
        <v>332</v>
      </c>
      <c r="C31" s="97">
        <v>737228</v>
      </c>
      <c r="D31" s="97">
        <v>652602</v>
      </c>
      <c r="E31" s="97">
        <f t="shared" si="2"/>
        <v>-84626</v>
      </c>
      <c r="F31" s="98">
        <f t="shared" si="3"/>
        <v>-0.11478945455137353</v>
      </c>
    </row>
    <row r="32" spans="1:6" ht="18" customHeight="1">
      <c r="A32" s="99">
        <v>6</v>
      </c>
      <c r="B32" s="100" t="s">
        <v>333</v>
      </c>
      <c r="C32" s="97">
        <v>1610980</v>
      </c>
      <c r="D32" s="97">
        <v>1530238</v>
      </c>
      <c r="E32" s="97">
        <f t="shared" si="2"/>
        <v>-80742</v>
      </c>
      <c r="F32" s="98">
        <f t="shared" si="3"/>
        <v>-0.05011980285292182</v>
      </c>
    </row>
    <row r="33" spans="1:6" ht="18" customHeight="1">
      <c r="A33" s="99">
        <v>7</v>
      </c>
      <c r="B33" s="100" t="s">
        <v>334</v>
      </c>
      <c r="C33" s="97">
        <v>69272158</v>
      </c>
      <c r="D33" s="97">
        <v>56551295</v>
      </c>
      <c r="E33" s="97">
        <f t="shared" si="2"/>
        <v>-12720863</v>
      </c>
      <c r="F33" s="98">
        <f t="shared" si="3"/>
        <v>-0.1836360143421546</v>
      </c>
    </row>
    <row r="34" spans="1:6" ht="18" customHeight="1">
      <c r="A34" s="99">
        <v>8</v>
      </c>
      <c r="B34" s="100" t="s">
        <v>335</v>
      </c>
      <c r="C34" s="97">
        <v>3590575</v>
      </c>
      <c r="D34" s="97">
        <v>2452882</v>
      </c>
      <c r="E34" s="97">
        <f t="shared" si="2"/>
        <v>-1137693</v>
      </c>
      <c r="F34" s="98">
        <f t="shared" si="3"/>
        <v>-0.3168553783168434</v>
      </c>
    </row>
    <row r="35" spans="1:6" ht="18" customHeight="1">
      <c r="A35" s="99">
        <v>9</v>
      </c>
      <c r="B35" s="100" t="s">
        <v>336</v>
      </c>
      <c r="C35" s="97">
        <v>5979741</v>
      </c>
      <c r="D35" s="97">
        <v>4781994</v>
      </c>
      <c r="E35" s="97">
        <f t="shared" si="2"/>
        <v>-1197747</v>
      </c>
      <c r="F35" s="98">
        <f t="shared" si="3"/>
        <v>-0.2003008157042253</v>
      </c>
    </row>
    <row r="36" spans="1:6" ht="18" customHeight="1">
      <c r="A36" s="99">
        <v>10</v>
      </c>
      <c r="B36" s="100" t="s">
        <v>337</v>
      </c>
      <c r="C36" s="97">
        <v>2006899</v>
      </c>
      <c r="D36" s="97">
        <v>1642756</v>
      </c>
      <c r="E36" s="97">
        <f t="shared" si="2"/>
        <v>-364143</v>
      </c>
      <c r="F36" s="98">
        <f t="shared" si="3"/>
        <v>-0.18144560339110238</v>
      </c>
    </row>
    <row r="37" spans="1:6" ht="18" customHeight="1">
      <c r="A37" s="99">
        <v>11</v>
      </c>
      <c r="B37" s="100" t="s">
        <v>338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342</v>
      </c>
      <c r="C38" s="103">
        <f>SUM(C27:C37)</f>
        <v>136523764</v>
      </c>
      <c r="D38" s="103">
        <f>SUM(D27:D37)</f>
        <v>112517502</v>
      </c>
      <c r="E38" s="103">
        <f t="shared" si="2"/>
        <v>-24006262</v>
      </c>
      <c r="F38" s="104">
        <f t="shared" si="3"/>
        <v>-0.17583943847314376</v>
      </c>
    </row>
    <row r="39" spans="1:6" ht="18" customHeight="1">
      <c r="A39" s="665" t="s">
        <v>343</v>
      </c>
      <c r="B39" s="667" t="s">
        <v>344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328</v>
      </c>
      <c r="C41" s="103">
        <f aca="true" t="shared" si="4" ref="C41:D51">+C27+C14</f>
        <v>93416774</v>
      </c>
      <c r="D41" s="103">
        <f t="shared" si="4"/>
        <v>75031246</v>
      </c>
      <c r="E41" s="107">
        <f aca="true" t="shared" si="5" ref="E41:E52">D41-C41</f>
        <v>-18385528</v>
      </c>
      <c r="F41" s="108">
        <f aca="true" t="shared" si="6" ref="F41:F52">IF(C41=0,0,E41/C41)</f>
        <v>-0.19681184880137265</v>
      </c>
    </row>
    <row r="42" spans="1:6" ht="18" customHeight="1">
      <c r="A42" s="105">
        <v>2</v>
      </c>
      <c r="B42" s="106" t="s">
        <v>329</v>
      </c>
      <c r="C42" s="103">
        <f t="shared" si="4"/>
        <v>10963483</v>
      </c>
      <c r="D42" s="103">
        <f t="shared" si="4"/>
        <v>12302206</v>
      </c>
      <c r="E42" s="107">
        <f t="shared" si="5"/>
        <v>1338723</v>
      </c>
      <c r="F42" s="108">
        <f t="shared" si="6"/>
        <v>0.12210745435551823</v>
      </c>
    </row>
    <row r="43" spans="1:6" ht="18" customHeight="1">
      <c r="A43" s="105">
        <v>3</v>
      </c>
      <c r="B43" s="106" t="s">
        <v>330</v>
      </c>
      <c r="C43" s="103">
        <f t="shared" si="4"/>
        <v>6141356</v>
      </c>
      <c r="D43" s="103">
        <f t="shared" si="4"/>
        <v>4724353</v>
      </c>
      <c r="E43" s="107">
        <f t="shared" si="5"/>
        <v>-1417003</v>
      </c>
      <c r="F43" s="108">
        <f t="shared" si="6"/>
        <v>-0.23073129126531666</v>
      </c>
    </row>
    <row r="44" spans="1:6" ht="18" customHeight="1">
      <c r="A44" s="105">
        <v>4</v>
      </c>
      <c r="B44" s="106" t="s">
        <v>331</v>
      </c>
      <c r="C44" s="103">
        <f t="shared" si="4"/>
        <v>13372117</v>
      </c>
      <c r="D44" s="103">
        <f t="shared" si="4"/>
        <v>10013236</v>
      </c>
      <c r="E44" s="107">
        <f t="shared" si="5"/>
        <v>-3358881</v>
      </c>
      <c r="F44" s="108">
        <f t="shared" si="6"/>
        <v>-0.25118543309185826</v>
      </c>
    </row>
    <row r="45" spans="1:6" ht="18" customHeight="1">
      <c r="A45" s="105">
        <v>5</v>
      </c>
      <c r="B45" s="106" t="s">
        <v>332</v>
      </c>
      <c r="C45" s="103">
        <f t="shared" si="4"/>
        <v>1147563</v>
      </c>
      <c r="D45" s="103">
        <f t="shared" si="4"/>
        <v>1076295</v>
      </c>
      <c r="E45" s="107">
        <f t="shared" si="5"/>
        <v>-71268</v>
      </c>
      <c r="F45" s="108">
        <f t="shared" si="6"/>
        <v>-0.06210377992319376</v>
      </c>
    </row>
    <row r="46" spans="1:6" ht="18" customHeight="1">
      <c r="A46" s="105">
        <v>6</v>
      </c>
      <c r="B46" s="106" t="s">
        <v>333</v>
      </c>
      <c r="C46" s="103">
        <f t="shared" si="4"/>
        <v>2831976</v>
      </c>
      <c r="D46" s="103">
        <f t="shared" si="4"/>
        <v>1937315</v>
      </c>
      <c r="E46" s="107">
        <f t="shared" si="5"/>
        <v>-894661</v>
      </c>
      <c r="F46" s="108">
        <f t="shared" si="6"/>
        <v>-0.3159140472941861</v>
      </c>
    </row>
    <row r="47" spans="1:6" ht="18" customHeight="1">
      <c r="A47" s="105">
        <v>7</v>
      </c>
      <c r="B47" s="106" t="s">
        <v>334</v>
      </c>
      <c r="C47" s="103">
        <f t="shared" si="4"/>
        <v>93221688</v>
      </c>
      <c r="D47" s="103">
        <f t="shared" si="4"/>
        <v>77378708</v>
      </c>
      <c r="E47" s="107">
        <f t="shared" si="5"/>
        <v>-15842980</v>
      </c>
      <c r="F47" s="108">
        <f t="shared" si="6"/>
        <v>-0.16994950788704877</v>
      </c>
    </row>
    <row r="48" spans="1:6" ht="18" customHeight="1">
      <c r="A48" s="105">
        <v>8</v>
      </c>
      <c r="B48" s="106" t="s">
        <v>335</v>
      </c>
      <c r="C48" s="103">
        <f t="shared" si="4"/>
        <v>3800746</v>
      </c>
      <c r="D48" s="103">
        <f t="shared" si="4"/>
        <v>2735344</v>
      </c>
      <c r="E48" s="107">
        <f t="shared" si="5"/>
        <v>-1065402</v>
      </c>
      <c r="F48" s="108">
        <f t="shared" si="6"/>
        <v>-0.2803139173204418</v>
      </c>
    </row>
    <row r="49" spans="1:6" ht="18" customHeight="1">
      <c r="A49" s="105">
        <v>9</v>
      </c>
      <c r="B49" s="106" t="s">
        <v>336</v>
      </c>
      <c r="C49" s="103">
        <f t="shared" si="4"/>
        <v>8571855</v>
      </c>
      <c r="D49" s="103">
        <f t="shared" si="4"/>
        <v>7448767</v>
      </c>
      <c r="E49" s="107">
        <f t="shared" si="5"/>
        <v>-1123088</v>
      </c>
      <c r="F49" s="108">
        <f t="shared" si="6"/>
        <v>-0.13102041506768372</v>
      </c>
    </row>
    <row r="50" spans="1:6" ht="18" customHeight="1">
      <c r="A50" s="105">
        <v>10</v>
      </c>
      <c r="B50" s="106" t="s">
        <v>337</v>
      </c>
      <c r="C50" s="103">
        <f t="shared" si="4"/>
        <v>3137821</v>
      </c>
      <c r="D50" s="103">
        <f t="shared" si="4"/>
        <v>2947065</v>
      </c>
      <c r="E50" s="107">
        <f t="shared" si="5"/>
        <v>-190756</v>
      </c>
      <c r="F50" s="108">
        <f t="shared" si="6"/>
        <v>-0.06079250537235872</v>
      </c>
    </row>
    <row r="51" spans="1:6" ht="18" customHeight="1" thickBot="1">
      <c r="A51" s="105">
        <v>11</v>
      </c>
      <c r="B51" s="106" t="s">
        <v>338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344</v>
      </c>
      <c r="C52" s="111">
        <f>SUM(C41:C51)</f>
        <v>236605379</v>
      </c>
      <c r="D52" s="112">
        <f>SUM(D41:D51)</f>
        <v>195594535</v>
      </c>
      <c r="E52" s="111">
        <f t="shared" si="5"/>
        <v>-41010844</v>
      </c>
      <c r="F52" s="113">
        <f t="shared" si="6"/>
        <v>-0.17333014225344387</v>
      </c>
    </row>
    <row r="53" spans="1:6" ht="18" customHeight="1">
      <c r="A53" s="665" t="s">
        <v>260</v>
      </c>
      <c r="B53" s="667" t="s">
        <v>345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326</v>
      </c>
      <c r="B56" s="95" t="s">
        <v>346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328</v>
      </c>
      <c r="C57" s="97">
        <v>15249195</v>
      </c>
      <c r="D57" s="97">
        <v>12892211</v>
      </c>
      <c r="E57" s="97">
        <f aca="true" t="shared" si="7" ref="E57:E68">D57-C57</f>
        <v>-2356984</v>
      </c>
      <c r="F57" s="98">
        <f aca="true" t="shared" si="8" ref="F57:F68">IF(C57=0,0,E57/C57)</f>
        <v>-0.15456448684668272</v>
      </c>
    </row>
    <row r="58" spans="1:6" ht="18" customHeight="1">
      <c r="A58" s="99">
        <v>2</v>
      </c>
      <c r="B58" s="100" t="s">
        <v>329</v>
      </c>
      <c r="C58" s="97">
        <v>1527105</v>
      </c>
      <c r="D58" s="97">
        <v>1746428</v>
      </c>
      <c r="E58" s="97">
        <f t="shared" si="7"/>
        <v>219323</v>
      </c>
      <c r="F58" s="98">
        <f t="shared" si="8"/>
        <v>0.14362011780460412</v>
      </c>
    </row>
    <row r="59" spans="1:6" ht="18" customHeight="1">
      <c r="A59" s="99">
        <v>3</v>
      </c>
      <c r="B59" s="100" t="s">
        <v>330</v>
      </c>
      <c r="C59" s="97">
        <v>885971</v>
      </c>
      <c r="D59" s="97">
        <v>649237</v>
      </c>
      <c r="E59" s="97">
        <f t="shared" si="7"/>
        <v>-236734</v>
      </c>
      <c r="F59" s="98">
        <f t="shared" si="8"/>
        <v>-0.2672028768435987</v>
      </c>
    </row>
    <row r="60" spans="1:6" ht="18" customHeight="1">
      <c r="A60" s="99">
        <v>4</v>
      </c>
      <c r="B60" s="100" t="s">
        <v>331</v>
      </c>
      <c r="C60" s="97">
        <v>965584</v>
      </c>
      <c r="D60" s="97">
        <v>744646</v>
      </c>
      <c r="E60" s="97">
        <f t="shared" si="7"/>
        <v>-220938</v>
      </c>
      <c r="F60" s="98">
        <f t="shared" si="8"/>
        <v>-0.228812822084873</v>
      </c>
    </row>
    <row r="61" spans="1:6" ht="18" customHeight="1">
      <c r="A61" s="99">
        <v>5</v>
      </c>
      <c r="B61" s="100" t="s">
        <v>332</v>
      </c>
      <c r="C61" s="97">
        <v>126999</v>
      </c>
      <c r="D61" s="97">
        <v>39949</v>
      </c>
      <c r="E61" s="97">
        <f t="shared" si="7"/>
        <v>-87050</v>
      </c>
      <c r="F61" s="98">
        <f t="shared" si="8"/>
        <v>-0.6854384680194332</v>
      </c>
    </row>
    <row r="62" spans="1:6" ht="18" customHeight="1">
      <c r="A62" s="99">
        <v>6</v>
      </c>
      <c r="B62" s="100" t="s">
        <v>333</v>
      </c>
      <c r="C62" s="97">
        <v>613551</v>
      </c>
      <c r="D62" s="97">
        <v>309925</v>
      </c>
      <c r="E62" s="97">
        <f t="shared" si="7"/>
        <v>-303626</v>
      </c>
      <c r="F62" s="98">
        <f t="shared" si="8"/>
        <v>-0.49486676739178975</v>
      </c>
    </row>
    <row r="63" spans="1:6" ht="18" customHeight="1">
      <c r="A63" s="99">
        <v>7</v>
      </c>
      <c r="B63" s="100" t="s">
        <v>334</v>
      </c>
      <c r="C63" s="97">
        <v>4847669</v>
      </c>
      <c r="D63" s="97">
        <v>8128207</v>
      </c>
      <c r="E63" s="97">
        <f t="shared" si="7"/>
        <v>3280538</v>
      </c>
      <c r="F63" s="98">
        <f t="shared" si="8"/>
        <v>0.6767248341419351</v>
      </c>
    </row>
    <row r="64" spans="1:6" ht="18" customHeight="1">
      <c r="A64" s="99">
        <v>8</v>
      </c>
      <c r="B64" s="100" t="s">
        <v>335</v>
      </c>
      <c r="C64" s="97">
        <v>181525</v>
      </c>
      <c r="D64" s="97">
        <v>287209</v>
      </c>
      <c r="E64" s="97">
        <f t="shared" si="7"/>
        <v>105684</v>
      </c>
      <c r="F64" s="98">
        <f t="shared" si="8"/>
        <v>0.5822007987880458</v>
      </c>
    </row>
    <row r="65" spans="1:6" ht="18" customHeight="1">
      <c r="A65" s="99">
        <v>9</v>
      </c>
      <c r="B65" s="100" t="s">
        <v>336</v>
      </c>
      <c r="C65" s="97">
        <v>773746</v>
      </c>
      <c r="D65" s="97">
        <v>26382</v>
      </c>
      <c r="E65" s="97">
        <f t="shared" si="7"/>
        <v>-747364</v>
      </c>
      <c r="F65" s="98">
        <f t="shared" si="8"/>
        <v>-0.965903539404404</v>
      </c>
    </row>
    <row r="66" spans="1:6" ht="18" customHeight="1">
      <c r="A66" s="99">
        <v>10</v>
      </c>
      <c r="B66" s="100" t="s">
        <v>337</v>
      </c>
      <c r="C66" s="97">
        <v>111509</v>
      </c>
      <c r="D66" s="97">
        <v>148039</v>
      </c>
      <c r="E66" s="97">
        <f t="shared" si="7"/>
        <v>36530</v>
      </c>
      <c r="F66" s="98">
        <f t="shared" si="8"/>
        <v>0.3275968755885175</v>
      </c>
    </row>
    <row r="67" spans="1:6" ht="18" customHeight="1">
      <c r="A67" s="99">
        <v>11</v>
      </c>
      <c r="B67" s="100" t="s">
        <v>338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347</v>
      </c>
      <c r="C68" s="103">
        <f>SUM(C57:C67)</f>
        <v>25282854</v>
      </c>
      <c r="D68" s="103">
        <f>SUM(D57:D67)</f>
        <v>24972233</v>
      </c>
      <c r="E68" s="103">
        <f t="shared" si="7"/>
        <v>-310621</v>
      </c>
      <c r="F68" s="104">
        <f t="shared" si="8"/>
        <v>-0.012285836084802769</v>
      </c>
    </row>
    <row r="69" spans="1:6" ht="18" customHeight="1">
      <c r="A69" s="94" t="s">
        <v>340</v>
      </c>
      <c r="B69" s="95" t="s">
        <v>348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328</v>
      </c>
      <c r="C70" s="97">
        <v>6857862</v>
      </c>
      <c r="D70" s="97">
        <v>5979453</v>
      </c>
      <c r="E70" s="97">
        <f aca="true" t="shared" si="9" ref="E70:E81">D70-C70</f>
        <v>-878409</v>
      </c>
      <c r="F70" s="98">
        <f aca="true" t="shared" si="10" ref="F70:F81">IF(C70=0,0,E70/C70)</f>
        <v>-0.12808787928366014</v>
      </c>
    </row>
    <row r="71" spans="1:6" ht="18" customHeight="1">
      <c r="A71" s="99">
        <v>2</v>
      </c>
      <c r="B71" s="100" t="s">
        <v>329</v>
      </c>
      <c r="C71" s="97">
        <v>1055350</v>
      </c>
      <c r="D71" s="97">
        <v>1182204</v>
      </c>
      <c r="E71" s="97">
        <f t="shared" si="9"/>
        <v>126854</v>
      </c>
      <c r="F71" s="98">
        <f t="shared" si="10"/>
        <v>0.1202008812242384</v>
      </c>
    </row>
    <row r="72" spans="1:6" ht="18" customHeight="1">
      <c r="A72" s="99">
        <v>3</v>
      </c>
      <c r="B72" s="100" t="s">
        <v>330</v>
      </c>
      <c r="C72" s="97">
        <v>481939</v>
      </c>
      <c r="D72" s="97">
        <v>561775</v>
      </c>
      <c r="E72" s="97">
        <f t="shared" si="9"/>
        <v>79836</v>
      </c>
      <c r="F72" s="98">
        <f t="shared" si="10"/>
        <v>0.16565581951242792</v>
      </c>
    </row>
    <row r="73" spans="1:6" ht="18" customHeight="1">
      <c r="A73" s="99">
        <v>4</v>
      </c>
      <c r="B73" s="100" t="s">
        <v>331</v>
      </c>
      <c r="C73" s="97">
        <v>1841449</v>
      </c>
      <c r="D73" s="97">
        <v>1614741</v>
      </c>
      <c r="E73" s="97">
        <f t="shared" si="9"/>
        <v>-226708</v>
      </c>
      <c r="F73" s="98">
        <f t="shared" si="10"/>
        <v>-0.1231139173553001</v>
      </c>
    </row>
    <row r="74" spans="1:6" ht="18" customHeight="1">
      <c r="A74" s="99">
        <v>5</v>
      </c>
      <c r="B74" s="100" t="s">
        <v>332</v>
      </c>
      <c r="C74" s="97">
        <v>214754</v>
      </c>
      <c r="D74" s="97">
        <v>113167</v>
      </c>
      <c r="E74" s="97">
        <f t="shared" si="9"/>
        <v>-101587</v>
      </c>
      <c r="F74" s="98">
        <f t="shared" si="10"/>
        <v>-0.4730389189491232</v>
      </c>
    </row>
    <row r="75" spans="1:6" ht="18" customHeight="1">
      <c r="A75" s="99">
        <v>6</v>
      </c>
      <c r="B75" s="100" t="s">
        <v>333</v>
      </c>
      <c r="C75" s="97">
        <v>606695</v>
      </c>
      <c r="D75" s="97">
        <v>1024658</v>
      </c>
      <c r="E75" s="97">
        <f t="shared" si="9"/>
        <v>417963</v>
      </c>
      <c r="F75" s="98">
        <f t="shared" si="10"/>
        <v>0.6889178252664024</v>
      </c>
    </row>
    <row r="76" spans="1:6" ht="18" customHeight="1">
      <c r="A76" s="99">
        <v>7</v>
      </c>
      <c r="B76" s="100" t="s">
        <v>334</v>
      </c>
      <c r="C76" s="97">
        <v>29977969</v>
      </c>
      <c r="D76" s="97">
        <v>24912607</v>
      </c>
      <c r="E76" s="97">
        <f t="shared" si="9"/>
        <v>-5065362</v>
      </c>
      <c r="F76" s="98">
        <f t="shared" si="10"/>
        <v>-0.16896948555787752</v>
      </c>
    </row>
    <row r="77" spans="1:6" ht="18" customHeight="1">
      <c r="A77" s="99">
        <v>8</v>
      </c>
      <c r="B77" s="100" t="s">
        <v>335</v>
      </c>
      <c r="C77" s="97">
        <v>2504426</v>
      </c>
      <c r="D77" s="97">
        <v>2129173</v>
      </c>
      <c r="E77" s="97">
        <f t="shared" si="9"/>
        <v>-375253</v>
      </c>
      <c r="F77" s="98">
        <f t="shared" si="10"/>
        <v>-0.14983593046869823</v>
      </c>
    </row>
    <row r="78" spans="1:6" ht="18" customHeight="1">
      <c r="A78" s="99">
        <v>9</v>
      </c>
      <c r="B78" s="100" t="s">
        <v>336</v>
      </c>
      <c r="C78" s="97">
        <v>1741301</v>
      </c>
      <c r="D78" s="97">
        <v>792161</v>
      </c>
      <c r="E78" s="97">
        <f t="shared" si="9"/>
        <v>-949140</v>
      </c>
      <c r="F78" s="98">
        <f t="shared" si="10"/>
        <v>-0.5450752052631912</v>
      </c>
    </row>
    <row r="79" spans="1:6" ht="18" customHeight="1">
      <c r="A79" s="99">
        <v>10</v>
      </c>
      <c r="B79" s="100" t="s">
        <v>337</v>
      </c>
      <c r="C79" s="97">
        <v>268322</v>
      </c>
      <c r="D79" s="97">
        <v>114993</v>
      </c>
      <c r="E79" s="97">
        <f t="shared" si="9"/>
        <v>-153329</v>
      </c>
      <c r="F79" s="98">
        <f t="shared" si="10"/>
        <v>-0.5714365575688911</v>
      </c>
    </row>
    <row r="80" spans="1:6" ht="18" customHeight="1">
      <c r="A80" s="99">
        <v>11</v>
      </c>
      <c r="B80" s="100" t="s">
        <v>338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349</v>
      </c>
      <c r="C81" s="103">
        <f>SUM(C70:C80)</f>
        <v>45550067</v>
      </c>
      <c r="D81" s="103">
        <f>SUM(D70:D80)</f>
        <v>38424932</v>
      </c>
      <c r="E81" s="103">
        <f t="shared" si="9"/>
        <v>-7125135</v>
      </c>
      <c r="F81" s="104">
        <f t="shared" si="10"/>
        <v>-0.15642424850878925</v>
      </c>
    </row>
    <row r="82" spans="1:6" ht="18" customHeight="1">
      <c r="A82" s="665" t="s">
        <v>343</v>
      </c>
      <c r="B82" s="667" t="s">
        <v>350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328</v>
      </c>
      <c r="C84" s="103">
        <f aca="true" t="shared" si="11" ref="C84:D94">+C70+C57</f>
        <v>22107057</v>
      </c>
      <c r="D84" s="103">
        <f t="shared" si="11"/>
        <v>18871664</v>
      </c>
      <c r="E84" s="103">
        <f aca="true" t="shared" si="12" ref="E84:E95">D84-C84</f>
        <v>-3235393</v>
      </c>
      <c r="F84" s="104">
        <f aca="true" t="shared" si="13" ref="F84:F95">IF(C84=0,0,E84/C84)</f>
        <v>-0.14635114027163362</v>
      </c>
    </row>
    <row r="85" spans="1:6" ht="18" customHeight="1">
      <c r="A85" s="114">
        <v>2</v>
      </c>
      <c r="B85" s="106" t="s">
        <v>329</v>
      </c>
      <c r="C85" s="103">
        <f t="shared" si="11"/>
        <v>2582455</v>
      </c>
      <c r="D85" s="103">
        <f t="shared" si="11"/>
        <v>2928632</v>
      </c>
      <c r="E85" s="103">
        <f t="shared" si="12"/>
        <v>346177</v>
      </c>
      <c r="F85" s="104">
        <f t="shared" si="13"/>
        <v>0.1340495768561311</v>
      </c>
    </row>
    <row r="86" spans="1:6" ht="18" customHeight="1">
      <c r="A86" s="114">
        <v>3</v>
      </c>
      <c r="B86" s="106" t="s">
        <v>330</v>
      </c>
      <c r="C86" s="103">
        <f t="shared" si="11"/>
        <v>1367910</v>
      </c>
      <c r="D86" s="103">
        <f t="shared" si="11"/>
        <v>1211012</v>
      </c>
      <c r="E86" s="103">
        <f t="shared" si="12"/>
        <v>-156898</v>
      </c>
      <c r="F86" s="104">
        <f t="shared" si="13"/>
        <v>-0.11469906645905067</v>
      </c>
    </row>
    <row r="87" spans="1:6" ht="18" customHeight="1">
      <c r="A87" s="114">
        <v>4</v>
      </c>
      <c r="B87" s="106" t="s">
        <v>331</v>
      </c>
      <c r="C87" s="103">
        <f t="shared" si="11"/>
        <v>2807033</v>
      </c>
      <c r="D87" s="103">
        <f t="shared" si="11"/>
        <v>2359387</v>
      </c>
      <c r="E87" s="103">
        <f t="shared" si="12"/>
        <v>-447646</v>
      </c>
      <c r="F87" s="104">
        <f t="shared" si="13"/>
        <v>-0.15947300940174197</v>
      </c>
    </row>
    <row r="88" spans="1:6" ht="18" customHeight="1">
      <c r="A88" s="114">
        <v>5</v>
      </c>
      <c r="B88" s="106" t="s">
        <v>332</v>
      </c>
      <c r="C88" s="103">
        <f t="shared" si="11"/>
        <v>341753</v>
      </c>
      <c r="D88" s="103">
        <f t="shared" si="11"/>
        <v>153116</v>
      </c>
      <c r="E88" s="103">
        <f t="shared" si="12"/>
        <v>-188637</v>
      </c>
      <c r="F88" s="104">
        <f t="shared" si="13"/>
        <v>-0.5519688195860754</v>
      </c>
    </row>
    <row r="89" spans="1:6" ht="18" customHeight="1">
      <c r="A89" s="114">
        <v>6</v>
      </c>
      <c r="B89" s="106" t="s">
        <v>333</v>
      </c>
      <c r="C89" s="103">
        <f t="shared" si="11"/>
        <v>1220246</v>
      </c>
      <c r="D89" s="103">
        <f t="shared" si="11"/>
        <v>1334583</v>
      </c>
      <c r="E89" s="103">
        <f t="shared" si="12"/>
        <v>114337</v>
      </c>
      <c r="F89" s="104">
        <f t="shared" si="13"/>
        <v>0.0936999588607543</v>
      </c>
    </row>
    <row r="90" spans="1:6" ht="18" customHeight="1">
      <c r="A90" s="114">
        <v>7</v>
      </c>
      <c r="B90" s="106" t="s">
        <v>334</v>
      </c>
      <c r="C90" s="103">
        <f t="shared" si="11"/>
        <v>34825638</v>
      </c>
      <c r="D90" s="103">
        <f t="shared" si="11"/>
        <v>33040814</v>
      </c>
      <c r="E90" s="103">
        <f t="shared" si="12"/>
        <v>-1784824</v>
      </c>
      <c r="F90" s="104">
        <f t="shared" si="13"/>
        <v>-0.051250288652285425</v>
      </c>
    </row>
    <row r="91" spans="1:6" ht="18" customHeight="1">
      <c r="A91" s="114">
        <v>8</v>
      </c>
      <c r="B91" s="106" t="s">
        <v>335</v>
      </c>
      <c r="C91" s="103">
        <f t="shared" si="11"/>
        <v>2685951</v>
      </c>
      <c r="D91" s="103">
        <f t="shared" si="11"/>
        <v>2416382</v>
      </c>
      <c r="E91" s="103">
        <f t="shared" si="12"/>
        <v>-269569</v>
      </c>
      <c r="F91" s="104">
        <f t="shared" si="13"/>
        <v>-0.10036259038232641</v>
      </c>
    </row>
    <row r="92" spans="1:6" ht="18" customHeight="1">
      <c r="A92" s="114">
        <v>9</v>
      </c>
      <c r="B92" s="106" t="s">
        <v>336</v>
      </c>
      <c r="C92" s="103">
        <f t="shared" si="11"/>
        <v>2515047</v>
      </c>
      <c r="D92" s="103">
        <f t="shared" si="11"/>
        <v>818543</v>
      </c>
      <c r="E92" s="103">
        <f t="shared" si="12"/>
        <v>-1696504</v>
      </c>
      <c r="F92" s="104">
        <f t="shared" si="13"/>
        <v>-0.6745416686050002</v>
      </c>
    </row>
    <row r="93" spans="1:6" ht="18" customHeight="1">
      <c r="A93" s="114">
        <v>10</v>
      </c>
      <c r="B93" s="106" t="s">
        <v>337</v>
      </c>
      <c r="C93" s="103">
        <f t="shared" si="11"/>
        <v>379831</v>
      </c>
      <c r="D93" s="103">
        <f t="shared" si="11"/>
        <v>263032</v>
      </c>
      <c r="E93" s="103">
        <f t="shared" si="12"/>
        <v>-116799</v>
      </c>
      <c r="F93" s="104">
        <f t="shared" si="13"/>
        <v>-0.3075025471854588</v>
      </c>
    </row>
    <row r="94" spans="1:6" ht="18" customHeight="1" thickBot="1">
      <c r="A94" s="114">
        <v>11</v>
      </c>
      <c r="B94" s="106" t="s">
        <v>338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350</v>
      </c>
      <c r="C95" s="112">
        <f>SUM(C84:C94)</f>
        <v>70832921</v>
      </c>
      <c r="D95" s="112">
        <f>SUM(D84:D94)</f>
        <v>63397165</v>
      </c>
      <c r="E95" s="112">
        <f t="shared" si="12"/>
        <v>-7435756</v>
      </c>
      <c r="F95" s="113">
        <f t="shared" si="13"/>
        <v>-0.10497598990729183</v>
      </c>
    </row>
    <row r="96" spans="1:6" ht="18" customHeight="1">
      <c r="A96" s="665" t="s">
        <v>351</v>
      </c>
      <c r="B96" s="667" t="s">
        <v>352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326</v>
      </c>
      <c r="B99" s="95" t="s">
        <v>353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328</v>
      </c>
      <c r="C100" s="117">
        <v>1839</v>
      </c>
      <c r="D100" s="117">
        <v>1591</v>
      </c>
      <c r="E100" s="117">
        <f aca="true" t="shared" si="14" ref="E100:E111">D100-C100</f>
        <v>-248</v>
      </c>
      <c r="F100" s="98">
        <f aca="true" t="shared" si="15" ref="F100:F111">IF(C100=0,0,E100/C100)</f>
        <v>-0.1348558999456226</v>
      </c>
    </row>
    <row r="101" spans="1:6" ht="18" customHeight="1">
      <c r="A101" s="99">
        <v>2</v>
      </c>
      <c r="B101" s="100" t="s">
        <v>329</v>
      </c>
      <c r="C101" s="117">
        <v>187</v>
      </c>
      <c r="D101" s="117">
        <v>216</v>
      </c>
      <c r="E101" s="117">
        <f t="shared" si="14"/>
        <v>29</v>
      </c>
      <c r="F101" s="98">
        <f t="shared" si="15"/>
        <v>0.15508021390374332</v>
      </c>
    </row>
    <row r="102" spans="1:6" ht="18" customHeight="1">
      <c r="A102" s="99">
        <v>3</v>
      </c>
      <c r="B102" s="100" t="s">
        <v>330</v>
      </c>
      <c r="C102" s="117">
        <v>213</v>
      </c>
      <c r="D102" s="117">
        <v>119</v>
      </c>
      <c r="E102" s="117">
        <f t="shared" si="14"/>
        <v>-94</v>
      </c>
      <c r="F102" s="98">
        <f t="shared" si="15"/>
        <v>-0.4413145539906103</v>
      </c>
    </row>
    <row r="103" spans="1:6" ht="18" customHeight="1">
      <c r="A103" s="99">
        <v>4</v>
      </c>
      <c r="B103" s="100" t="s">
        <v>331</v>
      </c>
      <c r="C103" s="117">
        <v>392</v>
      </c>
      <c r="D103" s="117">
        <v>285</v>
      </c>
      <c r="E103" s="117">
        <f t="shared" si="14"/>
        <v>-107</v>
      </c>
      <c r="F103" s="98">
        <f t="shared" si="15"/>
        <v>-0.2729591836734694</v>
      </c>
    </row>
    <row r="104" spans="1:6" ht="18" customHeight="1">
      <c r="A104" s="99">
        <v>5</v>
      </c>
      <c r="B104" s="100" t="s">
        <v>332</v>
      </c>
      <c r="C104" s="117">
        <v>23</v>
      </c>
      <c r="D104" s="117">
        <v>22</v>
      </c>
      <c r="E104" s="117">
        <f t="shared" si="14"/>
        <v>-1</v>
      </c>
      <c r="F104" s="98">
        <f t="shared" si="15"/>
        <v>-0.043478260869565216</v>
      </c>
    </row>
    <row r="105" spans="1:6" ht="18" customHeight="1">
      <c r="A105" s="99">
        <v>6</v>
      </c>
      <c r="B105" s="100" t="s">
        <v>333</v>
      </c>
      <c r="C105" s="117">
        <v>79</v>
      </c>
      <c r="D105" s="117">
        <v>43</v>
      </c>
      <c r="E105" s="117">
        <f t="shared" si="14"/>
        <v>-36</v>
      </c>
      <c r="F105" s="98">
        <f t="shared" si="15"/>
        <v>-0.45569620253164556</v>
      </c>
    </row>
    <row r="106" spans="1:6" ht="18" customHeight="1">
      <c r="A106" s="99">
        <v>7</v>
      </c>
      <c r="B106" s="100" t="s">
        <v>334</v>
      </c>
      <c r="C106" s="117">
        <v>1241</v>
      </c>
      <c r="D106" s="117">
        <v>1169</v>
      </c>
      <c r="E106" s="117">
        <f t="shared" si="14"/>
        <v>-72</v>
      </c>
      <c r="F106" s="98">
        <f t="shared" si="15"/>
        <v>-0.05801772763900081</v>
      </c>
    </row>
    <row r="107" spans="1:6" ht="18" customHeight="1">
      <c r="A107" s="99">
        <v>8</v>
      </c>
      <c r="B107" s="100" t="s">
        <v>335</v>
      </c>
      <c r="C107" s="117">
        <v>6</v>
      </c>
      <c r="D107" s="117">
        <v>7</v>
      </c>
      <c r="E107" s="117">
        <f t="shared" si="14"/>
        <v>1</v>
      </c>
      <c r="F107" s="98">
        <f t="shared" si="15"/>
        <v>0.16666666666666666</v>
      </c>
    </row>
    <row r="108" spans="1:6" ht="18" customHeight="1">
      <c r="A108" s="99">
        <v>9</v>
      </c>
      <c r="B108" s="100" t="s">
        <v>336</v>
      </c>
      <c r="C108" s="117">
        <v>52</v>
      </c>
      <c r="D108" s="117">
        <v>114</v>
      </c>
      <c r="E108" s="117">
        <f t="shared" si="14"/>
        <v>62</v>
      </c>
      <c r="F108" s="98">
        <f t="shared" si="15"/>
        <v>1.1923076923076923</v>
      </c>
    </row>
    <row r="109" spans="1:6" ht="18" customHeight="1">
      <c r="A109" s="99">
        <v>10</v>
      </c>
      <c r="B109" s="100" t="s">
        <v>337</v>
      </c>
      <c r="C109" s="117">
        <v>55</v>
      </c>
      <c r="D109" s="117">
        <v>52</v>
      </c>
      <c r="E109" s="117">
        <f t="shared" si="14"/>
        <v>-3</v>
      </c>
      <c r="F109" s="98">
        <f t="shared" si="15"/>
        <v>-0.05454545454545454</v>
      </c>
    </row>
    <row r="110" spans="1:6" ht="18" customHeight="1">
      <c r="A110" s="99">
        <v>11</v>
      </c>
      <c r="B110" s="100" t="s">
        <v>338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354</v>
      </c>
      <c r="C111" s="118">
        <f>SUM(C100:C110)</f>
        <v>4087</v>
      </c>
      <c r="D111" s="118">
        <f>SUM(D100:D110)</f>
        <v>3618</v>
      </c>
      <c r="E111" s="118">
        <f t="shared" si="14"/>
        <v>-469</v>
      </c>
      <c r="F111" s="104">
        <f t="shared" si="15"/>
        <v>-0.11475409836065574</v>
      </c>
    </row>
    <row r="112" spans="1:6" ht="18" customHeight="1">
      <c r="A112" s="94" t="s">
        <v>340</v>
      </c>
      <c r="B112" s="95" t="s">
        <v>355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328</v>
      </c>
      <c r="C113" s="117">
        <v>11755</v>
      </c>
      <c r="D113" s="117">
        <v>9453</v>
      </c>
      <c r="E113" s="117">
        <f aca="true" t="shared" si="16" ref="E113:E124">D113-C113</f>
        <v>-2302</v>
      </c>
      <c r="F113" s="98">
        <f aca="true" t="shared" si="17" ref="F113:F124">IF(C113=0,0,E113/C113)</f>
        <v>-0.19583156103785623</v>
      </c>
    </row>
    <row r="114" spans="1:6" ht="18" customHeight="1">
      <c r="A114" s="99">
        <v>2</v>
      </c>
      <c r="B114" s="100" t="s">
        <v>329</v>
      </c>
      <c r="C114" s="117">
        <v>1128</v>
      </c>
      <c r="D114" s="117">
        <v>1170</v>
      </c>
      <c r="E114" s="117">
        <f t="shared" si="16"/>
        <v>42</v>
      </c>
      <c r="F114" s="98">
        <f t="shared" si="17"/>
        <v>0.03723404255319149</v>
      </c>
    </row>
    <row r="115" spans="1:6" ht="18" customHeight="1">
      <c r="A115" s="99">
        <v>3</v>
      </c>
      <c r="B115" s="100" t="s">
        <v>330</v>
      </c>
      <c r="C115" s="117">
        <v>1268</v>
      </c>
      <c r="D115" s="117">
        <v>756</v>
      </c>
      <c r="E115" s="117">
        <f t="shared" si="16"/>
        <v>-512</v>
      </c>
      <c r="F115" s="98">
        <f t="shared" si="17"/>
        <v>-0.4037854889589905</v>
      </c>
    </row>
    <row r="116" spans="1:6" ht="18" customHeight="1">
      <c r="A116" s="99">
        <v>4</v>
      </c>
      <c r="B116" s="100" t="s">
        <v>331</v>
      </c>
      <c r="C116" s="117">
        <v>1595</v>
      </c>
      <c r="D116" s="117">
        <v>962</v>
      </c>
      <c r="E116" s="117">
        <f t="shared" si="16"/>
        <v>-633</v>
      </c>
      <c r="F116" s="98">
        <f t="shared" si="17"/>
        <v>-0.3968652037617555</v>
      </c>
    </row>
    <row r="117" spans="1:6" ht="18" customHeight="1">
      <c r="A117" s="99">
        <v>5</v>
      </c>
      <c r="B117" s="100" t="s">
        <v>332</v>
      </c>
      <c r="C117" s="117">
        <v>103</v>
      </c>
      <c r="D117" s="117">
        <v>101</v>
      </c>
      <c r="E117" s="117">
        <f t="shared" si="16"/>
        <v>-2</v>
      </c>
      <c r="F117" s="98">
        <f t="shared" si="17"/>
        <v>-0.019417475728155338</v>
      </c>
    </row>
    <row r="118" spans="1:6" ht="18" customHeight="1">
      <c r="A118" s="99">
        <v>6</v>
      </c>
      <c r="B118" s="100" t="s">
        <v>333</v>
      </c>
      <c r="C118" s="117">
        <v>322</v>
      </c>
      <c r="D118" s="117">
        <v>150</v>
      </c>
      <c r="E118" s="117">
        <f t="shared" si="16"/>
        <v>-172</v>
      </c>
      <c r="F118" s="98">
        <f t="shared" si="17"/>
        <v>-0.5341614906832298</v>
      </c>
    </row>
    <row r="119" spans="1:6" ht="18" customHeight="1">
      <c r="A119" s="99">
        <v>7</v>
      </c>
      <c r="B119" s="100" t="s">
        <v>334</v>
      </c>
      <c r="C119" s="117">
        <v>4967</v>
      </c>
      <c r="D119" s="117">
        <v>4411</v>
      </c>
      <c r="E119" s="117">
        <f t="shared" si="16"/>
        <v>-556</v>
      </c>
      <c r="F119" s="98">
        <f t="shared" si="17"/>
        <v>-0.11193879605395611</v>
      </c>
    </row>
    <row r="120" spans="1:6" ht="18" customHeight="1">
      <c r="A120" s="99">
        <v>8</v>
      </c>
      <c r="B120" s="100" t="s">
        <v>335</v>
      </c>
      <c r="C120" s="117">
        <v>28</v>
      </c>
      <c r="D120" s="117">
        <v>22</v>
      </c>
      <c r="E120" s="117">
        <f t="shared" si="16"/>
        <v>-6</v>
      </c>
      <c r="F120" s="98">
        <f t="shared" si="17"/>
        <v>-0.21428571428571427</v>
      </c>
    </row>
    <row r="121" spans="1:6" ht="18" customHeight="1">
      <c r="A121" s="99">
        <v>9</v>
      </c>
      <c r="B121" s="100" t="s">
        <v>336</v>
      </c>
      <c r="C121" s="117">
        <v>236</v>
      </c>
      <c r="D121" s="117">
        <v>638</v>
      </c>
      <c r="E121" s="117">
        <f t="shared" si="16"/>
        <v>402</v>
      </c>
      <c r="F121" s="98">
        <f t="shared" si="17"/>
        <v>1.7033898305084745</v>
      </c>
    </row>
    <row r="122" spans="1:6" ht="18" customHeight="1">
      <c r="A122" s="99">
        <v>10</v>
      </c>
      <c r="B122" s="100" t="s">
        <v>337</v>
      </c>
      <c r="C122" s="117">
        <v>254</v>
      </c>
      <c r="D122" s="117">
        <v>335</v>
      </c>
      <c r="E122" s="117">
        <f t="shared" si="16"/>
        <v>81</v>
      </c>
      <c r="F122" s="98">
        <f t="shared" si="17"/>
        <v>0.3188976377952756</v>
      </c>
    </row>
    <row r="123" spans="1:6" ht="18" customHeight="1">
      <c r="A123" s="99">
        <v>11</v>
      </c>
      <c r="B123" s="100" t="s">
        <v>338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356</v>
      </c>
      <c r="C124" s="118">
        <f>SUM(C113:C123)</f>
        <v>21656</v>
      </c>
      <c r="D124" s="118">
        <f>SUM(D113:D123)</f>
        <v>17998</v>
      </c>
      <c r="E124" s="118">
        <f t="shared" si="16"/>
        <v>-3658</v>
      </c>
      <c r="F124" s="104">
        <f t="shared" si="17"/>
        <v>-0.1689139268562985</v>
      </c>
    </row>
    <row r="125" spans="1:6" ht="18" customHeight="1">
      <c r="A125" s="94" t="s">
        <v>357</v>
      </c>
      <c r="B125" s="95" t="s">
        <v>358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328</v>
      </c>
      <c r="C126" s="117">
        <v>28410</v>
      </c>
      <c r="D126" s="117">
        <v>25197</v>
      </c>
      <c r="E126" s="117">
        <f aca="true" t="shared" si="18" ref="E126:E137">D126-C126</f>
        <v>-3213</v>
      </c>
      <c r="F126" s="98">
        <f aca="true" t="shared" si="19" ref="F126:F137">IF(C126=0,0,E126/C126)</f>
        <v>-0.11309398099260824</v>
      </c>
    </row>
    <row r="127" spans="1:6" ht="18" customHeight="1">
      <c r="A127" s="99">
        <v>2</v>
      </c>
      <c r="B127" s="100" t="s">
        <v>329</v>
      </c>
      <c r="C127" s="117">
        <v>4360</v>
      </c>
      <c r="D127" s="117">
        <v>5291</v>
      </c>
      <c r="E127" s="117">
        <f t="shared" si="18"/>
        <v>931</v>
      </c>
      <c r="F127" s="98">
        <f t="shared" si="19"/>
        <v>0.2135321100917431</v>
      </c>
    </row>
    <row r="128" spans="1:6" ht="18" customHeight="1">
      <c r="A128" s="99">
        <v>3</v>
      </c>
      <c r="B128" s="100" t="s">
        <v>330</v>
      </c>
      <c r="C128" s="117">
        <v>2295</v>
      </c>
      <c r="D128" s="117">
        <v>1995</v>
      </c>
      <c r="E128" s="117">
        <f t="shared" si="18"/>
        <v>-300</v>
      </c>
      <c r="F128" s="98">
        <f t="shared" si="19"/>
        <v>-0.13071895424836602</v>
      </c>
    </row>
    <row r="129" spans="1:6" ht="18" customHeight="1">
      <c r="A129" s="99">
        <v>4</v>
      </c>
      <c r="B129" s="100" t="s">
        <v>331</v>
      </c>
      <c r="C129" s="117">
        <v>6186</v>
      </c>
      <c r="D129" s="117">
        <v>5404</v>
      </c>
      <c r="E129" s="117">
        <f t="shared" si="18"/>
        <v>-782</v>
      </c>
      <c r="F129" s="98">
        <f t="shared" si="19"/>
        <v>-0.12641448431943098</v>
      </c>
    </row>
    <row r="130" spans="1:6" ht="18" customHeight="1">
      <c r="A130" s="99">
        <v>5</v>
      </c>
      <c r="B130" s="100" t="s">
        <v>332</v>
      </c>
      <c r="C130" s="117">
        <v>465</v>
      </c>
      <c r="D130" s="117">
        <v>438</v>
      </c>
      <c r="E130" s="117">
        <f t="shared" si="18"/>
        <v>-27</v>
      </c>
      <c r="F130" s="98">
        <f t="shared" si="19"/>
        <v>-0.05806451612903226</v>
      </c>
    </row>
    <row r="131" spans="1:6" ht="18" customHeight="1">
      <c r="A131" s="99">
        <v>6</v>
      </c>
      <c r="B131" s="100" t="s">
        <v>333</v>
      </c>
      <c r="C131" s="117">
        <v>1208</v>
      </c>
      <c r="D131" s="117">
        <v>1174</v>
      </c>
      <c r="E131" s="117">
        <f t="shared" si="18"/>
        <v>-34</v>
      </c>
      <c r="F131" s="98">
        <f t="shared" si="19"/>
        <v>-0.028145695364238412</v>
      </c>
    </row>
    <row r="132" spans="1:6" ht="18" customHeight="1">
      <c r="A132" s="99">
        <v>7</v>
      </c>
      <c r="B132" s="100" t="s">
        <v>334</v>
      </c>
      <c r="C132" s="117">
        <v>44231</v>
      </c>
      <c r="D132" s="117">
        <v>38044</v>
      </c>
      <c r="E132" s="117">
        <f t="shared" si="18"/>
        <v>-6187</v>
      </c>
      <c r="F132" s="98">
        <f t="shared" si="19"/>
        <v>-0.13987927019511204</v>
      </c>
    </row>
    <row r="133" spans="1:6" ht="18" customHeight="1">
      <c r="A133" s="99">
        <v>8</v>
      </c>
      <c r="B133" s="100" t="s">
        <v>335</v>
      </c>
      <c r="C133" s="117">
        <v>1831</v>
      </c>
      <c r="D133" s="117">
        <v>1394</v>
      </c>
      <c r="E133" s="117">
        <f t="shared" si="18"/>
        <v>-437</v>
      </c>
      <c r="F133" s="98">
        <f t="shared" si="19"/>
        <v>-0.23866739486619334</v>
      </c>
    </row>
    <row r="134" spans="1:6" ht="18" customHeight="1">
      <c r="A134" s="99">
        <v>9</v>
      </c>
      <c r="B134" s="100" t="s">
        <v>336</v>
      </c>
      <c r="C134" s="117">
        <v>2370</v>
      </c>
      <c r="D134" s="117">
        <v>4001</v>
      </c>
      <c r="E134" s="117">
        <f t="shared" si="18"/>
        <v>1631</v>
      </c>
      <c r="F134" s="98">
        <f t="shared" si="19"/>
        <v>0.6881856540084388</v>
      </c>
    </row>
    <row r="135" spans="1:6" ht="18" customHeight="1">
      <c r="A135" s="99">
        <v>10</v>
      </c>
      <c r="B135" s="100" t="s">
        <v>337</v>
      </c>
      <c r="C135" s="117">
        <v>946</v>
      </c>
      <c r="D135" s="117">
        <v>1243</v>
      </c>
      <c r="E135" s="117">
        <f t="shared" si="18"/>
        <v>297</v>
      </c>
      <c r="F135" s="98">
        <f t="shared" si="19"/>
        <v>0.313953488372093</v>
      </c>
    </row>
    <row r="136" spans="1:6" ht="18" customHeight="1">
      <c r="A136" s="99">
        <v>11</v>
      </c>
      <c r="B136" s="100" t="s">
        <v>338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359</v>
      </c>
      <c r="C137" s="118">
        <f>SUM(C126:C136)</f>
        <v>92302</v>
      </c>
      <c r="D137" s="118">
        <f>SUM(D126:D136)</f>
        <v>84181</v>
      </c>
      <c r="E137" s="118">
        <f t="shared" si="18"/>
        <v>-8121</v>
      </c>
      <c r="F137" s="104">
        <f t="shared" si="19"/>
        <v>-0.08798292561374618</v>
      </c>
    </row>
    <row r="138" spans="1:6" ht="18" customHeight="1">
      <c r="A138" s="665" t="s">
        <v>360</v>
      </c>
      <c r="B138" s="667" t="s">
        <v>361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326</v>
      </c>
      <c r="B141" s="95" t="s">
        <v>362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328</v>
      </c>
      <c r="C142" s="97">
        <v>2540954</v>
      </c>
      <c r="D142" s="97">
        <v>2201529</v>
      </c>
      <c r="E142" s="97">
        <f aca="true" t="shared" si="20" ref="E142:E153">D142-C142</f>
        <v>-339425</v>
      </c>
      <c r="F142" s="98">
        <f aca="true" t="shared" si="21" ref="F142:F153">IF(C142=0,0,E142/C142)</f>
        <v>-0.13358171773278854</v>
      </c>
    </row>
    <row r="143" spans="1:6" ht="18" customHeight="1">
      <c r="A143" s="99">
        <v>2</v>
      </c>
      <c r="B143" s="100" t="s">
        <v>329</v>
      </c>
      <c r="C143" s="97">
        <v>273221</v>
      </c>
      <c r="D143" s="97">
        <v>378539</v>
      </c>
      <c r="E143" s="97">
        <f t="shared" si="20"/>
        <v>105318</v>
      </c>
      <c r="F143" s="98">
        <f t="shared" si="21"/>
        <v>0.38546817411545964</v>
      </c>
    </row>
    <row r="144" spans="1:6" ht="18" customHeight="1">
      <c r="A144" s="99">
        <v>3</v>
      </c>
      <c r="B144" s="100" t="s">
        <v>330</v>
      </c>
      <c r="C144" s="97">
        <v>665899</v>
      </c>
      <c r="D144" s="97">
        <v>773431</v>
      </c>
      <c r="E144" s="97">
        <f t="shared" si="20"/>
        <v>107532</v>
      </c>
      <c r="F144" s="98">
        <f t="shared" si="21"/>
        <v>0.1614839487670052</v>
      </c>
    </row>
    <row r="145" spans="1:6" ht="18" customHeight="1">
      <c r="A145" s="99">
        <v>4</v>
      </c>
      <c r="B145" s="100" t="s">
        <v>331</v>
      </c>
      <c r="C145" s="97">
        <v>1238997</v>
      </c>
      <c r="D145" s="97">
        <v>1203483</v>
      </c>
      <c r="E145" s="97">
        <f t="shared" si="20"/>
        <v>-35514</v>
      </c>
      <c r="F145" s="98">
        <f t="shared" si="21"/>
        <v>-0.028663507659824842</v>
      </c>
    </row>
    <row r="146" spans="1:6" ht="18" customHeight="1">
      <c r="A146" s="99">
        <v>5</v>
      </c>
      <c r="B146" s="100" t="s">
        <v>332</v>
      </c>
      <c r="C146" s="97">
        <v>103349</v>
      </c>
      <c r="D146" s="97">
        <v>100605</v>
      </c>
      <c r="E146" s="97">
        <f t="shared" si="20"/>
        <v>-2744</v>
      </c>
      <c r="F146" s="98">
        <f t="shared" si="21"/>
        <v>-0.02655081326379549</v>
      </c>
    </row>
    <row r="147" spans="1:6" ht="18" customHeight="1">
      <c r="A147" s="99">
        <v>6</v>
      </c>
      <c r="B147" s="100" t="s">
        <v>333</v>
      </c>
      <c r="C147" s="97">
        <v>188879</v>
      </c>
      <c r="D147" s="97">
        <v>226863</v>
      </c>
      <c r="E147" s="97">
        <f t="shared" si="20"/>
        <v>37984</v>
      </c>
      <c r="F147" s="98">
        <f t="shared" si="21"/>
        <v>0.20110229300239837</v>
      </c>
    </row>
    <row r="148" spans="1:6" ht="18" customHeight="1">
      <c r="A148" s="99">
        <v>7</v>
      </c>
      <c r="B148" s="100" t="s">
        <v>334</v>
      </c>
      <c r="C148" s="97">
        <v>5244654</v>
      </c>
      <c r="D148" s="97">
        <v>4792619</v>
      </c>
      <c r="E148" s="97">
        <f t="shared" si="20"/>
        <v>-452035</v>
      </c>
      <c r="F148" s="98">
        <f t="shared" si="21"/>
        <v>-0.08618967047206547</v>
      </c>
    </row>
    <row r="149" spans="1:6" ht="18" customHeight="1">
      <c r="A149" s="99">
        <v>8</v>
      </c>
      <c r="B149" s="100" t="s">
        <v>335</v>
      </c>
      <c r="C149" s="97">
        <v>272033</v>
      </c>
      <c r="D149" s="97">
        <v>268127</v>
      </c>
      <c r="E149" s="97">
        <f t="shared" si="20"/>
        <v>-3906</v>
      </c>
      <c r="F149" s="98">
        <f t="shared" si="21"/>
        <v>-0.01435855208743057</v>
      </c>
    </row>
    <row r="150" spans="1:6" ht="18" customHeight="1">
      <c r="A150" s="99">
        <v>9</v>
      </c>
      <c r="B150" s="100" t="s">
        <v>336</v>
      </c>
      <c r="C150" s="97">
        <v>1260380</v>
      </c>
      <c r="D150" s="97">
        <v>1104506</v>
      </c>
      <c r="E150" s="97">
        <f t="shared" si="20"/>
        <v>-155874</v>
      </c>
      <c r="F150" s="98">
        <f t="shared" si="21"/>
        <v>-0.12367222583665244</v>
      </c>
    </row>
    <row r="151" spans="1:6" ht="18" customHeight="1">
      <c r="A151" s="99">
        <v>10</v>
      </c>
      <c r="B151" s="100" t="s">
        <v>337</v>
      </c>
      <c r="C151" s="97">
        <v>90804</v>
      </c>
      <c r="D151" s="97">
        <v>0</v>
      </c>
      <c r="E151" s="97">
        <f t="shared" si="20"/>
        <v>-90804</v>
      </c>
      <c r="F151" s="98">
        <f t="shared" si="21"/>
        <v>-1</v>
      </c>
    </row>
    <row r="152" spans="1:6" ht="18" customHeight="1">
      <c r="A152" s="99">
        <v>11</v>
      </c>
      <c r="B152" s="100" t="s">
        <v>338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363</v>
      </c>
      <c r="C153" s="103">
        <f>SUM(C142:C152)</f>
        <v>11879170</v>
      </c>
      <c r="D153" s="103">
        <f>SUM(D142:D152)</f>
        <v>11049702</v>
      </c>
      <c r="E153" s="103">
        <f t="shared" si="20"/>
        <v>-829468</v>
      </c>
      <c r="F153" s="104">
        <f t="shared" si="21"/>
        <v>-0.06982541709563883</v>
      </c>
    </row>
    <row r="154" spans="1:6" ht="18" customHeight="1">
      <c r="A154" s="94" t="s">
        <v>340</v>
      </c>
      <c r="B154" s="95" t="s">
        <v>364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328</v>
      </c>
      <c r="C155" s="97">
        <v>566887</v>
      </c>
      <c r="D155" s="97">
        <v>525285</v>
      </c>
      <c r="E155" s="97">
        <f aca="true" t="shared" si="22" ref="E155:E166">D155-C155</f>
        <v>-41602</v>
      </c>
      <c r="F155" s="98">
        <f aca="true" t="shared" si="23" ref="F155:F166">IF(C155=0,0,E155/C155)</f>
        <v>-0.07338675961876</v>
      </c>
    </row>
    <row r="156" spans="1:6" ht="18" customHeight="1">
      <c r="A156" s="99">
        <v>2</v>
      </c>
      <c r="B156" s="100" t="s">
        <v>329</v>
      </c>
      <c r="C156" s="97">
        <v>66666</v>
      </c>
      <c r="D156" s="97">
        <v>90547</v>
      </c>
      <c r="E156" s="97">
        <f t="shared" si="22"/>
        <v>23881</v>
      </c>
      <c r="F156" s="98">
        <f t="shared" si="23"/>
        <v>0.35821858218582187</v>
      </c>
    </row>
    <row r="157" spans="1:6" ht="18" customHeight="1">
      <c r="A157" s="99">
        <v>3</v>
      </c>
      <c r="B157" s="100" t="s">
        <v>330</v>
      </c>
      <c r="C157" s="97">
        <v>134978</v>
      </c>
      <c r="D157" s="97">
        <v>100743</v>
      </c>
      <c r="E157" s="97">
        <f t="shared" si="22"/>
        <v>-34235</v>
      </c>
      <c r="F157" s="98">
        <f t="shared" si="23"/>
        <v>-0.25363392552860464</v>
      </c>
    </row>
    <row r="158" spans="1:6" ht="18" customHeight="1">
      <c r="A158" s="99">
        <v>4</v>
      </c>
      <c r="B158" s="100" t="s">
        <v>331</v>
      </c>
      <c r="C158" s="97">
        <v>271340</v>
      </c>
      <c r="D158" s="97">
        <v>289799</v>
      </c>
      <c r="E158" s="97">
        <f t="shared" si="22"/>
        <v>18459</v>
      </c>
      <c r="F158" s="98">
        <f t="shared" si="23"/>
        <v>0.06802904105550232</v>
      </c>
    </row>
    <row r="159" spans="1:6" ht="18" customHeight="1">
      <c r="A159" s="99">
        <v>5</v>
      </c>
      <c r="B159" s="100" t="s">
        <v>332</v>
      </c>
      <c r="C159" s="97">
        <v>42559</v>
      </c>
      <c r="D159" s="97">
        <v>34497</v>
      </c>
      <c r="E159" s="97">
        <f t="shared" si="22"/>
        <v>-8062</v>
      </c>
      <c r="F159" s="98">
        <f t="shared" si="23"/>
        <v>-0.1894311426490284</v>
      </c>
    </row>
    <row r="160" spans="1:6" ht="18" customHeight="1">
      <c r="A160" s="99">
        <v>6</v>
      </c>
      <c r="B160" s="100" t="s">
        <v>333</v>
      </c>
      <c r="C160" s="97">
        <v>137731</v>
      </c>
      <c r="D160" s="97">
        <v>147733</v>
      </c>
      <c r="E160" s="97">
        <f t="shared" si="22"/>
        <v>10002</v>
      </c>
      <c r="F160" s="98">
        <f t="shared" si="23"/>
        <v>0.07261981688944391</v>
      </c>
    </row>
    <row r="161" spans="1:6" ht="18" customHeight="1">
      <c r="A161" s="99">
        <v>7</v>
      </c>
      <c r="B161" s="100" t="s">
        <v>334</v>
      </c>
      <c r="C161" s="97">
        <v>2395233</v>
      </c>
      <c r="D161" s="97">
        <v>2422669</v>
      </c>
      <c r="E161" s="97">
        <f t="shared" si="22"/>
        <v>27436</v>
      </c>
      <c r="F161" s="98">
        <f t="shared" si="23"/>
        <v>0.011454418004427962</v>
      </c>
    </row>
    <row r="162" spans="1:6" ht="18" customHeight="1">
      <c r="A162" s="99">
        <v>8</v>
      </c>
      <c r="B162" s="100" t="s">
        <v>335</v>
      </c>
      <c r="C162" s="97">
        <v>207452</v>
      </c>
      <c r="D162" s="97">
        <v>197824</v>
      </c>
      <c r="E162" s="97">
        <f t="shared" si="22"/>
        <v>-9628</v>
      </c>
      <c r="F162" s="98">
        <f t="shared" si="23"/>
        <v>-0.04641073597747913</v>
      </c>
    </row>
    <row r="163" spans="1:6" ht="18" customHeight="1">
      <c r="A163" s="99">
        <v>9</v>
      </c>
      <c r="B163" s="100" t="s">
        <v>336</v>
      </c>
      <c r="C163" s="97">
        <v>557088</v>
      </c>
      <c r="D163" s="97">
        <v>543527</v>
      </c>
      <c r="E163" s="97">
        <f t="shared" si="22"/>
        <v>-13561</v>
      </c>
      <c r="F163" s="98">
        <f t="shared" si="23"/>
        <v>-0.02434265322534321</v>
      </c>
    </row>
    <row r="164" spans="1:6" ht="18" customHeight="1">
      <c r="A164" s="99">
        <v>10</v>
      </c>
      <c r="B164" s="100" t="s">
        <v>337</v>
      </c>
      <c r="C164" s="97">
        <v>11178</v>
      </c>
      <c r="D164" s="97">
        <v>11120</v>
      </c>
      <c r="E164" s="97">
        <f t="shared" si="22"/>
        <v>-58</v>
      </c>
      <c r="F164" s="98">
        <f t="shared" si="23"/>
        <v>-0.005188763642869923</v>
      </c>
    </row>
    <row r="165" spans="1:6" ht="18" customHeight="1">
      <c r="A165" s="99">
        <v>11</v>
      </c>
      <c r="B165" s="100" t="s">
        <v>338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365</v>
      </c>
      <c r="C166" s="103">
        <f>SUM(C155:C165)</f>
        <v>4391112</v>
      </c>
      <c r="D166" s="103">
        <f>SUM(D155:D165)</f>
        <v>4363744</v>
      </c>
      <c r="E166" s="103">
        <f t="shared" si="22"/>
        <v>-27368</v>
      </c>
      <c r="F166" s="104">
        <f t="shared" si="23"/>
        <v>-0.006232589831459548</v>
      </c>
    </row>
    <row r="167" spans="1:6" ht="18" customHeight="1">
      <c r="A167" s="94" t="s">
        <v>357</v>
      </c>
      <c r="B167" s="95" t="s">
        <v>366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328</v>
      </c>
      <c r="C168" s="117">
        <v>2826</v>
      </c>
      <c r="D168" s="117">
        <v>2733</v>
      </c>
      <c r="E168" s="117">
        <f aca="true" t="shared" si="24" ref="E168:E179">D168-C168</f>
        <v>-93</v>
      </c>
      <c r="F168" s="98">
        <f aca="true" t="shared" si="25" ref="F168:F179">IF(C168=0,0,E168/C168)</f>
        <v>-0.032908704883227176</v>
      </c>
    </row>
    <row r="169" spans="1:6" ht="18" customHeight="1">
      <c r="A169" s="99">
        <v>2</v>
      </c>
      <c r="B169" s="100" t="s">
        <v>329</v>
      </c>
      <c r="C169" s="117">
        <v>347</v>
      </c>
      <c r="D169" s="117">
        <v>473</v>
      </c>
      <c r="E169" s="117">
        <f t="shared" si="24"/>
        <v>126</v>
      </c>
      <c r="F169" s="98">
        <f t="shared" si="25"/>
        <v>0.3631123919308357</v>
      </c>
    </row>
    <row r="170" spans="1:6" ht="18" customHeight="1">
      <c r="A170" s="99">
        <v>3</v>
      </c>
      <c r="B170" s="100" t="s">
        <v>330</v>
      </c>
      <c r="C170" s="117">
        <v>828</v>
      </c>
      <c r="D170" s="117">
        <v>699</v>
      </c>
      <c r="E170" s="117">
        <f t="shared" si="24"/>
        <v>-129</v>
      </c>
      <c r="F170" s="98">
        <f t="shared" si="25"/>
        <v>-0.15579710144927536</v>
      </c>
    </row>
    <row r="171" spans="1:6" ht="18" customHeight="1">
      <c r="A171" s="99">
        <v>4</v>
      </c>
      <c r="B171" s="100" t="s">
        <v>331</v>
      </c>
      <c r="C171" s="117">
        <v>2134</v>
      </c>
      <c r="D171" s="117">
        <v>2471</v>
      </c>
      <c r="E171" s="117">
        <f t="shared" si="24"/>
        <v>337</v>
      </c>
      <c r="F171" s="98">
        <f t="shared" si="25"/>
        <v>0.1579194001874414</v>
      </c>
    </row>
    <row r="172" spans="1:6" ht="18" customHeight="1">
      <c r="A172" s="99">
        <v>5</v>
      </c>
      <c r="B172" s="100" t="s">
        <v>332</v>
      </c>
      <c r="C172" s="117">
        <v>141</v>
      </c>
      <c r="D172" s="117">
        <v>166</v>
      </c>
      <c r="E172" s="117">
        <f t="shared" si="24"/>
        <v>25</v>
      </c>
      <c r="F172" s="98">
        <f t="shared" si="25"/>
        <v>0.1773049645390071</v>
      </c>
    </row>
    <row r="173" spans="1:6" ht="18" customHeight="1">
      <c r="A173" s="99">
        <v>6</v>
      </c>
      <c r="B173" s="100" t="s">
        <v>333</v>
      </c>
      <c r="C173" s="117">
        <v>1181</v>
      </c>
      <c r="D173" s="117">
        <v>523</v>
      </c>
      <c r="E173" s="117">
        <f t="shared" si="24"/>
        <v>-658</v>
      </c>
      <c r="F173" s="98">
        <f t="shared" si="25"/>
        <v>-0.5571549534292972</v>
      </c>
    </row>
    <row r="174" spans="1:6" ht="18" customHeight="1">
      <c r="A174" s="99">
        <v>7</v>
      </c>
      <c r="B174" s="100" t="s">
        <v>334</v>
      </c>
      <c r="C174" s="117">
        <v>7409</v>
      </c>
      <c r="D174" s="117">
        <v>7336</v>
      </c>
      <c r="E174" s="117">
        <f t="shared" si="24"/>
        <v>-73</v>
      </c>
      <c r="F174" s="98">
        <f t="shared" si="25"/>
        <v>-0.009852881630449454</v>
      </c>
    </row>
    <row r="175" spans="1:6" ht="18" customHeight="1">
      <c r="A175" s="99">
        <v>8</v>
      </c>
      <c r="B175" s="100" t="s">
        <v>335</v>
      </c>
      <c r="C175" s="117">
        <v>769</v>
      </c>
      <c r="D175" s="117">
        <v>646</v>
      </c>
      <c r="E175" s="117">
        <f t="shared" si="24"/>
        <v>-123</v>
      </c>
      <c r="F175" s="98">
        <f t="shared" si="25"/>
        <v>-0.1599479843953186</v>
      </c>
    </row>
    <row r="176" spans="1:6" ht="18" customHeight="1">
      <c r="A176" s="99">
        <v>9</v>
      </c>
      <c r="B176" s="100" t="s">
        <v>336</v>
      </c>
      <c r="C176" s="117">
        <v>1559</v>
      </c>
      <c r="D176" s="117">
        <v>1592</v>
      </c>
      <c r="E176" s="117">
        <f t="shared" si="24"/>
        <v>33</v>
      </c>
      <c r="F176" s="98">
        <f t="shared" si="25"/>
        <v>0.021167415009621552</v>
      </c>
    </row>
    <row r="177" spans="1:6" ht="18" customHeight="1">
      <c r="A177" s="99">
        <v>10</v>
      </c>
      <c r="B177" s="100" t="s">
        <v>337</v>
      </c>
      <c r="C177" s="117">
        <v>572</v>
      </c>
      <c r="D177" s="117">
        <v>697</v>
      </c>
      <c r="E177" s="117">
        <f t="shared" si="24"/>
        <v>125</v>
      </c>
      <c r="F177" s="98">
        <f t="shared" si="25"/>
        <v>0.21853146853146854</v>
      </c>
    </row>
    <row r="178" spans="1:6" ht="18" customHeight="1">
      <c r="A178" s="99">
        <v>11</v>
      </c>
      <c r="B178" s="100" t="s">
        <v>338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367</v>
      </c>
      <c r="C179" s="118">
        <f>SUM(C168:C178)</f>
        <v>17766</v>
      </c>
      <c r="D179" s="118">
        <f>SUM(D168:D178)</f>
        <v>17336</v>
      </c>
      <c r="E179" s="118">
        <f t="shared" si="24"/>
        <v>-430</v>
      </c>
      <c r="F179" s="104">
        <f t="shared" si="25"/>
        <v>-0.024203534841832713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4" fitToWidth="1" horizontalDpi="1200" verticalDpi="1200" orientation="portrait" paperSize="9" scale="62" r:id="rId1"/>
  <headerFooter alignWithMargins="0">
    <oddHeader>&amp;LOFFICE OF HEALTH CARE ACCESS&amp;CTWELVE MONTHS ACTUAL FILING&amp;RJOHNSON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E68" sqref="E6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22.421875" style="119" customWidth="1"/>
    <col min="6" max="6" width="19.71093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216</v>
      </c>
      <c r="E2" s="123"/>
      <c r="F2" s="123"/>
      <c r="G2" s="124"/>
    </row>
    <row r="3" spans="1:7" ht="15.75" customHeight="1">
      <c r="A3" s="121"/>
      <c r="C3" s="123" t="s">
        <v>217</v>
      </c>
      <c r="E3" s="123"/>
      <c r="F3" s="123"/>
      <c r="G3" s="124"/>
    </row>
    <row r="4" spans="1:7" ht="15.75" customHeight="1">
      <c r="A4" s="121"/>
      <c r="C4" s="123" t="s">
        <v>218</v>
      </c>
      <c r="E4" s="123"/>
      <c r="F4" s="123"/>
      <c r="G4" s="124"/>
    </row>
    <row r="5" spans="1:7" ht="15.75" customHeight="1">
      <c r="A5" s="121"/>
      <c r="C5" s="123" t="s">
        <v>368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220</v>
      </c>
      <c r="D9" s="127" t="s">
        <v>221</v>
      </c>
      <c r="E9" s="129" t="s">
        <v>222</v>
      </c>
      <c r="F9" s="130" t="s">
        <v>369</v>
      </c>
      <c r="G9" s="124"/>
    </row>
    <row r="10" spans="1:7" ht="15.75" customHeight="1">
      <c r="A10" s="131" t="s">
        <v>370</v>
      </c>
      <c r="B10" s="132" t="s">
        <v>225</v>
      </c>
      <c r="C10" s="133" t="s">
        <v>226</v>
      </c>
      <c r="D10" s="133" t="s">
        <v>226</v>
      </c>
      <c r="E10" s="134" t="s">
        <v>227</v>
      </c>
      <c r="F10" s="133" t="s">
        <v>227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228</v>
      </c>
      <c r="B12" s="139" t="s">
        <v>371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326</v>
      </c>
      <c r="B14" s="145" t="s">
        <v>372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373</v>
      </c>
      <c r="C15" s="146">
        <v>10310688</v>
      </c>
      <c r="D15" s="146">
        <v>9164680</v>
      </c>
      <c r="E15" s="146">
        <f>+D15-C15</f>
        <v>-1146008</v>
      </c>
      <c r="F15" s="150">
        <f>IF(C15=0,0,E15/C15)</f>
        <v>-0.11114757812475753</v>
      </c>
    </row>
    <row r="16" spans="1:6" ht="15" customHeight="1">
      <c r="A16" s="141">
        <v>2</v>
      </c>
      <c r="B16" s="149" t="s">
        <v>374</v>
      </c>
      <c r="C16" s="146">
        <v>2409938</v>
      </c>
      <c r="D16" s="146">
        <v>2541554</v>
      </c>
      <c r="E16" s="146">
        <f>+D16-C16</f>
        <v>131616</v>
      </c>
      <c r="F16" s="150">
        <f>IF(C16=0,0,E16/C16)</f>
        <v>0.05461385313647073</v>
      </c>
    </row>
    <row r="17" spans="1:6" ht="15" customHeight="1">
      <c r="A17" s="141">
        <v>3</v>
      </c>
      <c r="B17" s="149" t="s">
        <v>375</v>
      </c>
      <c r="C17" s="146">
        <v>17101496</v>
      </c>
      <c r="D17" s="146">
        <v>15030920</v>
      </c>
      <c r="E17" s="146">
        <f>+D17-C17</f>
        <v>-2070576</v>
      </c>
      <c r="F17" s="150">
        <f>IF(C17=0,0,E17/C17)</f>
        <v>-0.12107572343378614</v>
      </c>
    </row>
    <row r="18" spans="1:7" ht="15.75" customHeight="1">
      <c r="A18" s="141"/>
      <c r="B18" s="151" t="s">
        <v>376</v>
      </c>
      <c r="C18" s="147">
        <f>SUM(C15:C17)</f>
        <v>29822122</v>
      </c>
      <c r="D18" s="147">
        <f>SUM(D15:D17)</f>
        <v>26737154</v>
      </c>
      <c r="E18" s="147">
        <f>+D18-C18</f>
        <v>-3084968</v>
      </c>
      <c r="F18" s="148">
        <f>IF(C18=0,0,E18/C18)</f>
        <v>-0.10344562335302632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340</v>
      </c>
      <c r="B20" s="145" t="s">
        <v>377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378</v>
      </c>
      <c r="C21" s="146">
        <v>2483912</v>
      </c>
      <c r="D21" s="146">
        <v>2424561</v>
      </c>
      <c r="E21" s="146">
        <f>+D21-C21</f>
        <v>-59351</v>
      </c>
      <c r="F21" s="150">
        <f>IF(C21=0,0,E21/C21)</f>
        <v>-0.0238941637223863</v>
      </c>
    </row>
    <row r="22" spans="1:6" ht="15" customHeight="1">
      <c r="A22" s="141">
        <v>2</v>
      </c>
      <c r="B22" s="149" t="s">
        <v>379</v>
      </c>
      <c r="C22" s="146">
        <v>580570</v>
      </c>
      <c r="D22" s="146">
        <v>672381</v>
      </c>
      <c r="E22" s="146">
        <f>+D22-C22</f>
        <v>91811</v>
      </c>
      <c r="F22" s="150">
        <f>IF(C22=0,0,E22/C22)</f>
        <v>0.15813941471312676</v>
      </c>
    </row>
    <row r="23" spans="1:6" ht="15" customHeight="1">
      <c r="A23" s="141">
        <v>3</v>
      </c>
      <c r="B23" s="149" t="s">
        <v>380</v>
      </c>
      <c r="C23" s="146">
        <v>4119862</v>
      </c>
      <c r="D23" s="146">
        <v>3976504</v>
      </c>
      <c r="E23" s="146">
        <f>+D23-C23</f>
        <v>-143358</v>
      </c>
      <c r="F23" s="150">
        <f>IF(C23=0,0,E23/C23)</f>
        <v>-0.0347967965917305</v>
      </c>
    </row>
    <row r="24" spans="1:7" ht="15.75" customHeight="1">
      <c r="A24" s="141"/>
      <c r="B24" s="151" t="s">
        <v>381</v>
      </c>
      <c r="C24" s="147">
        <f>SUM(C21:C23)</f>
        <v>7184344</v>
      </c>
      <c r="D24" s="147">
        <f>SUM(D21:D23)</f>
        <v>7073446</v>
      </c>
      <c r="E24" s="147">
        <f>+D24-C24</f>
        <v>-110898</v>
      </c>
      <c r="F24" s="148">
        <f>IF(C24=0,0,E24/C24)</f>
        <v>-0.01543606486549085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357</v>
      </c>
      <c r="B26" s="145" t="s">
        <v>382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383</v>
      </c>
      <c r="C27" s="146">
        <v>463542</v>
      </c>
      <c r="D27" s="146">
        <v>77489</v>
      </c>
      <c r="E27" s="146">
        <f>+D27-C27</f>
        <v>-386053</v>
      </c>
      <c r="F27" s="150">
        <f>IF(C27=0,0,E27/C27)</f>
        <v>-0.8328328393112167</v>
      </c>
    </row>
    <row r="28" spans="1:6" ht="15" customHeight="1">
      <c r="A28" s="141">
        <v>2</v>
      </c>
      <c r="B28" s="149" t="s">
        <v>384</v>
      </c>
      <c r="C28" s="146">
        <v>750893</v>
      </c>
      <c r="D28" s="146">
        <v>212632</v>
      </c>
      <c r="E28" s="146">
        <f>+D28-C28</f>
        <v>-538261</v>
      </c>
      <c r="F28" s="150">
        <f>IF(C28=0,0,E28/C28)</f>
        <v>-0.7168278303300204</v>
      </c>
    </row>
    <row r="29" spans="1:6" ht="15" customHeight="1">
      <c r="A29" s="141">
        <v>3</v>
      </c>
      <c r="B29" s="149" t="s">
        <v>385</v>
      </c>
      <c r="C29" s="146">
        <v>763062</v>
      </c>
      <c r="D29" s="146">
        <v>1510903</v>
      </c>
      <c r="E29" s="146">
        <f>+D29-C29</f>
        <v>747841</v>
      </c>
      <c r="F29" s="150">
        <f>IF(C29=0,0,E29/C29)</f>
        <v>0.9800527349022753</v>
      </c>
    </row>
    <row r="30" spans="1:7" ht="15.75" customHeight="1">
      <c r="A30" s="141"/>
      <c r="B30" s="151" t="s">
        <v>386</v>
      </c>
      <c r="C30" s="147">
        <f>SUM(C27:C29)</f>
        <v>1977497</v>
      </c>
      <c r="D30" s="147">
        <f>SUM(D27:D29)</f>
        <v>1801024</v>
      </c>
      <c r="E30" s="147">
        <f>+D30-C30</f>
        <v>-176473</v>
      </c>
      <c r="F30" s="148">
        <f>IF(C30=0,0,E30/C30)</f>
        <v>-0.08924059050405639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387</v>
      </c>
      <c r="B32" s="145" t="s">
        <v>388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389</v>
      </c>
      <c r="C33" s="146">
        <v>4843380</v>
      </c>
      <c r="D33" s="146">
        <v>4855230</v>
      </c>
      <c r="E33" s="146">
        <f>+D33-C33</f>
        <v>11850</v>
      </c>
      <c r="F33" s="150">
        <f>IF(C33=0,0,E33/C33)</f>
        <v>0.0024466385045154417</v>
      </c>
    </row>
    <row r="34" spans="1:6" ht="15" customHeight="1">
      <c r="A34" s="141">
        <v>2</v>
      </c>
      <c r="B34" s="149" t="s">
        <v>390</v>
      </c>
      <c r="C34" s="146">
        <v>2032309</v>
      </c>
      <c r="D34" s="146">
        <v>1625145</v>
      </c>
      <c r="E34" s="146">
        <f>+D34-C34</f>
        <v>-407164</v>
      </c>
      <c r="F34" s="150">
        <f>IF(C34=0,0,E34/C34)</f>
        <v>-0.2003455183242312</v>
      </c>
    </row>
    <row r="35" spans="1:7" ht="15.75" customHeight="1">
      <c r="A35" s="141"/>
      <c r="B35" s="151" t="s">
        <v>391</v>
      </c>
      <c r="C35" s="147">
        <f>SUM(C33:C34)</f>
        <v>6875689</v>
      </c>
      <c r="D35" s="147">
        <f>SUM(D33:D34)</f>
        <v>6480375</v>
      </c>
      <c r="E35" s="147">
        <f>+D35-C35</f>
        <v>-395314</v>
      </c>
      <c r="F35" s="148">
        <f>IF(C35=0,0,E35/C35)</f>
        <v>-0.057494456191954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392</v>
      </c>
      <c r="B37" s="145" t="s">
        <v>393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394</v>
      </c>
      <c r="C38" s="146">
        <v>770061</v>
      </c>
      <c r="D38" s="146">
        <v>1161930</v>
      </c>
      <c r="E38" s="146">
        <f>+D38-C38</f>
        <v>391869</v>
      </c>
      <c r="F38" s="150">
        <f>IF(C38=0,0,E38/C38)</f>
        <v>0.5088804653137868</v>
      </c>
    </row>
    <row r="39" spans="1:6" ht="15" customHeight="1">
      <c r="A39" s="141">
        <v>2</v>
      </c>
      <c r="B39" s="149" t="s">
        <v>395</v>
      </c>
      <c r="C39" s="146">
        <v>2041798</v>
      </c>
      <c r="D39" s="146">
        <v>1797110</v>
      </c>
      <c r="E39" s="146">
        <f>+D39-C39</f>
        <v>-244688</v>
      </c>
      <c r="F39" s="150">
        <f>IF(C39=0,0,E39/C39)</f>
        <v>-0.11983947481582409</v>
      </c>
    </row>
    <row r="40" spans="1:6" ht="15" customHeight="1">
      <c r="A40" s="141">
        <v>3</v>
      </c>
      <c r="B40" s="149" t="s">
        <v>396</v>
      </c>
      <c r="C40" s="146">
        <v>9985</v>
      </c>
      <c r="D40" s="146">
        <v>12497</v>
      </c>
      <c r="E40" s="146">
        <f>+D40-C40</f>
        <v>2512</v>
      </c>
      <c r="F40" s="150">
        <f>IF(C40=0,0,E40/C40)</f>
        <v>0.2515773660490736</v>
      </c>
    </row>
    <row r="41" spans="1:7" ht="15.75" customHeight="1">
      <c r="A41" s="141"/>
      <c r="B41" s="151" t="s">
        <v>397</v>
      </c>
      <c r="C41" s="147">
        <f>SUM(C38:C40)</f>
        <v>2821844</v>
      </c>
      <c r="D41" s="147">
        <f>SUM(D38:D40)</f>
        <v>2971537</v>
      </c>
      <c r="E41" s="147">
        <f>+D41-C41</f>
        <v>149693</v>
      </c>
      <c r="F41" s="148">
        <f>IF(C41=0,0,E41/C41)</f>
        <v>0.0530479360304822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398</v>
      </c>
      <c r="B43" s="145" t="s">
        <v>399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301</v>
      </c>
      <c r="C44" s="146">
        <v>7282529</v>
      </c>
      <c r="D44" s="146">
        <v>5873672</v>
      </c>
      <c r="E44" s="146">
        <f>+D44-C44</f>
        <v>-1408857</v>
      </c>
      <c r="F44" s="150">
        <f>IF(C44=0,0,E44/C44)</f>
        <v>-0.19345710810077105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400</v>
      </c>
      <c r="B46" s="145" t="s">
        <v>401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402</v>
      </c>
      <c r="C47" s="146">
        <v>1183162</v>
      </c>
      <c r="D47" s="146">
        <v>804653</v>
      </c>
      <c r="E47" s="146">
        <f>+D47-C47</f>
        <v>-378509</v>
      </c>
      <c r="F47" s="150">
        <f>IF(C47=0,0,E47/C47)</f>
        <v>-0.31991308037276384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403</v>
      </c>
      <c r="B49" s="145" t="s">
        <v>404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405</v>
      </c>
      <c r="C50" s="146">
        <v>887832</v>
      </c>
      <c r="D50" s="146">
        <v>421101</v>
      </c>
      <c r="E50" s="146">
        <f>+D50-C50</f>
        <v>-466731</v>
      </c>
      <c r="F50" s="150">
        <f>IF(C50=0,0,E50/C50)</f>
        <v>-0.5256974292433704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406</v>
      </c>
      <c r="B52" s="145" t="s">
        <v>407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408</v>
      </c>
      <c r="C53" s="146">
        <v>27903</v>
      </c>
      <c r="D53" s="146">
        <v>24554</v>
      </c>
      <c r="E53" s="146">
        <f aca="true" t="shared" si="0" ref="E53:E59">+D53-C53</f>
        <v>-3349</v>
      </c>
      <c r="F53" s="150">
        <f aca="true" t="shared" si="1" ref="F53:F59">IF(C53=0,0,E53/C53)</f>
        <v>-0.1200229366017991</v>
      </c>
    </row>
    <row r="54" spans="1:6" ht="15" customHeight="1">
      <c r="A54" s="141">
        <v>2</v>
      </c>
      <c r="B54" s="149" t="s">
        <v>409</v>
      </c>
      <c r="C54" s="146">
        <v>21495</v>
      </c>
      <c r="D54" s="146">
        <v>36309</v>
      </c>
      <c r="E54" s="146">
        <f t="shared" si="0"/>
        <v>14814</v>
      </c>
      <c r="F54" s="150">
        <f t="shared" si="1"/>
        <v>0.6891835310537334</v>
      </c>
    </row>
    <row r="55" spans="1:6" ht="15" customHeight="1">
      <c r="A55" s="141">
        <v>3</v>
      </c>
      <c r="B55" s="149" t="s">
        <v>410</v>
      </c>
      <c r="C55" s="146">
        <v>662891</v>
      </c>
      <c r="D55" s="146">
        <v>489614</v>
      </c>
      <c r="E55" s="146">
        <f t="shared" si="0"/>
        <v>-173277</v>
      </c>
      <c r="F55" s="150">
        <f t="shared" si="1"/>
        <v>-0.2613959157689575</v>
      </c>
    </row>
    <row r="56" spans="1:6" ht="15" customHeight="1">
      <c r="A56" s="141">
        <v>4</v>
      </c>
      <c r="B56" s="149" t="s">
        <v>411</v>
      </c>
      <c r="C56" s="146">
        <v>748023</v>
      </c>
      <c r="D56" s="146">
        <v>903228</v>
      </c>
      <c r="E56" s="146">
        <f t="shared" si="0"/>
        <v>155205</v>
      </c>
      <c r="F56" s="150">
        <f t="shared" si="1"/>
        <v>0.20748693556214182</v>
      </c>
    </row>
    <row r="57" spans="1:6" ht="15" customHeight="1">
      <c r="A57" s="141">
        <v>5</v>
      </c>
      <c r="B57" s="149" t="s">
        <v>412</v>
      </c>
      <c r="C57" s="146">
        <v>301512</v>
      </c>
      <c r="D57" s="146">
        <v>216115</v>
      </c>
      <c r="E57" s="146">
        <f t="shared" si="0"/>
        <v>-85397</v>
      </c>
      <c r="F57" s="150">
        <f t="shared" si="1"/>
        <v>-0.2832291915412985</v>
      </c>
    </row>
    <row r="58" spans="1:6" ht="15" customHeight="1">
      <c r="A58" s="141">
        <v>6</v>
      </c>
      <c r="B58" s="149" t="s">
        <v>413</v>
      </c>
      <c r="C58" s="146">
        <v>66979</v>
      </c>
      <c r="D58" s="146">
        <v>173086</v>
      </c>
      <c r="E58" s="146">
        <f t="shared" si="0"/>
        <v>106107</v>
      </c>
      <c r="F58" s="150">
        <f t="shared" si="1"/>
        <v>1.5841831021663506</v>
      </c>
    </row>
    <row r="59" spans="1:7" ht="15.75" customHeight="1">
      <c r="A59" s="141"/>
      <c r="B59" s="151" t="s">
        <v>414</v>
      </c>
      <c r="C59" s="147">
        <f>SUM(C53:C58)</f>
        <v>1828803</v>
      </c>
      <c r="D59" s="147">
        <f>SUM(D53:D58)</f>
        <v>1842906</v>
      </c>
      <c r="E59" s="147">
        <f t="shared" si="0"/>
        <v>14103</v>
      </c>
      <c r="F59" s="148">
        <f t="shared" si="1"/>
        <v>0.007711601522963381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415</v>
      </c>
      <c r="B61" s="145" t="s">
        <v>416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417</v>
      </c>
      <c r="C62" s="146">
        <v>107476</v>
      </c>
      <c r="D62" s="146">
        <v>109200</v>
      </c>
      <c r="E62" s="146">
        <f aca="true" t="shared" si="2" ref="E62:E78">+D62-C62</f>
        <v>1724</v>
      </c>
      <c r="F62" s="150">
        <f aca="true" t="shared" si="3" ref="F62:F78">IF(C62=0,0,E62/C62)</f>
        <v>0.016040790502065576</v>
      </c>
    </row>
    <row r="63" spans="1:6" ht="15" customHeight="1">
      <c r="A63" s="141">
        <v>2</v>
      </c>
      <c r="B63" s="149" t="s">
        <v>418</v>
      </c>
      <c r="C63" s="146">
        <v>681532</v>
      </c>
      <c r="D63" s="146">
        <v>1149073</v>
      </c>
      <c r="E63" s="146">
        <f t="shared" si="2"/>
        <v>467541</v>
      </c>
      <c r="F63" s="150">
        <f t="shared" si="3"/>
        <v>0.6860147432549022</v>
      </c>
    </row>
    <row r="64" spans="1:6" ht="15" customHeight="1">
      <c r="A64" s="141">
        <v>3</v>
      </c>
      <c r="B64" s="149" t="s">
        <v>419</v>
      </c>
      <c r="C64" s="146">
        <v>1946911</v>
      </c>
      <c r="D64" s="146">
        <v>5489686</v>
      </c>
      <c r="E64" s="146">
        <f t="shared" si="2"/>
        <v>3542775</v>
      </c>
      <c r="F64" s="150">
        <f t="shared" si="3"/>
        <v>1.8196902683276226</v>
      </c>
    </row>
    <row r="65" spans="1:6" ht="15" customHeight="1">
      <c r="A65" s="141">
        <v>4</v>
      </c>
      <c r="B65" s="149" t="s">
        <v>420</v>
      </c>
      <c r="C65" s="146">
        <v>144142</v>
      </c>
      <c r="D65" s="146">
        <v>29873</v>
      </c>
      <c r="E65" s="146">
        <f t="shared" si="2"/>
        <v>-114269</v>
      </c>
      <c r="F65" s="150">
        <f t="shared" si="3"/>
        <v>-0.792752979700573</v>
      </c>
    </row>
    <row r="66" spans="1:6" ht="15" customHeight="1">
      <c r="A66" s="141">
        <v>5</v>
      </c>
      <c r="B66" s="149" t="s">
        <v>421</v>
      </c>
      <c r="C66" s="146">
        <v>3530305</v>
      </c>
      <c r="D66" s="146">
        <v>2243037</v>
      </c>
      <c r="E66" s="146">
        <f t="shared" si="2"/>
        <v>-1287268</v>
      </c>
      <c r="F66" s="150">
        <f t="shared" si="3"/>
        <v>-0.3646336506335855</v>
      </c>
    </row>
    <row r="67" spans="1:6" ht="15" customHeight="1">
      <c r="A67" s="141">
        <v>6</v>
      </c>
      <c r="B67" s="149" t="s">
        <v>422</v>
      </c>
      <c r="C67" s="146">
        <v>840916</v>
      </c>
      <c r="D67" s="146">
        <v>809784</v>
      </c>
      <c r="E67" s="146">
        <f t="shared" si="2"/>
        <v>-31132</v>
      </c>
      <c r="F67" s="150">
        <f t="shared" si="3"/>
        <v>-0.037021533660912626</v>
      </c>
    </row>
    <row r="68" spans="1:6" ht="15" customHeight="1">
      <c r="A68" s="141">
        <v>7</v>
      </c>
      <c r="B68" s="149" t="s">
        <v>423</v>
      </c>
      <c r="C68" s="146">
        <v>302279</v>
      </c>
      <c r="D68" s="146">
        <v>367627</v>
      </c>
      <c r="E68" s="146">
        <f t="shared" si="2"/>
        <v>65348</v>
      </c>
      <c r="F68" s="150">
        <f t="shared" si="3"/>
        <v>0.21618438594808106</v>
      </c>
    </row>
    <row r="69" spans="1:6" ht="15" customHeight="1">
      <c r="A69" s="141">
        <v>8</v>
      </c>
      <c r="B69" s="149" t="s">
        <v>424</v>
      </c>
      <c r="C69" s="146">
        <v>820046</v>
      </c>
      <c r="D69" s="146">
        <v>89752</v>
      </c>
      <c r="E69" s="146">
        <f t="shared" si="2"/>
        <v>-730294</v>
      </c>
      <c r="F69" s="150">
        <f t="shared" si="3"/>
        <v>-0.890552481202274</v>
      </c>
    </row>
    <row r="70" spans="1:6" ht="15" customHeight="1">
      <c r="A70" s="141">
        <v>9</v>
      </c>
      <c r="B70" s="149" t="s">
        <v>425</v>
      </c>
      <c r="C70" s="146">
        <v>62113</v>
      </c>
      <c r="D70" s="146">
        <v>3546</v>
      </c>
      <c r="E70" s="146">
        <f t="shared" si="2"/>
        <v>-58567</v>
      </c>
      <c r="F70" s="150">
        <f t="shared" si="3"/>
        <v>-0.9429105018273147</v>
      </c>
    </row>
    <row r="71" spans="1:6" ht="15" customHeight="1">
      <c r="A71" s="141">
        <v>10</v>
      </c>
      <c r="B71" s="149" t="s">
        <v>426</v>
      </c>
      <c r="C71" s="146">
        <v>0</v>
      </c>
      <c r="D71" s="146">
        <v>29047</v>
      </c>
      <c r="E71" s="146">
        <f t="shared" si="2"/>
        <v>29047</v>
      </c>
      <c r="F71" s="150">
        <f t="shared" si="3"/>
        <v>0</v>
      </c>
    </row>
    <row r="72" spans="1:6" ht="15" customHeight="1">
      <c r="A72" s="141">
        <v>11</v>
      </c>
      <c r="B72" s="149" t="s">
        <v>427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6" ht="15" customHeight="1">
      <c r="A73" s="141">
        <v>12</v>
      </c>
      <c r="B73" s="149" t="s">
        <v>428</v>
      </c>
      <c r="C73" s="146">
        <v>338191</v>
      </c>
      <c r="D73" s="146">
        <v>430915</v>
      </c>
      <c r="E73" s="146">
        <f t="shared" si="2"/>
        <v>92724</v>
      </c>
      <c r="F73" s="150">
        <f t="shared" si="3"/>
        <v>0.2741764269303441</v>
      </c>
    </row>
    <row r="74" spans="1:6" ht="15" customHeight="1">
      <c r="A74" s="141">
        <v>13</v>
      </c>
      <c r="B74" s="149" t="s">
        <v>429</v>
      </c>
      <c r="C74" s="146">
        <v>55201</v>
      </c>
      <c r="D74" s="146">
        <v>55806</v>
      </c>
      <c r="E74" s="146">
        <f t="shared" si="2"/>
        <v>605</v>
      </c>
      <c r="F74" s="150">
        <f t="shared" si="3"/>
        <v>0.010959946377783011</v>
      </c>
    </row>
    <row r="75" spans="1:6" ht="15" customHeight="1">
      <c r="A75" s="141">
        <v>14</v>
      </c>
      <c r="B75" s="149" t="s">
        <v>430</v>
      </c>
      <c r="C75" s="146">
        <v>129891</v>
      </c>
      <c r="D75" s="146">
        <v>101279</v>
      </c>
      <c r="E75" s="146">
        <f t="shared" si="2"/>
        <v>-28612</v>
      </c>
      <c r="F75" s="150">
        <f t="shared" si="3"/>
        <v>-0.2202770014858612</v>
      </c>
    </row>
    <row r="76" spans="1:6" ht="15" customHeight="1">
      <c r="A76" s="141">
        <v>15</v>
      </c>
      <c r="B76" s="149" t="s">
        <v>431</v>
      </c>
      <c r="C76" s="146">
        <v>171553</v>
      </c>
      <c r="D76" s="146">
        <v>99813</v>
      </c>
      <c r="E76" s="146">
        <f t="shared" si="2"/>
        <v>-71740</v>
      </c>
      <c r="F76" s="150">
        <f t="shared" si="3"/>
        <v>-0.4181798044919063</v>
      </c>
    </row>
    <row r="77" spans="1:6" ht="15" customHeight="1">
      <c r="A77" s="141">
        <v>16</v>
      </c>
      <c r="B77" s="149" t="s">
        <v>432</v>
      </c>
      <c r="C77" s="146">
        <v>5917790</v>
      </c>
      <c r="D77" s="146">
        <v>3348279</v>
      </c>
      <c r="E77" s="146">
        <f t="shared" si="2"/>
        <v>-2569511</v>
      </c>
      <c r="F77" s="150">
        <f t="shared" si="3"/>
        <v>-0.4342011122395354</v>
      </c>
    </row>
    <row r="78" spans="1:7" ht="15.75" customHeight="1">
      <c r="A78" s="141"/>
      <c r="B78" s="151" t="s">
        <v>433</v>
      </c>
      <c r="C78" s="147">
        <f>SUM(C62:C77)</f>
        <v>15048346</v>
      </c>
      <c r="D78" s="147">
        <f>SUM(D62:D77)</f>
        <v>14356717</v>
      </c>
      <c r="E78" s="147">
        <f t="shared" si="2"/>
        <v>-691629</v>
      </c>
      <c r="F78" s="148">
        <f t="shared" si="3"/>
        <v>-0.04596046635291347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434</v>
      </c>
      <c r="B80" s="145" t="s">
        <v>435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436</v>
      </c>
      <c r="C81" s="146">
        <v>931142</v>
      </c>
      <c r="D81" s="146">
        <v>786921</v>
      </c>
      <c r="E81" s="146">
        <f>+D81-C81</f>
        <v>-144221</v>
      </c>
      <c r="F81" s="150">
        <f>IF(C81=0,0,E81/C81)</f>
        <v>-0.15488615055490998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437</v>
      </c>
      <c r="C83" s="147">
        <f>+C81+C78+C59+C50+C47+C44+C41+C35+C30+C24+C18</f>
        <v>75843310</v>
      </c>
      <c r="D83" s="147">
        <f>+D81+D78+D59+D50+D47+D44+D41+D35+D30+D24+D18</f>
        <v>69149506</v>
      </c>
      <c r="E83" s="147">
        <f>+D83-C83</f>
        <v>-6693804</v>
      </c>
      <c r="F83" s="148">
        <f>IF(C83=0,0,E83/C83)</f>
        <v>-0.08825833155224898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438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260</v>
      </c>
      <c r="B88" s="142" t="s">
        <v>439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326</v>
      </c>
      <c r="B90" s="145" t="s">
        <v>440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441</v>
      </c>
      <c r="C91" s="146">
        <v>2852656</v>
      </c>
      <c r="D91" s="146">
        <v>3836321</v>
      </c>
      <c r="E91" s="146">
        <f aca="true" t="shared" si="4" ref="E91:E109">D91-C91</f>
        <v>983665</v>
      </c>
      <c r="F91" s="150">
        <f aca="true" t="shared" si="5" ref="F91:F109">IF(C91=0,0,E91/C91)</f>
        <v>0.3448242620210779</v>
      </c>
      <c r="G91" s="155"/>
    </row>
    <row r="92" spans="1:7" ht="15" customHeight="1">
      <c r="A92" s="141">
        <v>2</v>
      </c>
      <c r="B92" s="161" t="s">
        <v>442</v>
      </c>
      <c r="C92" s="146">
        <v>571024</v>
      </c>
      <c r="D92" s="146">
        <v>707210</v>
      </c>
      <c r="E92" s="146">
        <f t="shared" si="4"/>
        <v>136186</v>
      </c>
      <c r="F92" s="150">
        <f t="shared" si="5"/>
        <v>0.23849435400263386</v>
      </c>
      <c r="G92" s="155"/>
    </row>
    <row r="93" spans="1:7" ht="15" customHeight="1">
      <c r="A93" s="141">
        <v>3</v>
      </c>
      <c r="B93" s="161" t="s">
        <v>443</v>
      </c>
      <c r="C93" s="146">
        <v>1410902</v>
      </c>
      <c r="D93" s="146">
        <v>2064017</v>
      </c>
      <c r="E93" s="146">
        <f t="shared" si="4"/>
        <v>653115</v>
      </c>
      <c r="F93" s="150">
        <f t="shared" si="5"/>
        <v>0.4629059991409751</v>
      </c>
      <c r="G93" s="155"/>
    </row>
    <row r="94" spans="1:7" ht="15" customHeight="1">
      <c r="A94" s="141">
        <v>4</v>
      </c>
      <c r="B94" s="161" t="s">
        <v>444</v>
      </c>
      <c r="C94" s="146">
        <v>990712</v>
      </c>
      <c r="D94" s="146">
        <v>958012</v>
      </c>
      <c r="E94" s="146">
        <f t="shared" si="4"/>
        <v>-32700</v>
      </c>
      <c r="F94" s="150">
        <f t="shared" si="5"/>
        <v>-0.033006564975492377</v>
      </c>
      <c r="G94" s="155"/>
    </row>
    <row r="95" spans="1:7" ht="15" customHeight="1">
      <c r="A95" s="141">
        <v>5</v>
      </c>
      <c r="B95" s="161" t="s">
        <v>445</v>
      </c>
      <c r="C95" s="146">
        <v>2418746</v>
      </c>
      <c r="D95" s="146">
        <v>1165805</v>
      </c>
      <c r="E95" s="146">
        <f t="shared" si="4"/>
        <v>-1252941</v>
      </c>
      <c r="F95" s="150">
        <f t="shared" si="5"/>
        <v>-0.518012639607466</v>
      </c>
      <c r="G95" s="155"/>
    </row>
    <row r="96" spans="1:7" ht="15" customHeight="1">
      <c r="A96" s="141">
        <v>6</v>
      </c>
      <c r="B96" s="161" t="s">
        <v>446</v>
      </c>
      <c r="C96" s="146">
        <v>215350</v>
      </c>
      <c r="D96" s="146">
        <v>242044</v>
      </c>
      <c r="E96" s="146">
        <f t="shared" si="4"/>
        <v>26694</v>
      </c>
      <c r="F96" s="150">
        <f t="shared" si="5"/>
        <v>0.1239563501276991</v>
      </c>
      <c r="G96" s="155"/>
    </row>
    <row r="97" spans="1:7" ht="15" customHeight="1">
      <c r="A97" s="141">
        <v>7</v>
      </c>
      <c r="B97" s="161" t="s">
        <v>447</v>
      </c>
      <c r="C97" s="146">
        <v>7635416</v>
      </c>
      <c r="D97" s="146">
        <v>7132269</v>
      </c>
      <c r="E97" s="146">
        <f t="shared" si="4"/>
        <v>-503147</v>
      </c>
      <c r="F97" s="150">
        <f t="shared" si="5"/>
        <v>-0.06589647505780956</v>
      </c>
      <c r="G97" s="155"/>
    </row>
    <row r="98" spans="1:7" ht="15" customHeight="1">
      <c r="A98" s="141">
        <v>8</v>
      </c>
      <c r="B98" s="161" t="s">
        <v>448</v>
      </c>
      <c r="C98" s="146">
        <v>253890</v>
      </c>
      <c r="D98" s="146">
        <v>173964</v>
      </c>
      <c r="E98" s="146">
        <f t="shared" si="4"/>
        <v>-79926</v>
      </c>
      <c r="F98" s="150">
        <f t="shared" si="5"/>
        <v>-0.31480562448304383</v>
      </c>
      <c r="G98" s="155"/>
    </row>
    <row r="99" spans="1:7" ht="15" customHeight="1">
      <c r="A99" s="141">
        <v>9</v>
      </c>
      <c r="B99" s="161" t="s">
        <v>449</v>
      </c>
      <c r="C99" s="146">
        <v>358201</v>
      </c>
      <c r="D99" s="146">
        <v>326506</v>
      </c>
      <c r="E99" s="146">
        <f t="shared" si="4"/>
        <v>-31695</v>
      </c>
      <c r="F99" s="150">
        <f t="shared" si="5"/>
        <v>-0.08848384007861508</v>
      </c>
      <c r="G99" s="155"/>
    </row>
    <row r="100" spans="1:7" ht="15" customHeight="1">
      <c r="A100" s="141">
        <v>10</v>
      </c>
      <c r="B100" s="161" t="s">
        <v>450</v>
      </c>
      <c r="C100" s="146">
        <v>991918</v>
      </c>
      <c r="D100" s="146">
        <v>674252</v>
      </c>
      <c r="E100" s="146">
        <f t="shared" si="4"/>
        <v>-317666</v>
      </c>
      <c r="F100" s="150">
        <f t="shared" si="5"/>
        <v>-0.3202542952139189</v>
      </c>
      <c r="G100" s="155"/>
    </row>
    <row r="101" spans="1:7" ht="15" customHeight="1">
      <c r="A101" s="141">
        <v>11</v>
      </c>
      <c r="B101" s="161" t="s">
        <v>451</v>
      </c>
      <c r="C101" s="146">
        <v>853829</v>
      </c>
      <c r="D101" s="146">
        <v>605123</v>
      </c>
      <c r="E101" s="146">
        <f t="shared" si="4"/>
        <v>-248706</v>
      </c>
      <c r="F101" s="150">
        <f t="shared" si="5"/>
        <v>-0.2912831492020065</v>
      </c>
      <c r="G101" s="155"/>
    </row>
    <row r="102" spans="1:7" ht="15" customHeight="1">
      <c r="A102" s="141">
        <v>12</v>
      </c>
      <c r="B102" s="161" t="s">
        <v>452</v>
      </c>
      <c r="C102" s="146">
        <v>290722</v>
      </c>
      <c r="D102" s="146">
        <v>240246</v>
      </c>
      <c r="E102" s="146">
        <f t="shared" si="4"/>
        <v>-50476</v>
      </c>
      <c r="F102" s="150">
        <f t="shared" si="5"/>
        <v>-0.17362291123478787</v>
      </c>
      <c r="G102" s="155"/>
    </row>
    <row r="103" spans="1:7" ht="15" customHeight="1">
      <c r="A103" s="141">
        <v>13</v>
      </c>
      <c r="B103" s="161" t="s">
        <v>453</v>
      </c>
      <c r="C103" s="146">
        <v>1986737</v>
      </c>
      <c r="D103" s="146">
        <v>1723608</v>
      </c>
      <c r="E103" s="146">
        <f t="shared" si="4"/>
        <v>-263129</v>
      </c>
      <c r="F103" s="150">
        <f t="shared" si="5"/>
        <v>-0.13244279439100395</v>
      </c>
      <c r="G103" s="155"/>
    </row>
    <row r="104" spans="1:7" ht="15" customHeight="1">
      <c r="A104" s="141">
        <v>14</v>
      </c>
      <c r="B104" s="161" t="s">
        <v>454</v>
      </c>
      <c r="C104" s="146">
        <v>192655</v>
      </c>
      <c r="D104" s="146">
        <v>167798</v>
      </c>
      <c r="E104" s="146">
        <f t="shared" si="4"/>
        <v>-24857</v>
      </c>
      <c r="F104" s="150">
        <f t="shared" si="5"/>
        <v>-0.12902338376891334</v>
      </c>
      <c r="G104" s="155"/>
    </row>
    <row r="105" spans="1:7" ht="15" customHeight="1">
      <c r="A105" s="141">
        <v>15</v>
      </c>
      <c r="B105" s="161" t="s">
        <v>423</v>
      </c>
      <c r="C105" s="146">
        <v>769744</v>
      </c>
      <c r="D105" s="146">
        <v>679827</v>
      </c>
      <c r="E105" s="146">
        <f t="shared" si="4"/>
        <v>-89917</v>
      </c>
      <c r="F105" s="150">
        <f t="shared" si="5"/>
        <v>-0.11681416159138623</v>
      </c>
      <c r="G105" s="155"/>
    </row>
    <row r="106" spans="1:7" ht="15" customHeight="1">
      <c r="A106" s="141">
        <v>16</v>
      </c>
      <c r="B106" s="161" t="s">
        <v>455</v>
      </c>
      <c r="C106" s="146">
        <v>162476</v>
      </c>
      <c r="D106" s="146">
        <v>228106</v>
      </c>
      <c r="E106" s="146">
        <f t="shared" si="4"/>
        <v>65630</v>
      </c>
      <c r="F106" s="150">
        <f t="shared" si="5"/>
        <v>0.4039365814027918</v>
      </c>
      <c r="G106" s="155"/>
    </row>
    <row r="107" spans="1:7" ht="15" customHeight="1">
      <c r="A107" s="141">
        <v>17</v>
      </c>
      <c r="B107" s="161" t="s">
        <v>456</v>
      </c>
      <c r="C107" s="146">
        <v>2698344</v>
      </c>
      <c r="D107" s="146">
        <v>2408405</v>
      </c>
      <c r="E107" s="146">
        <f t="shared" si="4"/>
        <v>-289939</v>
      </c>
      <c r="F107" s="150">
        <f t="shared" si="5"/>
        <v>-0.10745071792180685</v>
      </c>
      <c r="G107" s="155"/>
    </row>
    <row r="108" spans="1:7" ht="15" customHeight="1">
      <c r="A108" s="141">
        <v>18</v>
      </c>
      <c r="B108" s="161" t="s">
        <v>457</v>
      </c>
      <c r="C108" s="146">
        <v>6322822</v>
      </c>
      <c r="D108" s="146">
        <v>4952735</v>
      </c>
      <c r="E108" s="146">
        <f t="shared" si="4"/>
        <v>-1370087</v>
      </c>
      <c r="F108" s="150">
        <f t="shared" si="5"/>
        <v>-0.21668916189638107</v>
      </c>
      <c r="G108" s="155"/>
    </row>
    <row r="109" spans="1:7" ht="15.75" customHeight="1">
      <c r="A109" s="141"/>
      <c r="B109" s="154" t="s">
        <v>458</v>
      </c>
      <c r="C109" s="147">
        <f>SUM(C91:C108)</f>
        <v>30976144</v>
      </c>
      <c r="D109" s="147">
        <f>SUM(D91:D108)</f>
        <v>28286248</v>
      </c>
      <c r="E109" s="147">
        <f t="shared" si="4"/>
        <v>-2689896</v>
      </c>
      <c r="F109" s="148">
        <f t="shared" si="5"/>
        <v>-0.08683766449432828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340</v>
      </c>
      <c r="B111" s="145" t="s">
        <v>459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460</v>
      </c>
      <c r="C112" s="146">
        <v>1168331</v>
      </c>
      <c r="D112" s="146">
        <v>1035198</v>
      </c>
      <c r="E112" s="146">
        <f aca="true" t="shared" si="6" ref="E112:E118">D112-C112</f>
        <v>-133133</v>
      </c>
      <c r="F112" s="150">
        <f aca="true" t="shared" si="7" ref="F112:F118">IF(C112=0,0,E112/C112)</f>
        <v>-0.11395144013126417</v>
      </c>
      <c r="G112" s="155"/>
    </row>
    <row r="113" spans="1:7" ht="15" customHeight="1">
      <c r="A113" s="141">
        <v>2</v>
      </c>
      <c r="B113" s="161" t="s">
        <v>461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462</v>
      </c>
      <c r="C114" s="146">
        <v>707424</v>
      </c>
      <c r="D114" s="146">
        <v>639870</v>
      </c>
      <c r="E114" s="146">
        <f t="shared" si="6"/>
        <v>-67554</v>
      </c>
      <c r="F114" s="150">
        <f t="shared" si="7"/>
        <v>-0.09549294341158909</v>
      </c>
      <c r="G114" s="155"/>
    </row>
    <row r="115" spans="1:7" ht="15" customHeight="1">
      <c r="A115" s="141">
        <v>4</v>
      </c>
      <c r="B115" s="161" t="s">
        <v>463</v>
      </c>
      <c r="C115" s="146">
        <v>1067938</v>
      </c>
      <c r="D115" s="146">
        <v>933755</v>
      </c>
      <c r="E115" s="146">
        <f t="shared" si="6"/>
        <v>-134183</v>
      </c>
      <c r="F115" s="150">
        <f t="shared" si="7"/>
        <v>-0.1256468072116546</v>
      </c>
      <c r="G115" s="155"/>
    </row>
    <row r="116" spans="1:7" ht="15" customHeight="1">
      <c r="A116" s="141">
        <v>5</v>
      </c>
      <c r="B116" s="161" t="s">
        <v>464</v>
      </c>
      <c r="C116" s="146">
        <v>46751</v>
      </c>
      <c r="D116" s="146">
        <v>28233</v>
      </c>
      <c r="E116" s="146">
        <f t="shared" si="6"/>
        <v>-18518</v>
      </c>
      <c r="F116" s="150">
        <f t="shared" si="7"/>
        <v>-0.396098479176916</v>
      </c>
      <c r="G116" s="155"/>
    </row>
    <row r="117" spans="1:7" ht="15" customHeight="1">
      <c r="A117" s="141">
        <v>6</v>
      </c>
      <c r="B117" s="161" t="s">
        <v>465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>
      <c r="A118" s="141"/>
      <c r="B118" s="154" t="s">
        <v>466</v>
      </c>
      <c r="C118" s="147">
        <f>SUM(C112:C117)</f>
        <v>2990444</v>
      </c>
      <c r="D118" s="147">
        <f>SUM(D112:D117)</f>
        <v>2637056</v>
      </c>
      <c r="E118" s="147">
        <f t="shared" si="6"/>
        <v>-353388</v>
      </c>
      <c r="F118" s="148">
        <f t="shared" si="7"/>
        <v>-0.1181724185438684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357</v>
      </c>
      <c r="B120" s="145" t="s">
        <v>467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468</v>
      </c>
      <c r="C121" s="146">
        <v>2412984</v>
      </c>
      <c r="D121" s="146">
        <v>2304951</v>
      </c>
      <c r="E121" s="146">
        <f aca="true" t="shared" si="8" ref="E121:E155">D121-C121</f>
        <v>-108033</v>
      </c>
      <c r="F121" s="150">
        <f aca="true" t="shared" si="9" ref="F121:F155">IF(C121=0,0,E121/C121)</f>
        <v>-0.044771535990292516</v>
      </c>
      <c r="G121" s="155"/>
    </row>
    <row r="122" spans="1:7" ht="15" customHeight="1">
      <c r="A122" s="141">
        <v>2</v>
      </c>
      <c r="B122" s="161" t="s">
        <v>469</v>
      </c>
      <c r="C122" s="146">
        <v>338768</v>
      </c>
      <c r="D122" s="146">
        <v>310075</v>
      </c>
      <c r="E122" s="146">
        <f t="shared" si="8"/>
        <v>-28693</v>
      </c>
      <c r="F122" s="150">
        <f t="shared" si="9"/>
        <v>-0.08469808246351486</v>
      </c>
      <c r="G122" s="155"/>
    </row>
    <row r="123" spans="1:7" ht="15" customHeight="1">
      <c r="A123" s="141">
        <v>3</v>
      </c>
      <c r="B123" s="161" t="s">
        <v>470</v>
      </c>
      <c r="C123" s="146">
        <v>362255</v>
      </c>
      <c r="D123" s="146">
        <v>280061</v>
      </c>
      <c r="E123" s="146">
        <f t="shared" si="8"/>
        <v>-82194</v>
      </c>
      <c r="F123" s="150">
        <f t="shared" si="9"/>
        <v>-0.226895418972823</v>
      </c>
      <c r="G123" s="155"/>
    </row>
    <row r="124" spans="1:7" ht="15" customHeight="1">
      <c r="A124" s="141">
        <v>4</v>
      </c>
      <c r="B124" s="161" t="s">
        <v>471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>
      <c r="A125" s="141">
        <v>5</v>
      </c>
      <c r="B125" s="161" t="s">
        <v>472</v>
      </c>
      <c r="C125" s="146">
        <v>1864148</v>
      </c>
      <c r="D125" s="146">
        <v>1739631</v>
      </c>
      <c r="E125" s="146">
        <f t="shared" si="8"/>
        <v>-124517</v>
      </c>
      <c r="F125" s="150">
        <f t="shared" si="9"/>
        <v>-0.0667956621469969</v>
      </c>
      <c r="G125" s="155"/>
    </row>
    <row r="126" spans="1:7" ht="15" customHeight="1">
      <c r="A126" s="141">
        <v>6</v>
      </c>
      <c r="B126" s="161" t="s">
        <v>473</v>
      </c>
      <c r="C126" s="146">
        <v>277491</v>
      </c>
      <c r="D126" s="146">
        <v>213780</v>
      </c>
      <c r="E126" s="146">
        <f t="shared" si="8"/>
        <v>-63711</v>
      </c>
      <c r="F126" s="150">
        <f t="shared" si="9"/>
        <v>-0.2295966355665589</v>
      </c>
      <c r="G126" s="155"/>
    </row>
    <row r="127" spans="1:7" ht="15" customHeight="1">
      <c r="A127" s="141">
        <v>7</v>
      </c>
      <c r="B127" s="161" t="s">
        <v>474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>
      <c r="A128" s="141">
        <v>8</v>
      </c>
      <c r="B128" s="161" t="s">
        <v>475</v>
      </c>
      <c r="C128" s="146">
        <v>606067</v>
      </c>
      <c r="D128" s="146">
        <v>540130</v>
      </c>
      <c r="E128" s="146">
        <f t="shared" si="8"/>
        <v>-65937</v>
      </c>
      <c r="F128" s="150">
        <f t="shared" si="9"/>
        <v>-0.10879490221378164</v>
      </c>
      <c r="G128" s="155"/>
    </row>
    <row r="129" spans="1:7" ht="15" customHeight="1">
      <c r="A129" s="141">
        <v>9</v>
      </c>
      <c r="B129" s="161" t="s">
        <v>476</v>
      </c>
      <c r="C129" s="146">
        <v>446116</v>
      </c>
      <c r="D129" s="146">
        <v>321041</v>
      </c>
      <c r="E129" s="146">
        <f t="shared" si="8"/>
        <v>-125075</v>
      </c>
      <c r="F129" s="150">
        <f t="shared" si="9"/>
        <v>-0.2803642998681957</v>
      </c>
      <c r="G129" s="155"/>
    </row>
    <row r="130" spans="1:7" ht="15" customHeight="1">
      <c r="A130" s="141">
        <v>10</v>
      </c>
      <c r="B130" s="161" t="s">
        <v>477</v>
      </c>
      <c r="C130" s="146">
        <v>4179635</v>
      </c>
      <c r="D130" s="146">
        <v>3737000</v>
      </c>
      <c r="E130" s="146">
        <f t="shared" si="8"/>
        <v>-442635</v>
      </c>
      <c r="F130" s="150">
        <f t="shared" si="9"/>
        <v>-0.1059027881621242</v>
      </c>
      <c r="G130" s="155"/>
    </row>
    <row r="131" spans="1:7" ht="15" customHeight="1">
      <c r="A131" s="141">
        <v>11</v>
      </c>
      <c r="B131" s="161" t="s">
        <v>478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479</v>
      </c>
      <c r="C132" s="146">
        <v>523887</v>
      </c>
      <c r="D132" s="146">
        <v>322501</v>
      </c>
      <c r="E132" s="146">
        <f t="shared" si="8"/>
        <v>-201386</v>
      </c>
      <c r="F132" s="150">
        <f t="shared" si="9"/>
        <v>-0.38440732448027914</v>
      </c>
      <c r="G132" s="155"/>
    </row>
    <row r="133" spans="1:7" ht="15" customHeight="1">
      <c r="A133" s="141">
        <v>13</v>
      </c>
      <c r="B133" s="161" t="s">
        <v>480</v>
      </c>
      <c r="C133" s="146">
        <v>163165</v>
      </c>
      <c r="D133" s="146">
        <v>55694</v>
      </c>
      <c r="E133" s="146">
        <f t="shared" si="8"/>
        <v>-107471</v>
      </c>
      <c r="F133" s="150">
        <f t="shared" si="9"/>
        <v>-0.6586645420280085</v>
      </c>
      <c r="G133" s="155"/>
    </row>
    <row r="134" spans="1:7" ht="15" customHeight="1">
      <c r="A134" s="141">
        <v>14</v>
      </c>
      <c r="B134" s="161" t="s">
        <v>481</v>
      </c>
      <c r="C134" s="146">
        <v>45310</v>
      </c>
      <c r="D134" s="146">
        <v>20686</v>
      </c>
      <c r="E134" s="146">
        <f t="shared" si="8"/>
        <v>-24624</v>
      </c>
      <c r="F134" s="150">
        <f t="shared" si="9"/>
        <v>-0.5434561906863827</v>
      </c>
      <c r="G134" s="155"/>
    </row>
    <row r="135" spans="1:7" ht="15" customHeight="1">
      <c r="A135" s="141">
        <v>15</v>
      </c>
      <c r="B135" s="161" t="s">
        <v>482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483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484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485</v>
      </c>
      <c r="C138" s="146">
        <v>715729</v>
      </c>
      <c r="D138" s="146">
        <v>660566</v>
      </c>
      <c r="E138" s="146">
        <f t="shared" si="8"/>
        <v>-55163</v>
      </c>
      <c r="F138" s="150">
        <f t="shared" si="9"/>
        <v>-0.07707246737242728</v>
      </c>
      <c r="G138" s="155"/>
    </row>
    <row r="139" spans="1:7" ht="15" customHeight="1">
      <c r="A139" s="141">
        <v>19</v>
      </c>
      <c r="B139" s="161" t="s">
        <v>486</v>
      </c>
      <c r="C139" s="146">
        <v>498676</v>
      </c>
      <c r="D139" s="146">
        <v>384558</v>
      </c>
      <c r="E139" s="146">
        <f t="shared" si="8"/>
        <v>-114118</v>
      </c>
      <c r="F139" s="150">
        <f t="shared" si="9"/>
        <v>-0.22884197354594968</v>
      </c>
      <c r="G139" s="155"/>
    </row>
    <row r="140" spans="1:7" ht="15" customHeight="1">
      <c r="A140" s="141">
        <v>20</v>
      </c>
      <c r="B140" s="161" t="s">
        <v>487</v>
      </c>
      <c r="C140" s="146">
        <v>118173</v>
      </c>
      <c r="D140" s="146">
        <v>101154</v>
      </c>
      <c r="E140" s="146">
        <f t="shared" si="8"/>
        <v>-17019</v>
      </c>
      <c r="F140" s="150">
        <f t="shared" si="9"/>
        <v>-0.14401766901068772</v>
      </c>
      <c r="G140" s="155"/>
    </row>
    <row r="141" spans="1:7" ht="15" customHeight="1">
      <c r="A141" s="141">
        <v>21</v>
      </c>
      <c r="B141" s="161" t="s">
        <v>488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489</v>
      </c>
      <c r="C142" s="146">
        <v>587718</v>
      </c>
      <c r="D142" s="146">
        <v>517703</v>
      </c>
      <c r="E142" s="146">
        <f t="shared" si="8"/>
        <v>-70015</v>
      </c>
      <c r="F142" s="150">
        <f t="shared" si="9"/>
        <v>-0.11913026315341711</v>
      </c>
      <c r="G142" s="155"/>
    </row>
    <row r="143" spans="1:7" ht="15" customHeight="1">
      <c r="A143" s="141">
        <v>23</v>
      </c>
      <c r="B143" s="161" t="s">
        <v>490</v>
      </c>
      <c r="C143" s="146">
        <v>129091</v>
      </c>
      <c r="D143" s="146">
        <v>164669</v>
      </c>
      <c r="E143" s="146">
        <f t="shared" si="8"/>
        <v>35578</v>
      </c>
      <c r="F143" s="150">
        <f t="shared" si="9"/>
        <v>0.27560403126476674</v>
      </c>
      <c r="G143" s="155"/>
    </row>
    <row r="144" spans="1:7" ht="15" customHeight="1">
      <c r="A144" s="141">
        <v>24</v>
      </c>
      <c r="B144" s="161" t="s">
        <v>491</v>
      </c>
      <c r="C144" s="146">
        <v>4983132</v>
      </c>
      <c r="D144" s="146">
        <v>5064847</v>
      </c>
      <c r="E144" s="146">
        <f t="shared" si="8"/>
        <v>81715</v>
      </c>
      <c r="F144" s="150">
        <f t="shared" si="9"/>
        <v>0.016398321376997437</v>
      </c>
      <c r="G144" s="155"/>
    </row>
    <row r="145" spans="1:7" ht="15" customHeight="1">
      <c r="A145" s="141">
        <v>25</v>
      </c>
      <c r="B145" s="161" t="s">
        <v>492</v>
      </c>
      <c r="C145" s="146">
        <v>735044</v>
      </c>
      <c r="D145" s="146">
        <v>555523</v>
      </c>
      <c r="E145" s="146">
        <f t="shared" si="8"/>
        <v>-179521</v>
      </c>
      <c r="F145" s="150">
        <f t="shared" si="9"/>
        <v>-0.2442316378339256</v>
      </c>
      <c r="G145" s="155"/>
    </row>
    <row r="146" spans="1:7" ht="15" customHeight="1">
      <c r="A146" s="141">
        <v>26</v>
      </c>
      <c r="B146" s="161" t="s">
        <v>493</v>
      </c>
      <c r="C146" s="146">
        <v>124300</v>
      </c>
      <c r="D146" s="146">
        <v>0</v>
      </c>
      <c r="E146" s="146">
        <f t="shared" si="8"/>
        <v>-124300</v>
      </c>
      <c r="F146" s="150">
        <f t="shared" si="9"/>
        <v>-1</v>
      </c>
      <c r="G146" s="155"/>
    </row>
    <row r="147" spans="1:7" ht="15" customHeight="1">
      <c r="A147" s="141">
        <v>27</v>
      </c>
      <c r="B147" s="161" t="s">
        <v>494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495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>
      <c r="A149" s="141">
        <v>29</v>
      </c>
      <c r="B149" s="161" t="s">
        <v>496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497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498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>
      <c r="A152" s="141">
        <v>32</v>
      </c>
      <c r="B152" s="161" t="s">
        <v>499</v>
      </c>
      <c r="C152" s="146">
        <v>418638</v>
      </c>
      <c r="D152" s="146">
        <v>376751</v>
      </c>
      <c r="E152" s="146">
        <f t="shared" si="8"/>
        <v>-41887</v>
      </c>
      <c r="F152" s="150">
        <f t="shared" si="9"/>
        <v>-0.10005541780727024</v>
      </c>
      <c r="G152" s="155"/>
    </row>
    <row r="153" spans="1:7" ht="15" customHeight="1">
      <c r="A153" s="141">
        <v>33</v>
      </c>
      <c r="B153" s="161" t="s">
        <v>500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501</v>
      </c>
      <c r="C154" s="146">
        <v>3126353</v>
      </c>
      <c r="D154" s="146">
        <v>2234286</v>
      </c>
      <c r="E154" s="146">
        <f t="shared" si="8"/>
        <v>-892067</v>
      </c>
      <c r="F154" s="150">
        <f t="shared" si="9"/>
        <v>-0.2853379001027715</v>
      </c>
      <c r="G154" s="155"/>
    </row>
    <row r="155" spans="1:7" ht="15.75" customHeight="1">
      <c r="A155" s="141"/>
      <c r="B155" s="154" t="s">
        <v>502</v>
      </c>
      <c r="C155" s="147">
        <f>SUM(C121:C154)</f>
        <v>22656680</v>
      </c>
      <c r="D155" s="147">
        <f>SUM(D121:D154)</f>
        <v>19905607</v>
      </c>
      <c r="E155" s="147">
        <f t="shared" si="8"/>
        <v>-2751073</v>
      </c>
      <c r="F155" s="148">
        <f t="shared" si="9"/>
        <v>-0.12142436579410576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387</v>
      </c>
      <c r="B157" s="145" t="s">
        <v>503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504</v>
      </c>
      <c r="C158" s="146">
        <v>4966778</v>
      </c>
      <c r="D158" s="146">
        <v>3756073</v>
      </c>
      <c r="E158" s="146">
        <f aca="true" t="shared" si="10" ref="E158:E171">D158-C158</f>
        <v>-1210705</v>
      </c>
      <c r="F158" s="150">
        <f aca="true" t="shared" si="11" ref="F158:F171">IF(C158=0,0,E158/C158)</f>
        <v>-0.24376064321779634</v>
      </c>
      <c r="G158" s="155"/>
    </row>
    <row r="159" spans="1:7" ht="15" customHeight="1">
      <c r="A159" s="141">
        <v>2</v>
      </c>
      <c r="B159" s="161" t="s">
        <v>505</v>
      </c>
      <c r="C159" s="146">
        <v>1641316</v>
      </c>
      <c r="D159" s="146">
        <v>1548933</v>
      </c>
      <c r="E159" s="146">
        <f t="shared" si="10"/>
        <v>-92383</v>
      </c>
      <c r="F159" s="150">
        <f t="shared" si="11"/>
        <v>-0.05628593153298938</v>
      </c>
      <c r="G159" s="155"/>
    </row>
    <row r="160" spans="1:7" ht="15" customHeight="1">
      <c r="A160" s="141">
        <v>3</v>
      </c>
      <c r="B160" s="161" t="s">
        <v>506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507</v>
      </c>
      <c r="C161" s="146">
        <v>2312829</v>
      </c>
      <c r="D161" s="146">
        <v>1993447</v>
      </c>
      <c r="E161" s="146">
        <f t="shared" si="10"/>
        <v>-319382</v>
      </c>
      <c r="F161" s="150">
        <f t="shared" si="11"/>
        <v>-0.13809148882169844</v>
      </c>
      <c r="G161" s="155"/>
    </row>
    <row r="162" spans="1:7" ht="15" customHeight="1">
      <c r="A162" s="141">
        <v>5</v>
      </c>
      <c r="B162" s="161" t="s">
        <v>508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509</v>
      </c>
      <c r="C163" s="146">
        <v>1274139</v>
      </c>
      <c r="D163" s="146">
        <v>1163441</v>
      </c>
      <c r="E163" s="146">
        <f t="shared" si="10"/>
        <v>-110698</v>
      </c>
      <c r="F163" s="150">
        <f t="shared" si="11"/>
        <v>-0.08688063076320558</v>
      </c>
      <c r="G163" s="155"/>
    </row>
    <row r="164" spans="1:7" ht="15" customHeight="1">
      <c r="A164" s="141">
        <v>7</v>
      </c>
      <c r="B164" s="161" t="s">
        <v>510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>
      <c r="A165" s="141">
        <v>8</v>
      </c>
      <c r="B165" s="161" t="s">
        <v>511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512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513</v>
      </c>
      <c r="C167" s="146">
        <v>1990314</v>
      </c>
      <c r="D167" s="146">
        <v>2496579</v>
      </c>
      <c r="E167" s="146">
        <f t="shared" si="10"/>
        <v>506265</v>
      </c>
      <c r="F167" s="150">
        <f t="shared" si="11"/>
        <v>0.25436438672490874</v>
      </c>
      <c r="G167" s="155"/>
    </row>
    <row r="168" spans="1:7" ht="15" customHeight="1">
      <c r="A168" s="141">
        <v>11</v>
      </c>
      <c r="B168" s="161" t="s">
        <v>514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515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>
      <c r="A170" s="141">
        <v>13</v>
      </c>
      <c r="B170" s="161" t="s">
        <v>516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517</v>
      </c>
      <c r="C171" s="147">
        <f>SUM(C158:C170)</f>
        <v>12185376</v>
      </c>
      <c r="D171" s="147">
        <f>SUM(D158:D170)</f>
        <v>10958473</v>
      </c>
      <c r="E171" s="147">
        <f t="shared" si="10"/>
        <v>-1226903</v>
      </c>
      <c r="F171" s="148">
        <f t="shared" si="11"/>
        <v>-0.10068651143797286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392</v>
      </c>
      <c r="B173" s="145" t="s">
        <v>518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519</v>
      </c>
      <c r="C174" s="146">
        <v>7034666</v>
      </c>
      <c r="D174" s="146">
        <v>7362122</v>
      </c>
      <c r="E174" s="146">
        <f>D174-C174</f>
        <v>327456</v>
      </c>
      <c r="F174" s="150">
        <f>IF(C174=0,0,E174/C174)</f>
        <v>0.04654890509371731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520</v>
      </c>
      <c r="C176" s="147">
        <f>+C174+C171+C155+C118+C109</f>
        <v>75843310</v>
      </c>
      <c r="D176" s="147">
        <f>+D174+D171+D155+D118+D109</f>
        <v>69149506</v>
      </c>
      <c r="E176" s="147">
        <f>D176-C176</f>
        <v>-6693804</v>
      </c>
      <c r="F176" s="148">
        <f>IF(C176=0,0,E176/C176)</f>
        <v>-0.08825833155224898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521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0" r:id="rId1"/>
  <headerFooter alignWithMargins="0">
    <oddHeader>&amp;LOFFICE OF HEALTH CARE ACCESS&amp;CTWELVE MONTHS ACTUAL FILING&amp;RJOHNSON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E131" sqref="E13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216</v>
      </c>
      <c r="C1" s="3"/>
      <c r="D1" s="3"/>
      <c r="E1" s="4"/>
      <c r="F1" s="5"/>
    </row>
    <row r="2" spans="1:6" ht="24" customHeight="1">
      <c r="A2" s="35"/>
      <c r="B2" s="3" t="s">
        <v>217</v>
      </c>
      <c r="C2" s="3"/>
      <c r="D2" s="3"/>
      <c r="E2" s="4"/>
      <c r="F2" s="5"/>
    </row>
    <row r="3" spans="1:6" ht="24" customHeight="1">
      <c r="A3" s="35"/>
      <c r="B3" s="3" t="s">
        <v>218</v>
      </c>
      <c r="C3" s="3"/>
      <c r="D3" s="3"/>
      <c r="E3" s="4"/>
      <c r="F3" s="5"/>
    </row>
    <row r="4" spans="1:6" ht="24" customHeight="1">
      <c r="A4" s="35"/>
      <c r="B4" s="3" t="s">
        <v>522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226</v>
      </c>
      <c r="D7" s="11" t="s">
        <v>226</v>
      </c>
      <c r="E7" s="11" t="s">
        <v>226</v>
      </c>
      <c r="F7" s="11"/>
    </row>
    <row r="8" spans="1:6" ht="24" customHeight="1">
      <c r="A8" s="13" t="s">
        <v>224</v>
      </c>
      <c r="B8" s="16" t="s">
        <v>225</v>
      </c>
      <c r="C8" s="13" t="s">
        <v>523</v>
      </c>
      <c r="D8" s="13" t="s">
        <v>220</v>
      </c>
      <c r="E8" s="13" t="s">
        <v>221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230</v>
      </c>
      <c r="B10" s="30" t="s">
        <v>524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291</v>
      </c>
      <c r="C11" s="51">
        <v>63714589</v>
      </c>
      <c r="D11" s="164">
        <v>71034672</v>
      </c>
      <c r="E11" s="51">
        <v>63397165</v>
      </c>
      <c r="F11" s="13"/>
    </row>
    <row r="12" spans="1:6" ht="24" customHeight="1">
      <c r="A12" s="44">
        <v>2</v>
      </c>
      <c r="B12" s="165" t="s">
        <v>525</v>
      </c>
      <c r="C12" s="49">
        <v>798161</v>
      </c>
      <c r="D12" s="49">
        <v>743950</v>
      </c>
      <c r="E12" s="49">
        <v>951983</v>
      </c>
      <c r="F12" s="13"/>
    </row>
    <row r="13" spans="1:6" ht="24" customHeight="1">
      <c r="A13" s="44">
        <v>3</v>
      </c>
      <c r="B13" s="48" t="s">
        <v>294</v>
      </c>
      <c r="C13" s="51">
        <f>+C11+C12</f>
        <v>64512750</v>
      </c>
      <c r="D13" s="51">
        <f>+D11+D12</f>
        <v>71778622</v>
      </c>
      <c r="E13" s="51">
        <f>+E11+E12</f>
        <v>64349148</v>
      </c>
      <c r="F13" s="13"/>
    </row>
    <row r="14" spans="1:6" ht="24" customHeight="1">
      <c r="A14" s="44">
        <v>4</v>
      </c>
      <c r="B14" s="166" t="s">
        <v>305</v>
      </c>
      <c r="C14" s="49">
        <v>77430267</v>
      </c>
      <c r="D14" s="49">
        <v>75843310</v>
      </c>
      <c r="E14" s="49">
        <v>69149506</v>
      </c>
      <c r="F14" s="13"/>
    </row>
    <row r="15" spans="1:6" ht="24" customHeight="1">
      <c r="A15" s="44">
        <v>5</v>
      </c>
      <c r="B15" s="48" t="s">
        <v>306</v>
      </c>
      <c r="C15" s="51">
        <f>+C13-C14</f>
        <v>-12917517</v>
      </c>
      <c r="D15" s="51">
        <f>+D13-D14</f>
        <v>-4064688</v>
      </c>
      <c r="E15" s="51">
        <f>+E13-E14</f>
        <v>-4800358</v>
      </c>
      <c r="F15" s="13"/>
    </row>
    <row r="16" spans="1:6" ht="24" customHeight="1">
      <c r="A16" s="44">
        <v>6</v>
      </c>
      <c r="B16" s="166" t="s">
        <v>311</v>
      </c>
      <c r="C16" s="49">
        <v>705324</v>
      </c>
      <c r="D16" s="49">
        <v>1722723</v>
      </c>
      <c r="E16" s="49">
        <v>-605745</v>
      </c>
      <c r="F16" s="13"/>
    </row>
    <row r="17" spans="1:6" ht="24" customHeight="1">
      <c r="A17" s="44">
        <v>7</v>
      </c>
      <c r="B17" s="45" t="s">
        <v>526</v>
      </c>
      <c r="C17" s="51">
        <f>C15+C16</f>
        <v>-12212193</v>
      </c>
      <c r="D17" s="51">
        <f>D15+D16</f>
        <v>-2341965</v>
      </c>
      <c r="E17" s="51">
        <f>E15+E16</f>
        <v>-5406103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242</v>
      </c>
      <c r="B19" s="30" t="s">
        <v>527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528</v>
      </c>
      <c r="C20" s="169">
        <f>IF(+C27=0,0,+C24/+C27)</f>
        <v>-0.19806652063966193</v>
      </c>
      <c r="D20" s="169">
        <f>IF(+D27=0,0,+D24/+D27)</f>
        <v>-0.05530086558279988</v>
      </c>
      <c r="E20" s="169">
        <f>IF(+E27=0,0,+E24/+E27)</f>
        <v>-0.07530752633335248</v>
      </c>
      <c r="F20" s="13"/>
    </row>
    <row r="21" spans="1:6" ht="24" customHeight="1">
      <c r="A21" s="25">
        <v>2</v>
      </c>
      <c r="B21" s="48" t="s">
        <v>529</v>
      </c>
      <c r="C21" s="169">
        <f>IF(C27=0,0,+C26/C27)</f>
        <v>0.010814854790100057</v>
      </c>
      <c r="D21" s="169">
        <f>IF(D27=0,0,+D26/D27)</f>
        <v>0.023437979264188974</v>
      </c>
      <c r="E21" s="169">
        <f>IF(E27=0,0,+E26/E27)</f>
        <v>-0.009502865731846792</v>
      </c>
      <c r="F21" s="13"/>
    </row>
    <row r="22" spans="1:6" ht="24" customHeight="1">
      <c r="A22" s="25">
        <v>3</v>
      </c>
      <c r="B22" s="48" t="s">
        <v>530</v>
      </c>
      <c r="C22" s="169">
        <f>IF(C27=0,0,+C28/C27)</f>
        <v>-0.18725166584956188</v>
      </c>
      <c r="D22" s="169">
        <f>IF(D27=0,0,+D28/D27)</f>
        <v>-0.0318628863186109</v>
      </c>
      <c r="E22" s="169">
        <f>IF(E27=0,0,+E28/E27)</f>
        <v>-0.08481039206519927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306</v>
      </c>
      <c r="C24" s="51">
        <f>+C15</f>
        <v>-12917517</v>
      </c>
      <c r="D24" s="51">
        <f>+D15</f>
        <v>-4064688</v>
      </c>
      <c r="E24" s="51">
        <f>+E15</f>
        <v>-4800358</v>
      </c>
      <c r="F24" s="13"/>
    </row>
    <row r="25" spans="1:6" ht="24" customHeight="1">
      <c r="A25" s="21">
        <v>5</v>
      </c>
      <c r="B25" s="48" t="s">
        <v>294</v>
      </c>
      <c r="C25" s="51">
        <f>+C13</f>
        <v>64512750</v>
      </c>
      <c r="D25" s="51">
        <f>+D13</f>
        <v>71778622</v>
      </c>
      <c r="E25" s="51">
        <f>+E13</f>
        <v>64349148</v>
      </c>
      <c r="F25" s="13"/>
    </row>
    <row r="26" spans="1:6" ht="24" customHeight="1">
      <c r="A26" s="21">
        <v>6</v>
      </c>
      <c r="B26" s="48" t="s">
        <v>311</v>
      </c>
      <c r="C26" s="51">
        <f>+C16</f>
        <v>705324</v>
      </c>
      <c r="D26" s="51">
        <f>+D16</f>
        <v>1722723</v>
      </c>
      <c r="E26" s="51">
        <f>+E16</f>
        <v>-605745</v>
      </c>
      <c r="F26" s="13"/>
    </row>
    <row r="27" spans="1:6" ht="24" customHeight="1">
      <c r="A27" s="21">
        <v>7</v>
      </c>
      <c r="B27" s="48" t="s">
        <v>531</v>
      </c>
      <c r="C27" s="51">
        <f>+C25+C26</f>
        <v>65218074</v>
      </c>
      <c r="D27" s="51">
        <f>+D25+D26</f>
        <v>73501345</v>
      </c>
      <c r="E27" s="51">
        <f>+E25+E26</f>
        <v>63743403</v>
      </c>
      <c r="F27" s="13"/>
    </row>
    <row r="28" spans="1:6" ht="24" customHeight="1">
      <c r="A28" s="21">
        <v>8</v>
      </c>
      <c r="B28" s="45" t="s">
        <v>526</v>
      </c>
      <c r="C28" s="51">
        <f>+C17</f>
        <v>-12212193</v>
      </c>
      <c r="D28" s="51">
        <f>+D17</f>
        <v>-2341965</v>
      </c>
      <c r="E28" s="51">
        <f>+E17</f>
        <v>-5406103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252</v>
      </c>
      <c r="B30" s="41" t="s">
        <v>532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533</v>
      </c>
      <c r="C31" s="51">
        <v>-6411244</v>
      </c>
      <c r="D31" s="51">
        <v>3159598</v>
      </c>
      <c r="E31" s="51">
        <v>-4639490</v>
      </c>
      <c r="F31" s="13"/>
    </row>
    <row r="32" spans="1:6" ht="24" customHeight="1">
      <c r="A32" s="25">
        <v>2</v>
      </c>
      <c r="B32" s="48" t="s">
        <v>534</v>
      </c>
      <c r="C32" s="51">
        <v>-1361200</v>
      </c>
      <c r="D32" s="51">
        <v>4230542</v>
      </c>
      <c r="E32" s="51">
        <v>-3564128</v>
      </c>
      <c r="F32" s="13"/>
    </row>
    <row r="33" spans="1:6" ht="24" customHeight="1">
      <c r="A33" s="25">
        <v>3</v>
      </c>
      <c r="B33" s="48" t="s">
        <v>535</v>
      </c>
      <c r="C33" s="51">
        <v>-1361200</v>
      </c>
      <c r="D33" s="51">
        <f>+D32-C32</f>
        <v>5591742</v>
      </c>
      <c r="E33" s="51">
        <f>+E32-D32</f>
        <v>-7794670</v>
      </c>
      <c r="F33" s="5"/>
    </row>
    <row r="34" spans="1:6" ht="24" customHeight="1">
      <c r="A34" s="25">
        <v>4</v>
      </c>
      <c r="B34" s="48" t="s">
        <v>536</v>
      </c>
      <c r="C34" s="171">
        <v>0</v>
      </c>
      <c r="D34" s="171">
        <f>IF(C32=0,0,+D33/C32)</f>
        <v>-4.1079503379371145</v>
      </c>
      <c r="E34" s="171">
        <f>IF(D32=0,0,+E33/D32)</f>
        <v>-1.8424755031388413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537</v>
      </c>
      <c r="B36" s="41" t="s">
        <v>538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539</v>
      </c>
      <c r="C38" s="172">
        <f>IF((C40+C41)=0,0,+C39/(C40+C41))</f>
        <v>0.37113024765491875</v>
      </c>
      <c r="D38" s="172">
        <f>IF((D40+D41)=0,0,+D39/(D40+D41))</f>
        <v>0.31954297203848425</v>
      </c>
      <c r="E38" s="172">
        <f>IF((E40+E41)=0,0,+E39/(E40+E41))</f>
        <v>0.35182259499504337</v>
      </c>
      <c r="F38" s="5"/>
    </row>
    <row r="39" spans="1:6" ht="24" customHeight="1">
      <c r="A39" s="21">
        <v>2</v>
      </c>
      <c r="B39" s="48" t="s">
        <v>540</v>
      </c>
      <c r="C39" s="51">
        <v>78155106</v>
      </c>
      <c r="D39" s="51">
        <v>75843310</v>
      </c>
      <c r="E39" s="23">
        <v>69149506</v>
      </c>
      <c r="F39" s="5"/>
    </row>
    <row r="40" spans="1:6" ht="24" customHeight="1">
      <c r="A40" s="21">
        <v>3</v>
      </c>
      <c r="B40" s="48" t="s">
        <v>541</v>
      </c>
      <c r="C40" s="51">
        <v>208951499</v>
      </c>
      <c r="D40" s="51">
        <v>236605379</v>
      </c>
      <c r="E40" s="23">
        <v>195594535</v>
      </c>
      <c r="F40" s="5"/>
    </row>
    <row r="41" spans="1:6" ht="24" customHeight="1">
      <c r="A41" s="21">
        <v>4</v>
      </c>
      <c r="B41" s="48" t="s">
        <v>542</v>
      </c>
      <c r="C41" s="51">
        <v>1635233</v>
      </c>
      <c r="D41" s="51">
        <v>743950</v>
      </c>
      <c r="E41" s="23">
        <v>951983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543</v>
      </c>
      <c r="C43" s="173">
        <f>IF(C38=0,0,IF((C46-C47)=0,0,((+C44-C45)/(C46-C47)/C38)))</f>
        <v>0.8298043221586637</v>
      </c>
      <c r="D43" s="173">
        <f>IF(D38=0,0,IF((D46-D47)=0,0,((+D44-D45)/(D46-D47)/D38)))</f>
        <v>1.2138682521654214</v>
      </c>
      <c r="E43" s="173">
        <f>IF(E38=0,0,IF((E46-E47)=0,0,((+E44-E45)/(E46-E47)/E38)))</f>
        <v>1.274504107206</v>
      </c>
      <c r="F43" s="5"/>
    </row>
    <row r="44" spans="1:6" ht="24" customHeight="1">
      <c r="A44" s="21">
        <v>6</v>
      </c>
      <c r="B44" s="48" t="s">
        <v>544</v>
      </c>
      <c r="C44" s="51">
        <v>26145642</v>
      </c>
      <c r="D44" s="51">
        <v>41246882</v>
      </c>
      <c r="E44" s="23">
        <v>37610322</v>
      </c>
      <c r="F44" s="5"/>
    </row>
    <row r="45" spans="1:6" ht="24" customHeight="1">
      <c r="A45" s="21">
        <v>7</v>
      </c>
      <c r="B45" s="48" t="s">
        <v>545</v>
      </c>
      <c r="C45" s="51">
        <v>685170</v>
      </c>
      <c r="D45" s="51">
        <v>2515047</v>
      </c>
      <c r="E45" s="23">
        <v>818543</v>
      </c>
      <c r="F45" s="5"/>
    </row>
    <row r="46" spans="1:6" ht="24" customHeight="1">
      <c r="A46" s="21">
        <v>8</v>
      </c>
      <c r="B46" s="48" t="s">
        <v>546</v>
      </c>
      <c r="C46" s="51">
        <v>89179089</v>
      </c>
      <c r="D46" s="51">
        <v>108426265</v>
      </c>
      <c r="E46" s="23">
        <v>89500134</v>
      </c>
      <c r="F46" s="5"/>
    </row>
    <row r="47" spans="1:6" ht="24" customHeight="1">
      <c r="A47" s="21">
        <v>9</v>
      </c>
      <c r="B47" s="48" t="s">
        <v>547</v>
      </c>
      <c r="C47" s="51">
        <v>6505954</v>
      </c>
      <c r="D47" s="51">
        <v>8571855</v>
      </c>
      <c r="E47" s="174">
        <v>7448767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548</v>
      </c>
      <c r="C49" s="175">
        <f>IF(C38=0,0,IF(C51=0,0,(C50/C51)/C38))</f>
        <v>0.6738231721793085</v>
      </c>
      <c r="D49" s="175">
        <f>IF(D38=0,0,IF(D51=0,0,(D50/D51)/D38))</f>
        <v>0.7402269179886759</v>
      </c>
      <c r="E49" s="175">
        <f>IF(E38=0,0,IF(E51=0,0,(E50/E51)/E38))</f>
        <v>0.7095092080342303</v>
      </c>
      <c r="F49" s="7"/>
    </row>
    <row r="50" spans="1:6" ht="24" customHeight="1">
      <c r="A50" s="21">
        <v>11</v>
      </c>
      <c r="B50" s="48" t="s">
        <v>549</v>
      </c>
      <c r="C50" s="176">
        <v>24828412</v>
      </c>
      <c r="D50" s="176">
        <v>24689512</v>
      </c>
      <c r="E50" s="176">
        <v>21800296</v>
      </c>
      <c r="F50" s="11"/>
    </row>
    <row r="51" spans="1:6" ht="24" customHeight="1">
      <c r="A51" s="21">
        <v>12</v>
      </c>
      <c r="B51" s="48" t="s">
        <v>550</v>
      </c>
      <c r="C51" s="176">
        <v>99283402</v>
      </c>
      <c r="D51" s="176">
        <v>104380257</v>
      </c>
      <c r="E51" s="176">
        <v>87333452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551</v>
      </c>
      <c r="C53" s="175">
        <f>IF(C38=0,0,IF(C55=0,0,(C54/C55)/C38))</f>
        <v>0.6196193888862854</v>
      </c>
      <c r="D53" s="175">
        <f>IF(D38=0,0,IF(D55=0,0,(D54/D55)/D38))</f>
        <v>0.6695556951642551</v>
      </c>
      <c r="E53" s="175">
        <f>IF(E38=0,0,IF(E55=0,0,(E54/E55)/E38))</f>
        <v>0.6885993109805458</v>
      </c>
      <c r="F53" s="13"/>
    </row>
    <row r="54" spans="1:6" ht="24" customHeight="1">
      <c r="A54" s="21">
        <v>14</v>
      </c>
      <c r="B54" s="48" t="s">
        <v>552</v>
      </c>
      <c r="C54" s="176">
        <v>3994551</v>
      </c>
      <c r="D54" s="176">
        <v>4174943</v>
      </c>
      <c r="E54" s="176">
        <v>3570399</v>
      </c>
      <c r="F54" s="13"/>
    </row>
    <row r="55" spans="1:6" ht="24" customHeight="1">
      <c r="A55" s="21">
        <v>15</v>
      </c>
      <c r="B55" s="48" t="s">
        <v>553</v>
      </c>
      <c r="C55" s="176">
        <v>17370672</v>
      </c>
      <c r="D55" s="176">
        <v>19513473</v>
      </c>
      <c r="E55" s="176">
        <v>14737589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554</v>
      </c>
      <c r="C57" s="53">
        <f>+C60*C38</f>
        <v>2902401.462840185</v>
      </c>
      <c r="D57" s="53">
        <f>+D60*D38</f>
        <v>2835684.7274912247</v>
      </c>
      <c r="E57" s="53">
        <f>+E60*E38</f>
        <v>2945377.846101654</v>
      </c>
      <c r="F57" s="13"/>
    </row>
    <row r="58" spans="1:6" ht="24" customHeight="1">
      <c r="A58" s="21">
        <v>17</v>
      </c>
      <c r="B58" s="48" t="s">
        <v>555</v>
      </c>
      <c r="C58" s="51">
        <v>178176</v>
      </c>
      <c r="D58" s="51">
        <v>287523</v>
      </c>
      <c r="E58" s="52">
        <v>559676</v>
      </c>
      <c r="F58" s="28"/>
    </row>
    <row r="59" spans="1:6" ht="24" customHeight="1">
      <c r="A59" s="21">
        <v>18</v>
      </c>
      <c r="B59" s="48" t="s">
        <v>301</v>
      </c>
      <c r="C59" s="51">
        <v>7642263</v>
      </c>
      <c r="D59" s="51">
        <v>8586666</v>
      </c>
      <c r="E59" s="52">
        <v>7812094</v>
      </c>
      <c r="F59" s="28"/>
    </row>
    <row r="60" spans="1:6" ht="24" customHeight="1">
      <c r="A60" s="21">
        <v>19</v>
      </c>
      <c r="B60" s="48" t="s">
        <v>556</v>
      </c>
      <c r="C60" s="51">
        <v>7820439</v>
      </c>
      <c r="D60" s="51">
        <v>8874189</v>
      </c>
      <c r="E60" s="52">
        <v>8371770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557</v>
      </c>
      <c r="C62" s="178">
        <f>IF(C63=0,0,+C57/C63)</f>
        <v>0.03713642794931639</v>
      </c>
      <c r="D62" s="178">
        <f>IF(D63=0,0,+D57/D63)</f>
        <v>0.03738872588091454</v>
      </c>
      <c r="E62" s="178">
        <f>IF(E63=0,0,+E57/E63)</f>
        <v>0.04259434400155591</v>
      </c>
      <c r="F62" s="13"/>
    </row>
    <row r="63" spans="1:6" ht="24" customHeight="1">
      <c r="A63" s="21">
        <v>21</v>
      </c>
      <c r="B63" s="45" t="s">
        <v>540</v>
      </c>
      <c r="C63" s="176">
        <v>78155106</v>
      </c>
      <c r="D63" s="176">
        <v>75843310</v>
      </c>
      <c r="E63" s="176">
        <v>69149506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558</v>
      </c>
      <c r="B65" s="41" t="s">
        <v>559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560</v>
      </c>
      <c r="C67" s="179">
        <f>IF(C69=0,0,C68/C69)</f>
        <v>0.41892870168176727</v>
      </c>
      <c r="D67" s="179">
        <f>IF(D69=0,0,D68/D69)</f>
        <v>0.5294232050129368</v>
      </c>
      <c r="E67" s="179">
        <f>IF(E69=0,0,E68/E69)</f>
        <v>0.6706156354064559</v>
      </c>
      <c r="F67" s="28"/>
    </row>
    <row r="68" spans="1:6" ht="24" customHeight="1">
      <c r="A68" s="21">
        <v>2</v>
      </c>
      <c r="B68" s="48" t="s">
        <v>241</v>
      </c>
      <c r="C68" s="180">
        <v>13497972</v>
      </c>
      <c r="D68" s="180">
        <v>20770211</v>
      </c>
      <c r="E68" s="180">
        <v>17913340</v>
      </c>
      <c r="F68" s="28"/>
    </row>
    <row r="69" spans="1:6" ht="24" customHeight="1">
      <c r="A69" s="21">
        <v>3</v>
      </c>
      <c r="B69" s="48" t="s">
        <v>270</v>
      </c>
      <c r="C69" s="180">
        <v>32220213</v>
      </c>
      <c r="D69" s="180">
        <v>39231773</v>
      </c>
      <c r="E69" s="180">
        <v>26711784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561</v>
      </c>
      <c r="C71" s="181">
        <f>IF((C77/365)=0,0,+C74/(C77/365))</f>
        <v>2.1848703585022076</v>
      </c>
      <c r="D71" s="181">
        <f>IF((D77/365)=0,0,+D74/(D77/365))</f>
        <v>20.021867473874053</v>
      </c>
      <c r="E71" s="181">
        <f>IF((E77/365)=0,0,+E74/(E77/365))</f>
        <v>16.932074328240567</v>
      </c>
      <c r="F71" s="28"/>
    </row>
    <row r="72" spans="1:6" ht="24" customHeight="1">
      <c r="A72" s="21">
        <v>5</v>
      </c>
      <c r="B72" s="22" t="s">
        <v>232</v>
      </c>
      <c r="C72" s="182">
        <v>449291</v>
      </c>
      <c r="D72" s="182">
        <v>4005551</v>
      </c>
      <c r="E72" s="182">
        <v>3069946</v>
      </c>
      <c r="F72" s="28"/>
    </row>
    <row r="73" spans="1:6" ht="24" customHeight="1">
      <c r="A73" s="21">
        <v>6</v>
      </c>
      <c r="B73" s="183" t="s">
        <v>233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562</v>
      </c>
      <c r="C74" s="180">
        <f>+C72+C73</f>
        <v>449291</v>
      </c>
      <c r="D74" s="180">
        <f>+D72+D73</f>
        <v>4005551</v>
      </c>
      <c r="E74" s="180">
        <f>+E72+E73</f>
        <v>3069946</v>
      </c>
      <c r="F74" s="28"/>
    </row>
    <row r="75" spans="1:6" ht="24" customHeight="1">
      <c r="A75" s="21">
        <v>8</v>
      </c>
      <c r="B75" s="48" t="s">
        <v>540</v>
      </c>
      <c r="C75" s="180">
        <f>+C14</f>
        <v>77430267</v>
      </c>
      <c r="D75" s="180">
        <f>+D14</f>
        <v>75843310</v>
      </c>
      <c r="E75" s="180">
        <f>+E14</f>
        <v>69149506</v>
      </c>
      <c r="F75" s="28"/>
    </row>
    <row r="76" spans="1:6" ht="24" customHeight="1">
      <c r="A76" s="21">
        <v>9</v>
      </c>
      <c r="B76" s="45" t="s">
        <v>563</v>
      </c>
      <c r="C76" s="180">
        <v>2372626</v>
      </c>
      <c r="D76" s="180">
        <v>2821844</v>
      </c>
      <c r="E76" s="180">
        <v>2971537</v>
      </c>
      <c r="F76" s="28"/>
    </row>
    <row r="77" spans="1:6" ht="24" customHeight="1">
      <c r="A77" s="21">
        <v>10</v>
      </c>
      <c r="B77" s="45" t="s">
        <v>564</v>
      </c>
      <c r="C77" s="180">
        <f>+C75-C76</f>
        <v>75057641</v>
      </c>
      <c r="D77" s="180">
        <f>+D75-D76</f>
        <v>73021466</v>
      </c>
      <c r="E77" s="180">
        <f>+E75-E76</f>
        <v>66177969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565</v>
      </c>
      <c r="C79" s="179">
        <f>IF((C84/365)=0,0,+C83/(C84/365))</f>
        <v>52.743375853840945</v>
      </c>
      <c r="D79" s="179">
        <f>IF((D84/365)=0,0,+D83/(D84/365))</f>
        <v>39.37346940941742</v>
      </c>
      <c r="E79" s="179">
        <f>IF((E84/365)=0,0,+E83/(E84/365))</f>
        <v>49.76227217731266</v>
      </c>
      <c r="F79" s="28"/>
    </row>
    <row r="80" spans="1:6" ht="24" customHeight="1">
      <c r="A80" s="21">
        <v>12</v>
      </c>
      <c r="B80" s="188" t="s">
        <v>566</v>
      </c>
      <c r="C80" s="189">
        <v>9782761</v>
      </c>
      <c r="D80" s="189">
        <v>8282256</v>
      </c>
      <c r="E80" s="189">
        <v>8745899</v>
      </c>
      <c r="F80" s="28"/>
    </row>
    <row r="81" spans="1:6" ht="24" customHeight="1">
      <c r="A81" s="21">
        <v>13</v>
      </c>
      <c r="B81" s="188" t="s">
        <v>237</v>
      </c>
      <c r="C81" s="190">
        <v>60899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265</v>
      </c>
      <c r="C82" s="190">
        <v>636749</v>
      </c>
      <c r="D82" s="190">
        <v>619567</v>
      </c>
      <c r="E82" s="190">
        <v>102647</v>
      </c>
      <c r="F82" s="28"/>
    </row>
    <row r="83" spans="1:6" ht="33.75" customHeight="1">
      <c r="A83" s="21">
        <v>15</v>
      </c>
      <c r="B83" s="45" t="s">
        <v>567</v>
      </c>
      <c r="C83" s="191">
        <f>+C80+C81-C82</f>
        <v>9206911</v>
      </c>
      <c r="D83" s="191">
        <f>+D80+D81-D82</f>
        <v>7662689</v>
      </c>
      <c r="E83" s="191">
        <f>+E80+E81-E82</f>
        <v>8643252</v>
      </c>
      <c r="F83" s="28"/>
    </row>
    <row r="84" spans="1:6" ht="24" customHeight="1">
      <c r="A84" s="21">
        <v>16</v>
      </c>
      <c r="B84" s="48" t="s">
        <v>291</v>
      </c>
      <c r="C84" s="180">
        <f>+C11</f>
        <v>63714589</v>
      </c>
      <c r="D84" s="191">
        <f>+D11</f>
        <v>71034672</v>
      </c>
      <c r="E84" s="191">
        <f>+E11</f>
        <v>63397165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568</v>
      </c>
      <c r="C86" s="179">
        <f>IF((C90/365)=0,0,+C87/(C90/365))</f>
        <v>156.68461715976392</v>
      </c>
      <c r="D86" s="179">
        <f>IF((D90/365)=0,0,+D87/(D90/365))</f>
        <v>196.10120050178122</v>
      </c>
      <c r="E86" s="179">
        <f>IF((E90/365)=0,0,+E87/(E90/365))</f>
        <v>147.32699276401183</v>
      </c>
      <c r="F86" s="13"/>
    </row>
    <row r="87" spans="1:6" ht="24" customHeight="1">
      <c r="A87" s="21">
        <v>18</v>
      </c>
      <c r="B87" s="48" t="s">
        <v>270</v>
      </c>
      <c r="C87" s="51">
        <f>+C69</f>
        <v>32220213</v>
      </c>
      <c r="D87" s="51">
        <f>+D69</f>
        <v>39231773</v>
      </c>
      <c r="E87" s="51">
        <f>+E69</f>
        <v>26711784</v>
      </c>
      <c r="F87" s="28"/>
    </row>
    <row r="88" spans="1:6" ht="24" customHeight="1">
      <c r="A88" s="21">
        <v>19</v>
      </c>
      <c r="B88" s="48" t="s">
        <v>540</v>
      </c>
      <c r="C88" s="51">
        <f aca="true" t="shared" si="0" ref="C88:E89">+C75</f>
        <v>77430267</v>
      </c>
      <c r="D88" s="51">
        <f t="shared" si="0"/>
        <v>75843310</v>
      </c>
      <c r="E88" s="51">
        <f t="shared" si="0"/>
        <v>69149506</v>
      </c>
      <c r="F88" s="28"/>
    </row>
    <row r="89" spans="1:6" ht="24" customHeight="1">
      <c r="A89" s="21">
        <v>20</v>
      </c>
      <c r="B89" s="48" t="s">
        <v>563</v>
      </c>
      <c r="C89" s="52">
        <f t="shared" si="0"/>
        <v>2372626</v>
      </c>
      <c r="D89" s="52">
        <f t="shared" si="0"/>
        <v>2821844</v>
      </c>
      <c r="E89" s="52">
        <f t="shared" si="0"/>
        <v>2971537</v>
      </c>
      <c r="F89" s="28"/>
    </row>
    <row r="90" spans="1:6" ht="24" customHeight="1">
      <c r="A90" s="21">
        <v>21</v>
      </c>
      <c r="B90" s="48" t="s">
        <v>569</v>
      </c>
      <c r="C90" s="51">
        <f>+C88-C89</f>
        <v>75057641</v>
      </c>
      <c r="D90" s="51">
        <f>+D88-D89</f>
        <v>73021466</v>
      </c>
      <c r="E90" s="51">
        <f>+E88-E89</f>
        <v>66177969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570</v>
      </c>
      <c r="B92" s="41" t="s">
        <v>571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572</v>
      </c>
      <c r="C94" s="192">
        <f>IF(C96=0,0,(C95/C96)*100)</f>
        <v>-2.6951431014662175</v>
      </c>
      <c r="D94" s="192">
        <f>IF(D96=0,0,(D95/D96)*100)</f>
        <v>7.259879696381649</v>
      </c>
      <c r="E94" s="192">
        <f>IF(E96=0,0,(E95/E96)*100)</f>
        <v>-6.981523095024481</v>
      </c>
      <c r="F94" s="28"/>
    </row>
    <row r="95" spans="1:6" ht="24" customHeight="1">
      <c r="A95" s="21">
        <v>2</v>
      </c>
      <c r="B95" s="48" t="s">
        <v>283</v>
      </c>
      <c r="C95" s="51">
        <f>+C32</f>
        <v>-1361200</v>
      </c>
      <c r="D95" s="51">
        <f>+D32</f>
        <v>4230542</v>
      </c>
      <c r="E95" s="51">
        <f>+E32</f>
        <v>-3564128</v>
      </c>
      <c r="F95" s="28"/>
    </row>
    <row r="96" spans="1:6" ht="24" customHeight="1">
      <c r="A96" s="21">
        <v>3</v>
      </c>
      <c r="B96" s="48" t="s">
        <v>259</v>
      </c>
      <c r="C96" s="51">
        <v>50505667</v>
      </c>
      <c r="D96" s="51">
        <v>58272894</v>
      </c>
      <c r="E96" s="51">
        <v>51050866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573</v>
      </c>
      <c r="C98" s="192">
        <f>IF(C104=0,0,(C101/C104)*100)</f>
        <v>-20.09819667530968</v>
      </c>
      <c r="D98" s="192">
        <f>IF(D104=0,0,(D101/D104)*100)</f>
        <v>0.9095417799402785</v>
      </c>
      <c r="E98" s="192">
        <f>IF(E104=0,0,(E101/E104)*100)</f>
        <v>-5.692402283427326</v>
      </c>
      <c r="F98" s="28"/>
    </row>
    <row r="99" spans="1:6" ht="24" customHeight="1">
      <c r="A99" s="21">
        <v>5</v>
      </c>
      <c r="B99" s="48" t="s">
        <v>574</v>
      </c>
      <c r="C99" s="51">
        <f>+C28</f>
        <v>-12212193</v>
      </c>
      <c r="D99" s="51">
        <f>+D28</f>
        <v>-2341965</v>
      </c>
      <c r="E99" s="51">
        <f>+E28</f>
        <v>-5406103</v>
      </c>
      <c r="F99" s="28"/>
    </row>
    <row r="100" spans="1:6" ht="24" customHeight="1">
      <c r="A100" s="21">
        <v>6</v>
      </c>
      <c r="B100" s="48" t="s">
        <v>563</v>
      </c>
      <c r="C100" s="52">
        <f>+C76</f>
        <v>2372626</v>
      </c>
      <c r="D100" s="52">
        <f>+D76</f>
        <v>2821844</v>
      </c>
      <c r="E100" s="52">
        <f>+E76</f>
        <v>2971537</v>
      </c>
      <c r="F100" s="28"/>
    </row>
    <row r="101" spans="1:6" ht="24" customHeight="1">
      <c r="A101" s="21">
        <v>7</v>
      </c>
      <c r="B101" s="48" t="s">
        <v>575</v>
      </c>
      <c r="C101" s="51">
        <f>+C99+C100</f>
        <v>-9839567</v>
      </c>
      <c r="D101" s="51">
        <f>+D99+D100</f>
        <v>479879</v>
      </c>
      <c r="E101" s="51">
        <f>+E99+E100</f>
        <v>-2434566</v>
      </c>
      <c r="F101" s="28"/>
    </row>
    <row r="102" spans="1:6" ht="24" customHeight="1">
      <c r="A102" s="21">
        <v>8</v>
      </c>
      <c r="B102" s="48" t="s">
        <v>270</v>
      </c>
      <c r="C102" s="180">
        <f>+C69</f>
        <v>32220213</v>
      </c>
      <c r="D102" s="180">
        <f>+D69</f>
        <v>39231773</v>
      </c>
      <c r="E102" s="180">
        <f>+E69</f>
        <v>26711784</v>
      </c>
      <c r="F102" s="28"/>
    </row>
    <row r="103" spans="1:6" ht="24" customHeight="1">
      <c r="A103" s="21">
        <v>9</v>
      </c>
      <c r="B103" s="48" t="s">
        <v>274</v>
      </c>
      <c r="C103" s="194">
        <v>16737249</v>
      </c>
      <c r="D103" s="194">
        <v>13528750</v>
      </c>
      <c r="E103" s="194">
        <v>16056908</v>
      </c>
      <c r="F103" s="28"/>
    </row>
    <row r="104" spans="1:6" ht="24" customHeight="1">
      <c r="A104" s="21">
        <v>10</v>
      </c>
      <c r="B104" s="195" t="s">
        <v>576</v>
      </c>
      <c r="C104" s="180">
        <f>+C102+C103</f>
        <v>48957462</v>
      </c>
      <c r="D104" s="180">
        <f>+D102+D103</f>
        <v>52760523</v>
      </c>
      <c r="E104" s="180">
        <f>+E102+E103</f>
        <v>42768692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577</v>
      </c>
      <c r="C106" s="197">
        <f>IF(C109=0,0,(C107/C109)*100)</f>
        <v>108.85272933248326</v>
      </c>
      <c r="D106" s="197">
        <f>IF(D109=0,0,(D107/D109)*100)</f>
        <v>76.17843098700105</v>
      </c>
      <c r="E106" s="197">
        <f>IF(E109=0,0,(E107/E109)*100)</f>
        <v>128.5295026407253</v>
      </c>
      <c r="F106" s="28"/>
    </row>
    <row r="107" spans="1:6" ht="24" customHeight="1">
      <c r="A107" s="17">
        <v>12</v>
      </c>
      <c r="B107" s="48" t="s">
        <v>274</v>
      </c>
      <c r="C107" s="180">
        <f>+C103</f>
        <v>16737249</v>
      </c>
      <c r="D107" s="180">
        <f>+D103</f>
        <v>13528750</v>
      </c>
      <c r="E107" s="180">
        <f>+E103</f>
        <v>16056908</v>
      </c>
      <c r="F107" s="28"/>
    </row>
    <row r="108" spans="1:6" ht="24" customHeight="1">
      <c r="A108" s="17">
        <v>13</v>
      </c>
      <c r="B108" s="48" t="s">
        <v>283</v>
      </c>
      <c r="C108" s="180">
        <f>+C32</f>
        <v>-1361200</v>
      </c>
      <c r="D108" s="180">
        <f>+D32</f>
        <v>4230542</v>
      </c>
      <c r="E108" s="180">
        <f>+E32</f>
        <v>-3564128</v>
      </c>
      <c r="F108" s="28"/>
    </row>
    <row r="109" spans="1:6" ht="24" customHeight="1">
      <c r="A109" s="17">
        <v>14</v>
      </c>
      <c r="B109" s="48" t="s">
        <v>578</v>
      </c>
      <c r="C109" s="180">
        <f>+C107+C108</f>
        <v>15376049</v>
      </c>
      <c r="D109" s="180">
        <f>+D107+D108</f>
        <v>17759292</v>
      </c>
      <c r="E109" s="180">
        <f>+E107+E108</f>
        <v>12492780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579</v>
      </c>
      <c r="C111" s="197">
        <f>IF((+C113+C115)=0,0,((+C112+C113+C114)/(+C113+C115)))</f>
        <v>-9.049388175720877</v>
      </c>
      <c r="D111" s="197">
        <f>IF((+D113+D115)=0,0,((+D112+D113+D114)/(+D113+D115)))</f>
        <v>1.405590274197447</v>
      </c>
      <c r="E111" s="197">
        <f>IF((+E113+E115)=0,0,((+E112+E113+E114)/(+E113+E115)))</f>
        <v>-1.072213133141114</v>
      </c>
    </row>
    <row r="112" spans="1:6" ht="24" customHeight="1">
      <c r="A112" s="17">
        <v>16</v>
      </c>
      <c r="B112" s="48" t="s">
        <v>580</v>
      </c>
      <c r="C112" s="180">
        <f>+C17</f>
        <v>-12212193</v>
      </c>
      <c r="D112" s="180">
        <f>+D17</f>
        <v>-2341965</v>
      </c>
      <c r="E112" s="180">
        <f>+E17</f>
        <v>-5406103</v>
      </c>
      <c r="F112" s="28"/>
    </row>
    <row r="113" spans="1:6" ht="24" customHeight="1">
      <c r="A113" s="17">
        <v>17</v>
      </c>
      <c r="B113" s="48" t="s">
        <v>402</v>
      </c>
      <c r="C113" s="180">
        <v>979121</v>
      </c>
      <c r="D113" s="180">
        <v>1183162</v>
      </c>
      <c r="E113" s="180">
        <v>804653</v>
      </c>
      <c r="F113" s="28"/>
    </row>
    <row r="114" spans="1:6" ht="24" customHeight="1">
      <c r="A114" s="17">
        <v>18</v>
      </c>
      <c r="B114" s="48" t="s">
        <v>581</v>
      </c>
      <c r="C114" s="180">
        <v>2372626</v>
      </c>
      <c r="D114" s="180">
        <v>2821844</v>
      </c>
      <c r="E114" s="180">
        <v>2971537</v>
      </c>
      <c r="F114" s="28"/>
    </row>
    <row r="115" spans="1:6" ht="24" customHeight="1">
      <c r="A115" s="17">
        <v>19</v>
      </c>
      <c r="B115" s="48" t="s">
        <v>318</v>
      </c>
      <c r="C115" s="180">
        <v>0</v>
      </c>
      <c r="D115" s="180">
        <v>0</v>
      </c>
      <c r="E115" s="180">
        <v>715486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582</v>
      </c>
      <c r="B117" s="30" t="s">
        <v>583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584</v>
      </c>
      <c r="C119" s="197">
        <f>IF(+C121=0,0,(+C120)/(+C121))</f>
        <v>11.225016922178211</v>
      </c>
      <c r="D119" s="197">
        <f>IF(+D121=0,0,(+D120)/(+D121))</f>
        <v>10.37915136343469</v>
      </c>
      <c r="E119" s="197">
        <f>IF(+E121=0,0,(+E120)/(+E121))</f>
        <v>10.534685585271191</v>
      </c>
    </row>
    <row r="120" spans="1:6" ht="24" customHeight="1">
      <c r="A120" s="17">
        <v>21</v>
      </c>
      <c r="B120" s="48" t="s">
        <v>585</v>
      </c>
      <c r="C120" s="180">
        <v>26632767</v>
      </c>
      <c r="D120" s="180">
        <v>29288346</v>
      </c>
      <c r="E120" s="180">
        <v>31304208</v>
      </c>
      <c r="F120" s="28"/>
    </row>
    <row r="121" spans="1:6" ht="24" customHeight="1">
      <c r="A121" s="17">
        <v>22</v>
      </c>
      <c r="B121" s="48" t="s">
        <v>581</v>
      </c>
      <c r="C121" s="180">
        <v>2372626</v>
      </c>
      <c r="D121" s="180">
        <v>2821844</v>
      </c>
      <c r="E121" s="180">
        <v>2971537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586</v>
      </c>
      <c r="B123" s="30" t="s">
        <v>587</v>
      </c>
      <c r="C123" s="27"/>
      <c r="D123" s="27"/>
      <c r="E123" s="53"/>
    </row>
    <row r="124" spans="1:5" ht="24" customHeight="1">
      <c r="A124" s="44">
        <v>1</v>
      </c>
      <c r="B124" s="48" t="s">
        <v>588</v>
      </c>
      <c r="C124" s="198">
        <v>24905</v>
      </c>
      <c r="D124" s="198">
        <v>21656</v>
      </c>
      <c r="E124" s="198">
        <v>17998</v>
      </c>
    </row>
    <row r="125" spans="1:5" ht="24" customHeight="1">
      <c r="A125" s="44">
        <v>2</v>
      </c>
      <c r="B125" s="48" t="s">
        <v>589</v>
      </c>
      <c r="C125" s="198">
        <v>4433</v>
      </c>
      <c r="D125" s="198">
        <v>4087</v>
      </c>
      <c r="E125" s="198">
        <v>3618</v>
      </c>
    </row>
    <row r="126" spans="1:5" ht="24" customHeight="1">
      <c r="A126" s="44">
        <v>3</v>
      </c>
      <c r="B126" s="48" t="s">
        <v>590</v>
      </c>
      <c r="C126" s="199">
        <f>IF(C125=0,0,C124/C125)</f>
        <v>5.618091585833521</v>
      </c>
      <c r="D126" s="199">
        <f>IF(D125=0,0,D124/D125)</f>
        <v>5.2987521409346705</v>
      </c>
      <c r="E126" s="199">
        <f>IF(E125=0,0,E124/E125)</f>
        <v>4.974571586511885</v>
      </c>
    </row>
    <row r="127" spans="1:5" ht="24" customHeight="1">
      <c r="A127" s="44">
        <v>4</v>
      </c>
      <c r="B127" s="48" t="s">
        <v>591</v>
      </c>
      <c r="C127" s="198">
        <v>86</v>
      </c>
      <c r="D127" s="198">
        <v>72</v>
      </c>
      <c r="E127" s="198">
        <v>72</v>
      </c>
    </row>
    <row r="128" spans="1:8" ht="24" customHeight="1">
      <c r="A128" s="44">
        <v>5</v>
      </c>
      <c r="B128" s="48" t="s">
        <v>592</v>
      </c>
      <c r="C128" s="198">
        <v>0</v>
      </c>
      <c r="D128" s="198">
        <v>0</v>
      </c>
      <c r="E128" s="198">
        <v>95</v>
      </c>
      <c r="G128" s="6"/>
      <c r="H128" s="12"/>
    </row>
    <row r="129" spans="1:8" ht="24" customHeight="1">
      <c r="A129" s="44">
        <v>6</v>
      </c>
      <c r="B129" s="48" t="s">
        <v>593</v>
      </c>
      <c r="C129" s="198">
        <v>101</v>
      </c>
      <c r="D129" s="198">
        <v>101</v>
      </c>
      <c r="E129" s="198">
        <v>101</v>
      </c>
      <c r="G129" s="6"/>
      <c r="H129" s="12"/>
    </row>
    <row r="130" spans="1:5" ht="24" customHeight="1">
      <c r="A130" s="44">
        <v>6</v>
      </c>
      <c r="B130" s="48" t="s">
        <v>594</v>
      </c>
      <c r="C130" s="171">
        <v>0.7934</v>
      </c>
      <c r="D130" s="171">
        <v>0.824</v>
      </c>
      <c r="E130" s="171">
        <v>0.6848</v>
      </c>
    </row>
    <row r="131" spans="1:5" ht="24" customHeight="1">
      <c r="A131" s="44">
        <v>7</v>
      </c>
      <c r="B131" s="48" t="s">
        <v>595</v>
      </c>
      <c r="C131" s="171">
        <v>0.6755</v>
      </c>
      <c r="D131" s="171">
        <v>0.6245</v>
      </c>
      <c r="E131" s="171">
        <v>0.519</v>
      </c>
    </row>
    <row r="132" spans="1:5" ht="24" customHeight="1">
      <c r="A132" s="44">
        <v>8</v>
      </c>
      <c r="B132" s="48" t="s">
        <v>596</v>
      </c>
      <c r="C132" s="199">
        <v>509.4</v>
      </c>
      <c r="D132" s="199">
        <v>552.6</v>
      </c>
      <c r="E132" s="199">
        <v>469.2</v>
      </c>
    </row>
    <row r="133" ht="24" customHeight="1">
      <c r="B133" s="55"/>
    </row>
    <row r="134" spans="1:6" ht="19.5" customHeight="1">
      <c r="A134" s="200" t="s">
        <v>228</v>
      </c>
      <c r="B134" s="30" t="s">
        <v>597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598</v>
      </c>
      <c r="C135" s="203">
        <f>IF(C149=0,0,C143/C149)</f>
        <v>0.3956570562817546</v>
      </c>
      <c r="D135" s="203">
        <f>IF(D149=0,0,D143/D149)</f>
        <v>0.42202933180145497</v>
      </c>
      <c r="E135" s="203">
        <f>IF(E149=0,0,E143/E149)</f>
        <v>0.4194972369754605</v>
      </c>
      <c r="G135" s="6"/>
    </row>
    <row r="136" spans="1:5" ht="19.5" customHeight="1">
      <c r="A136" s="202">
        <v>2</v>
      </c>
      <c r="B136" s="195" t="s">
        <v>599</v>
      </c>
      <c r="C136" s="203">
        <f>IF(C149=0,0,C144/C149)</f>
        <v>0.47515046541972883</v>
      </c>
      <c r="D136" s="203">
        <f>IF(D149=0,0,D144/D149)</f>
        <v>0.4411575824740654</v>
      </c>
      <c r="E136" s="203">
        <f>IF(E149=0,0,E144/E149)</f>
        <v>0.4465025160339986</v>
      </c>
    </row>
    <row r="137" spans="1:7" ht="19.5" customHeight="1">
      <c r="A137" s="202">
        <v>3</v>
      </c>
      <c r="B137" s="195" t="s">
        <v>600</v>
      </c>
      <c r="C137" s="203">
        <f>IF(C149=0,0,C145/C149)</f>
        <v>0.08313255508159814</v>
      </c>
      <c r="D137" s="203">
        <f>IF(D149=0,0,D145/D149)</f>
        <v>0.08247265164668974</v>
      </c>
      <c r="E137" s="203">
        <f>IF(E149=0,0,E145/E149)</f>
        <v>0.07534765222351432</v>
      </c>
      <c r="G137" s="6"/>
    </row>
    <row r="138" spans="1:7" ht="19.5" customHeight="1">
      <c r="A138" s="202">
        <v>4</v>
      </c>
      <c r="B138" s="195" t="s">
        <v>601</v>
      </c>
      <c r="C138" s="203">
        <f>IF(C149=0,0,C146/C149)</f>
        <v>0.011379166990326305</v>
      </c>
      <c r="D138" s="203">
        <f>IF(D149=0,0,D146/D149)</f>
        <v>0.013261832901947677</v>
      </c>
      <c r="E138" s="203">
        <f>IF(E149=0,0,E146/E149)</f>
        <v>0.015067215451597357</v>
      </c>
      <c r="G138" s="6"/>
    </row>
    <row r="139" spans="1:5" ht="19.5" customHeight="1">
      <c r="A139" s="202">
        <v>5</v>
      </c>
      <c r="B139" s="195" t="s">
        <v>602</v>
      </c>
      <c r="C139" s="203">
        <f>IF(C149=0,0,C147/C149)</f>
        <v>0.031136192040431353</v>
      </c>
      <c r="D139" s="203">
        <f>IF(D149=0,0,D147/D149)</f>
        <v>0.03622848743434527</v>
      </c>
      <c r="E139" s="203">
        <f>IF(E149=0,0,E147/E149)</f>
        <v>0.03808269489738044</v>
      </c>
    </row>
    <row r="140" spans="1:5" ht="19.5" customHeight="1">
      <c r="A140" s="202">
        <v>6</v>
      </c>
      <c r="B140" s="195" t="s">
        <v>603</v>
      </c>
      <c r="C140" s="203">
        <f>IF(C149=0,0,C148/C149)</f>
        <v>0.003544564186160732</v>
      </c>
      <c r="D140" s="203">
        <f>IF(D149=0,0,D148/D149)</f>
        <v>0.0048501137414969754</v>
      </c>
      <c r="E140" s="203">
        <f>IF(E149=0,0,E148/E149)</f>
        <v>0.005502684418048797</v>
      </c>
    </row>
    <row r="141" spans="1:5" ht="19.5" customHeight="1">
      <c r="A141" s="202">
        <v>7</v>
      </c>
      <c r="B141" s="195" t="s">
        <v>604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605</v>
      </c>
      <c r="C143" s="204">
        <f>+C46-C147</f>
        <v>82673135</v>
      </c>
      <c r="D143" s="205">
        <f>+D46-D147</f>
        <v>99854410</v>
      </c>
      <c r="E143" s="205">
        <f>+E46-E147</f>
        <v>82051367</v>
      </c>
    </row>
    <row r="144" spans="1:5" ht="19.5" customHeight="1">
      <c r="A144" s="202">
        <v>9</v>
      </c>
      <c r="B144" s="201" t="s">
        <v>606</v>
      </c>
      <c r="C144" s="206">
        <f>+C51</f>
        <v>99283402</v>
      </c>
      <c r="D144" s="205">
        <f>+D51</f>
        <v>104380257</v>
      </c>
      <c r="E144" s="205">
        <f>+E51</f>
        <v>87333452</v>
      </c>
    </row>
    <row r="145" spans="1:5" ht="19.5" customHeight="1">
      <c r="A145" s="202">
        <v>10</v>
      </c>
      <c r="B145" s="201" t="s">
        <v>607</v>
      </c>
      <c r="C145" s="206">
        <f>+C55</f>
        <v>17370672</v>
      </c>
      <c r="D145" s="205">
        <f>+D55</f>
        <v>19513473</v>
      </c>
      <c r="E145" s="205">
        <f>+E55</f>
        <v>14737589</v>
      </c>
    </row>
    <row r="146" spans="1:5" ht="19.5" customHeight="1">
      <c r="A146" s="202">
        <v>11</v>
      </c>
      <c r="B146" s="201" t="s">
        <v>608</v>
      </c>
      <c r="C146" s="204">
        <v>2377694</v>
      </c>
      <c r="D146" s="205">
        <v>3137821</v>
      </c>
      <c r="E146" s="205">
        <v>2947065</v>
      </c>
    </row>
    <row r="147" spans="1:5" ht="19.5" customHeight="1">
      <c r="A147" s="202">
        <v>12</v>
      </c>
      <c r="B147" s="201" t="s">
        <v>609</v>
      </c>
      <c r="C147" s="206">
        <f>+C47</f>
        <v>6505954</v>
      </c>
      <c r="D147" s="205">
        <f>+D47</f>
        <v>8571855</v>
      </c>
      <c r="E147" s="205">
        <f>+E47</f>
        <v>7448767</v>
      </c>
    </row>
    <row r="148" spans="1:5" ht="19.5" customHeight="1">
      <c r="A148" s="202">
        <v>13</v>
      </c>
      <c r="B148" s="201" t="s">
        <v>610</v>
      </c>
      <c r="C148" s="206">
        <v>740642</v>
      </c>
      <c r="D148" s="205">
        <v>1147563</v>
      </c>
      <c r="E148" s="205">
        <v>1076295</v>
      </c>
    </row>
    <row r="149" spans="1:5" ht="19.5" customHeight="1">
      <c r="A149" s="202">
        <v>14</v>
      </c>
      <c r="B149" s="201" t="s">
        <v>611</v>
      </c>
      <c r="C149" s="204">
        <f>SUM(C143:C148)</f>
        <v>208951499</v>
      </c>
      <c r="D149" s="205">
        <f>SUM(D143:D148)</f>
        <v>236605379</v>
      </c>
      <c r="E149" s="205">
        <f>SUM(E143:E148)</f>
        <v>195594535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612</v>
      </c>
      <c r="B151" s="30" t="s">
        <v>613</v>
      </c>
      <c r="C151" s="201"/>
      <c r="D151" s="201"/>
      <c r="E151" s="201"/>
    </row>
    <row r="152" spans="1:5" ht="19.5" customHeight="1">
      <c r="A152" s="202">
        <v>1</v>
      </c>
      <c r="B152" s="195" t="s">
        <v>614</v>
      </c>
      <c r="C152" s="203">
        <f>IF(C166=0,0,C160/C166)</f>
        <v>0.4554231547686115</v>
      </c>
      <c r="D152" s="203">
        <f>IF(D166=0,0,D160/D166)</f>
        <v>0.5468055595222453</v>
      </c>
      <c r="E152" s="203">
        <f>IF(E166=0,0,E160/E166)</f>
        <v>0.5803379220506154</v>
      </c>
    </row>
    <row r="153" spans="1:5" ht="19.5" customHeight="1">
      <c r="A153" s="202">
        <v>2</v>
      </c>
      <c r="B153" s="195" t="s">
        <v>615</v>
      </c>
      <c r="C153" s="203">
        <f>IF(C166=0,0,C161/C166)</f>
        <v>0.44411720729037746</v>
      </c>
      <c r="D153" s="203">
        <f>IF(D166=0,0,D161/D166)</f>
        <v>0.34855984549895946</v>
      </c>
      <c r="E153" s="203">
        <f>IF(E166=0,0,E161/E166)</f>
        <v>0.34386862567119525</v>
      </c>
    </row>
    <row r="154" spans="1:5" ht="19.5" customHeight="1">
      <c r="A154" s="202">
        <v>3</v>
      </c>
      <c r="B154" s="195" t="s">
        <v>616</v>
      </c>
      <c r="C154" s="203">
        <f>IF(C166=0,0,C162/C166)</f>
        <v>0.07145236813771999</v>
      </c>
      <c r="D154" s="203">
        <f>IF(D166=0,0,D162/D166)</f>
        <v>0.05894071486900844</v>
      </c>
      <c r="E154" s="203">
        <f>IF(E166=0,0,E162/E166)</f>
        <v>0.05631795995925054</v>
      </c>
    </row>
    <row r="155" spans="1:7" ht="19.5" customHeight="1">
      <c r="A155" s="202">
        <v>4</v>
      </c>
      <c r="B155" s="195" t="s">
        <v>617</v>
      </c>
      <c r="C155" s="203">
        <f>IF(C166=0,0,C163/C166)</f>
        <v>0.011496913992928265</v>
      </c>
      <c r="D155" s="203">
        <f>IF(D166=0,0,D163/D166)</f>
        <v>0.005362351215192721</v>
      </c>
      <c r="E155" s="203">
        <f>IF(E166=0,0,E163/E166)</f>
        <v>0.00414895524113736</v>
      </c>
      <c r="G155" s="6"/>
    </row>
    <row r="156" spans="1:5" ht="19.5" customHeight="1">
      <c r="A156" s="202">
        <v>5</v>
      </c>
      <c r="B156" s="195" t="s">
        <v>618</v>
      </c>
      <c r="C156" s="203">
        <f>IF(C166=0,0,C164/C166)</f>
        <v>0.012255950437714177</v>
      </c>
      <c r="D156" s="203">
        <f>IF(D166=0,0,D164/D166)</f>
        <v>0.035506752573425567</v>
      </c>
      <c r="E156" s="203">
        <f>IF(E166=0,0,E164/E166)</f>
        <v>0.012911350215739142</v>
      </c>
    </row>
    <row r="157" spans="1:5" ht="19.5" customHeight="1">
      <c r="A157" s="202">
        <v>6</v>
      </c>
      <c r="B157" s="195" t="s">
        <v>619</v>
      </c>
      <c r="C157" s="203">
        <f>IF(C166=0,0,C165/C166)</f>
        <v>0.0052544053726486335</v>
      </c>
      <c r="D157" s="203">
        <f>IF(D166=0,0,D165/D166)</f>
        <v>0.004824776321168514</v>
      </c>
      <c r="E157" s="203">
        <f>IF(E166=0,0,E165/E166)</f>
        <v>0.0024151868620623652</v>
      </c>
    </row>
    <row r="158" spans="1:5" ht="19.5" customHeight="1">
      <c r="A158" s="202">
        <v>7</v>
      </c>
      <c r="B158" s="195" t="s">
        <v>620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621</v>
      </c>
      <c r="C160" s="207">
        <f>+C44-C164</f>
        <v>25460472</v>
      </c>
      <c r="D160" s="208">
        <f>+D44-D164</f>
        <v>38731835</v>
      </c>
      <c r="E160" s="208">
        <f>+E44-E164</f>
        <v>36791779</v>
      </c>
    </row>
    <row r="161" spans="1:5" ht="19.5" customHeight="1">
      <c r="A161" s="202">
        <v>9</v>
      </c>
      <c r="B161" s="201" t="s">
        <v>622</v>
      </c>
      <c r="C161" s="209">
        <f>+C50</f>
        <v>24828412</v>
      </c>
      <c r="D161" s="208">
        <f>+D50</f>
        <v>24689512</v>
      </c>
      <c r="E161" s="208">
        <f>+E50</f>
        <v>21800296</v>
      </c>
    </row>
    <row r="162" spans="1:5" ht="19.5" customHeight="1">
      <c r="A162" s="202">
        <v>10</v>
      </c>
      <c r="B162" s="201" t="s">
        <v>623</v>
      </c>
      <c r="C162" s="209">
        <f>+C54</f>
        <v>3994551</v>
      </c>
      <c r="D162" s="208">
        <f>+D54</f>
        <v>4174943</v>
      </c>
      <c r="E162" s="208">
        <f>+E54</f>
        <v>3570399</v>
      </c>
    </row>
    <row r="163" spans="1:5" ht="19.5" customHeight="1">
      <c r="A163" s="202">
        <v>11</v>
      </c>
      <c r="B163" s="201" t="s">
        <v>624</v>
      </c>
      <c r="C163" s="207">
        <v>642736</v>
      </c>
      <c r="D163" s="208">
        <v>379831</v>
      </c>
      <c r="E163" s="208">
        <v>263032</v>
      </c>
    </row>
    <row r="164" spans="1:5" ht="19.5" customHeight="1">
      <c r="A164" s="202">
        <v>12</v>
      </c>
      <c r="B164" s="201" t="s">
        <v>625</v>
      </c>
      <c r="C164" s="209">
        <f>+C45</f>
        <v>685170</v>
      </c>
      <c r="D164" s="208">
        <f>+D45</f>
        <v>2515047</v>
      </c>
      <c r="E164" s="208">
        <f>+E45</f>
        <v>818543</v>
      </c>
    </row>
    <row r="165" spans="1:5" ht="19.5" customHeight="1">
      <c r="A165" s="202">
        <v>13</v>
      </c>
      <c r="B165" s="201" t="s">
        <v>626</v>
      </c>
      <c r="C165" s="209">
        <v>293748</v>
      </c>
      <c r="D165" s="208">
        <v>341753</v>
      </c>
      <c r="E165" s="208">
        <v>153116</v>
      </c>
    </row>
    <row r="166" spans="1:5" ht="19.5" customHeight="1">
      <c r="A166" s="202">
        <v>14</v>
      </c>
      <c r="B166" s="201" t="s">
        <v>627</v>
      </c>
      <c r="C166" s="207">
        <f>SUM(C160:C165)</f>
        <v>55905089</v>
      </c>
      <c r="D166" s="208">
        <f>SUM(D160:D165)</f>
        <v>70832921</v>
      </c>
      <c r="E166" s="208">
        <f>SUM(E160:E165)</f>
        <v>63397165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628</v>
      </c>
      <c r="B168" s="30" t="s">
        <v>589</v>
      </c>
      <c r="C168" s="201"/>
      <c r="D168" s="201"/>
      <c r="E168" s="201"/>
    </row>
    <row r="169" spans="1:5" ht="19.5" customHeight="1">
      <c r="A169" s="202">
        <v>1</v>
      </c>
      <c r="B169" s="201" t="s">
        <v>629</v>
      </c>
      <c r="C169" s="198">
        <v>1420</v>
      </c>
      <c r="D169" s="198">
        <v>1378</v>
      </c>
      <c r="E169" s="198">
        <v>1333</v>
      </c>
    </row>
    <row r="170" spans="1:5" ht="19.5" customHeight="1">
      <c r="A170" s="202">
        <v>2</v>
      </c>
      <c r="B170" s="201" t="s">
        <v>630</v>
      </c>
      <c r="C170" s="198">
        <v>2322</v>
      </c>
      <c r="D170" s="198">
        <v>2026</v>
      </c>
      <c r="E170" s="198">
        <v>1807</v>
      </c>
    </row>
    <row r="171" spans="1:5" ht="19.5" customHeight="1">
      <c r="A171" s="202">
        <v>3</v>
      </c>
      <c r="B171" s="201" t="s">
        <v>631</v>
      </c>
      <c r="C171" s="198">
        <v>676</v>
      </c>
      <c r="D171" s="198">
        <v>660</v>
      </c>
      <c r="E171" s="198">
        <v>456</v>
      </c>
    </row>
    <row r="172" spans="1:5" ht="19.5" customHeight="1">
      <c r="A172" s="202">
        <v>4</v>
      </c>
      <c r="B172" s="201" t="s">
        <v>632</v>
      </c>
      <c r="C172" s="198">
        <v>617</v>
      </c>
      <c r="D172" s="198">
        <v>605</v>
      </c>
      <c r="E172" s="198">
        <v>404</v>
      </c>
    </row>
    <row r="173" spans="1:5" ht="19.5" customHeight="1">
      <c r="A173" s="202">
        <v>5</v>
      </c>
      <c r="B173" s="201" t="s">
        <v>633</v>
      </c>
      <c r="C173" s="198">
        <v>59</v>
      </c>
      <c r="D173" s="198">
        <v>55</v>
      </c>
      <c r="E173" s="198">
        <v>52</v>
      </c>
    </row>
    <row r="174" spans="1:5" ht="19.5" customHeight="1">
      <c r="A174" s="202">
        <v>6</v>
      </c>
      <c r="B174" s="201" t="s">
        <v>634</v>
      </c>
      <c r="C174" s="198">
        <v>15</v>
      </c>
      <c r="D174" s="198">
        <v>23</v>
      </c>
      <c r="E174" s="198">
        <v>22</v>
      </c>
    </row>
    <row r="175" spans="1:5" ht="19.5" customHeight="1">
      <c r="A175" s="202">
        <v>7</v>
      </c>
      <c r="B175" s="201" t="s">
        <v>635</v>
      </c>
      <c r="C175" s="198">
        <v>78</v>
      </c>
      <c r="D175" s="198">
        <v>52</v>
      </c>
      <c r="E175" s="198">
        <v>114</v>
      </c>
    </row>
    <row r="176" spans="1:5" ht="19.5" customHeight="1">
      <c r="A176" s="202">
        <v>8</v>
      </c>
      <c r="B176" s="201" t="s">
        <v>636</v>
      </c>
      <c r="C176" s="198">
        <f>+C169+C170+C171+C174</f>
        <v>4433</v>
      </c>
      <c r="D176" s="198">
        <f>+D169+D170+D171+D174</f>
        <v>4087</v>
      </c>
      <c r="E176" s="198">
        <f>+E169+E170+E171+E174</f>
        <v>3618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637</v>
      </c>
      <c r="B178" s="30" t="s">
        <v>638</v>
      </c>
      <c r="C178" s="201"/>
      <c r="D178" s="201"/>
      <c r="E178" s="201"/>
    </row>
    <row r="179" spans="1:5" ht="19.5" customHeight="1">
      <c r="A179" s="202">
        <v>1</v>
      </c>
      <c r="B179" s="201" t="s">
        <v>629</v>
      </c>
      <c r="C179" s="210">
        <v>0.8821</v>
      </c>
      <c r="D179" s="210">
        <v>1.0019</v>
      </c>
      <c r="E179" s="210">
        <v>1.0234</v>
      </c>
    </row>
    <row r="180" spans="1:5" ht="19.5" customHeight="1">
      <c r="A180" s="202">
        <v>2</v>
      </c>
      <c r="B180" s="201" t="s">
        <v>630</v>
      </c>
      <c r="C180" s="210">
        <v>1.1795</v>
      </c>
      <c r="D180" s="210">
        <v>1.2578</v>
      </c>
      <c r="E180" s="210">
        <v>1.29252</v>
      </c>
    </row>
    <row r="181" spans="1:5" ht="19.5" customHeight="1">
      <c r="A181" s="202">
        <v>3</v>
      </c>
      <c r="B181" s="201" t="s">
        <v>631</v>
      </c>
      <c r="C181" s="210">
        <v>0.770579</v>
      </c>
      <c r="D181" s="210">
        <v>0.8408</v>
      </c>
      <c r="E181" s="210">
        <v>0.962631</v>
      </c>
    </row>
    <row r="182" spans="1:5" ht="19.5" customHeight="1">
      <c r="A182" s="202">
        <v>4</v>
      </c>
      <c r="B182" s="201" t="s">
        <v>632</v>
      </c>
      <c r="C182" s="210">
        <v>0.7349</v>
      </c>
      <c r="D182" s="210">
        <v>0.8408</v>
      </c>
      <c r="E182" s="210">
        <v>0.9272</v>
      </c>
    </row>
    <row r="183" spans="1:5" ht="19.5" customHeight="1">
      <c r="A183" s="202">
        <v>5</v>
      </c>
      <c r="B183" s="201" t="s">
        <v>633</v>
      </c>
      <c r="C183" s="210">
        <v>1.1437</v>
      </c>
      <c r="D183" s="210">
        <v>0.8408</v>
      </c>
      <c r="E183" s="210">
        <v>1.23791</v>
      </c>
    </row>
    <row r="184" spans="1:5" ht="19.5" customHeight="1">
      <c r="A184" s="202">
        <v>6</v>
      </c>
      <c r="B184" s="201" t="s">
        <v>634</v>
      </c>
      <c r="C184" s="210">
        <v>0.7384</v>
      </c>
      <c r="D184" s="210">
        <v>0.8516</v>
      </c>
      <c r="E184" s="210">
        <v>1.1757</v>
      </c>
    </row>
    <row r="185" spans="1:5" ht="19.5" customHeight="1">
      <c r="A185" s="202">
        <v>7</v>
      </c>
      <c r="B185" s="201" t="s">
        <v>635</v>
      </c>
      <c r="C185" s="210">
        <v>0.9343</v>
      </c>
      <c r="D185" s="210">
        <v>0.97532</v>
      </c>
      <c r="E185" s="210">
        <v>1.1298</v>
      </c>
    </row>
    <row r="186" spans="1:5" ht="19.5" customHeight="1">
      <c r="A186" s="202">
        <v>8</v>
      </c>
      <c r="B186" s="201" t="s">
        <v>639</v>
      </c>
      <c r="C186" s="210">
        <v>1.020385</v>
      </c>
      <c r="D186" s="210">
        <v>1.101892</v>
      </c>
      <c r="E186" s="210">
        <v>1.151078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640</v>
      </c>
      <c r="B188" s="30" t="s">
        <v>641</v>
      </c>
      <c r="C188" s="201"/>
      <c r="D188" s="201"/>
      <c r="E188" s="201"/>
    </row>
    <row r="189" spans="1:5" ht="19.5" customHeight="1">
      <c r="A189" s="202">
        <v>1</v>
      </c>
      <c r="B189" s="201" t="s">
        <v>642</v>
      </c>
      <c r="C189" s="198">
        <v>3273</v>
      </c>
      <c r="D189" s="198">
        <v>2978</v>
      </c>
      <c r="E189" s="198">
        <v>3027</v>
      </c>
    </row>
    <row r="190" spans="1:5" ht="19.5" customHeight="1">
      <c r="A190" s="202">
        <v>2</v>
      </c>
      <c r="B190" s="201" t="s">
        <v>643</v>
      </c>
      <c r="C190" s="198">
        <v>18110</v>
      </c>
      <c r="D190" s="198">
        <v>17766</v>
      </c>
      <c r="E190" s="198">
        <v>17336</v>
      </c>
    </row>
    <row r="191" spans="1:5" ht="19.5" customHeight="1">
      <c r="A191" s="202">
        <v>3</v>
      </c>
      <c r="B191" s="201" t="s">
        <v>644</v>
      </c>
      <c r="C191" s="198">
        <f>+C190+C189</f>
        <v>21383</v>
      </c>
      <c r="D191" s="198">
        <f>+D190+D189</f>
        <v>20744</v>
      </c>
      <c r="E191" s="198">
        <f>+E190+E189</f>
        <v>20363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FILING&amp;RJOHNSON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E8" sqref="E8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4" width="21.140625" style="211" customWidth="1"/>
    <col min="5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216</v>
      </c>
      <c r="B2" s="687"/>
      <c r="C2" s="687"/>
      <c r="D2" s="687"/>
      <c r="E2" s="687"/>
      <c r="F2" s="687"/>
    </row>
    <row r="3" spans="1:6" ht="20.25" customHeight="1">
      <c r="A3" s="687" t="s">
        <v>217</v>
      </c>
      <c r="B3" s="687"/>
      <c r="C3" s="687"/>
      <c r="D3" s="687"/>
      <c r="E3" s="687"/>
      <c r="F3" s="687"/>
    </row>
    <row r="4" spans="1:6" ht="20.25" customHeight="1">
      <c r="A4" s="687" t="s">
        <v>218</v>
      </c>
      <c r="B4" s="687"/>
      <c r="C4" s="687"/>
      <c r="D4" s="687"/>
      <c r="E4" s="687"/>
      <c r="F4" s="687"/>
    </row>
    <row r="5" spans="1:6" ht="20.25" customHeight="1">
      <c r="A5" s="687" t="s">
        <v>645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370</v>
      </c>
      <c r="B8" s="221" t="s">
        <v>225</v>
      </c>
      <c r="C8" s="222" t="s">
        <v>646</v>
      </c>
      <c r="D8" s="223" t="s">
        <v>647</v>
      </c>
      <c r="E8" s="223" t="s">
        <v>648</v>
      </c>
      <c r="F8" s="224" t="s">
        <v>324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228</v>
      </c>
      <c r="B10" s="681" t="s">
        <v>329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326</v>
      </c>
      <c r="B13" s="231" t="s">
        <v>649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650</v>
      </c>
      <c r="C14" s="237">
        <v>0</v>
      </c>
      <c r="D14" s="237">
        <v>202207</v>
      </c>
      <c r="E14" s="237">
        <f aca="true" t="shared" si="0" ref="E14:E24">D14-C14</f>
        <v>202207</v>
      </c>
      <c r="F14" s="238">
        <f aca="true" t="shared" si="1" ref="F14:F24">IF(C14=0,0,E14/C14)</f>
        <v>0</v>
      </c>
    </row>
    <row r="15" spans="1:6" ht="20.25" customHeight="1">
      <c r="A15" s="235">
        <v>2</v>
      </c>
      <c r="B15" s="236" t="s">
        <v>651</v>
      </c>
      <c r="C15" s="237">
        <v>0</v>
      </c>
      <c r="D15" s="237">
        <v>50794</v>
      </c>
      <c r="E15" s="237">
        <f t="shared" si="0"/>
        <v>50794</v>
      </c>
      <c r="F15" s="238">
        <f t="shared" si="1"/>
        <v>0</v>
      </c>
    </row>
    <row r="16" spans="1:6" ht="20.25" customHeight="1">
      <c r="A16" s="235">
        <v>3</v>
      </c>
      <c r="B16" s="236" t="s">
        <v>652</v>
      </c>
      <c r="C16" s="237">
        <v>75390</v>
      </c>
      <c r="D16" s="237">
        <v>73350</v>
      </c>
      <c r="E16" s="237">
        <f t="shared" si="0"/>
        <v>-2040</v>
      </c>
      <c r="F16" s="238">
        <f t="shared" si="1"/>
        <v>-0.027059291683247114</v>
      </c>
    </row>
    <row r="17" spans="1:6" ht="20.25" customHeight="1">
      <c r="A17" s="235">
        <v>4</v>
      </c>
      <c r="B17" s="236" t="s">
        <v>653</v>
      </c>
      <c r="C17" s="237">
        <v>23484</v>
      </c>
      <c r="D17" s="237">
        <v>33734</v>
      </c>
      <c r="E17" s="237">
        <f t="shared" si="0"/>
        <v>10250</v>
      </c>
      <c r="F17" s="238">
        <f t="shared" si="1"/>
        <v>0.4364673820473514</v>
      </c>
    </row>
    <row r="18" spans="1:6" ht="20.25" customHeight="1">
      <c r="A18" s="235">
        <v>5</v>
      </c>
      <c r="B18" s="236" t="s">
        <v>589</v>
      </c>
      <c r="C18" s="239">
        <v>0</v>
      </c>
      <c r="D18" s="239">
        <v>6</v>
      </c>
      <c r="E18" s="239">
        <f t="shared" si="0"/>
        <v>6</v>
      </c>
      <c r="F18" s="238">
        <f t="shared" si="1"/>
        <v>0</v>
      </c>
    </row>
    <row r="19" spans="1:6" ht="20.25" customHeight="1">
      <c r="A19" s="235">
        <v>6</v>
      </c>
      <c r="B19" s="236" t="s">
        <v>588</v>
      </c>
      <c r="C19" s="239">
        <v>0</v>
      </c>
      <c r="D19" s="239">
        <v>22</v>
      </c>
      <c r="E19" s="239">
        <f t="shared" si="0"/>
        <v>22</v>
      </c>
      <c r="F19" s="238">
        <f t="shared" si="1"/>
        <v>0</v>
      </c>
    </row>
    <row r="20" spans="1:6" ht="20.25" customHeight="1">
      <c r="A20" s="235">
        <v>7</v>
      </c>
      <c r="B20" s="236" t="s">
        <v>654</v>
      </c>
      <c r="C20" s="239">
        <v>43</v>
      </c>
      <c r="D20" s="239">
        <v>39</v>
      </c>
      <c r="E20" s="239">
        <f t="shared" si="0"/>
        <v>-4</v>
      </c>
      <c r="F20" s="238">
        <f t="shared" si="1"/>
        <v>-0.09302325581395349</v>
      </c>
    </row>
    <row r="21" spans="1:6" ht="20.25" customHeight="1">
      <c r="A21" s="235">
        <v>8</v>
      </c>
      <c r="B21" s="236" t="s">
        <v>655</v>
      </c>
      <c r="C21" s="239">
        <v>0</v>
      </c>
      <c r="D21" s="239">
        <v>12</v>
      </c>
      <c r="E21" s="239">
        <f t="shared" si="0"/>
        <v>12</v>
      </c>
      <c r="F21" s="238">
        <f t="shared" si="1"/>
        <v>0</v>
      </c>
    </row>
    <row r="22" spans="1:6" ht="20.25" customHeight="1">
      <c r="A22" s="235">
        <v>9</v>
      </c>
      <c r="B22" s="236" t="s">
        <v>656</v>
      </c>
      <c r="C22" s="239">
        <v>0</v>
      </c>
      <c r="D22" s="239">
        <v>6</v>
      </c>
      <c r="E22" s="239">
        <f t="shared" si="0"/>
        <v>6</v>
      </c>
      <c r="F22" s="238">
        <f t="shared" si="1"/>
        <v>0</v>
      </c>
    </row>
    <row r="23" spans="1:6" s="240" customFormat="1" ht="20.25" customHeight="1">
      <c r="A23" s="241"/>
      <c r="B23" s="242" t="s">
        <v>657</v>
      </c>
      <c r="C23" s="243">
        <f>+C14+C16</f>
        <v>75390</v>
      </c>
      <c r="D23" s="243">
        <f>+D14+D16</f>
        <v>275557</v>
      </c>
      <c r="E23" s="243">
        <f t="shared" si="0"/>
        <v>200167</v>
      </c>
      <c r="F23" s="244">
        <f t="shared" si="1"/>
        <v>2.655086881549277</v>
      </c>
    </row>
    <row r="24" spans="1:6" s="240" customFormat="1" ht="20.25" customHeight="1">
      <c r="A24" s="241"/>
      <c r="B24" s="242" t="s">
        <v>658</v>
      </c>
      <c r="C24" s="243">
        <f>+C15+C17</f>
        <v>23484</v>
      </c>
      <c r="D24" s="243">
        <f>+D15+D17</f>
        <v>84528</v>
      </c>
      <c r="E24" s="243">
        <f t="shared" si="0"/>
        <v>61044</v>
      </c>
      <c r="F24" s="244">
        <f t="shared" si="1"/>
        <v>2.599386816555953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340</v>
      </c>
      <c r="B26" s="231" t="s">
        <v>659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650</v>
      </c>
      <c r="C27" s="237">
        <v>0</v>
      </c>
      <c r="D27" s="237">
        <v>167344</v>
      </c>
      <c r="E27" s="237">
        <f aca="true" t="shared" si="2" ref="E27:E37">D27-C27</f>
        <v>167344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651</v>
      </c>
      <c r="C28" s="237">
        <v>0</v>
      </c>
      <c r="D28" s="237">
        <v>50789</v>
      </c>
      <c r="E28" s="237">
        <f t="shared" si="2"/>
        <v>50789</v>
      </c>
      <c r="F28" s="238">
        <f t="shared" si="3"/>
        <v>0</v>
      </c>
    </row>
    <row r="29" spans="1:6" ht="20.25" customHeight="1">
      <c r="A29" s="235">
        <v>3</v>
      </c>
      <c r="B29" s="236" t="s">
        <v>652</v>
      </c>
      <c r="C29" s="237">
        <v>0</v>
      </c>
      <c r="D29" s="237">
        <v>67387</v>
      </c>
      <c r="E29" s="237">
        <f t="shared" si="2"/>
        <v>67387</v>
      </c>
      <c r="F29" s="238">
        <f t="shared" si="3"/>
        <v>0</v>
      </c>
    </row>
    <row r="30" spans="1:6" ht="20.25" customHeight="1">
      <c r="A30" s="235">
        <v>4</v>
      </c>
      <c r="B30" s="236" t="s">
        <v>653</v>
      </c>
      <c r="C30" s="237">
        <v>0</v>
      </c>
      <c r="D30" s="237">
        <v>14070</v>
      </c>
      <c r="E30" s="237">
        <f t="shared" si="2"/>
        <v>14070</v>
      </c>
      <c r="F30" s="238">
        <f t="shared" si="3"/>
        <v>0</v>
      </c>
    </row>
    <row r="31" spans="1:6" ht="20.25" customHeight="1">
      <c r="A31" s="235">
        <v>5</v>
      </c>
      <c r="B31" s="236" t="s">
        <v>589</v>
      </c>
      <c r="C31" s="239">
        <v>0</v>
      </c>
      <c r="D31" s="239">
        <v>4</v>
      </c>
      <c r="E31" s="239">
        <f t="shared" si="2"/>
        <v>4</v>
      </c>
      <c r="F31" s="238">
        <f t="shared" si="3"/>
        <v>0</v>
      </c>
    </row>
    <row r="32" spans="1:6" ht="20.25" customHeight="1">
      <c r="A32" s="235">
        <v>6</v>
      </c>
      <c r="B32" s="236" t="s">
        <v>588</v>
      </c>
      <c r="C32" s="239">
        <v>0</v>
      </c>
      <c r="D32" s="239">
        <v>14</v>
      </c>
      <c r="E32" s="239">
        <f t="shared" si="2"/>
        <v>14</v>
      </c>
      <c r="F32" s="238">
        <f t="shared" si="3"/>
        <v>0</v>
      </c>
    </row>
    <row r="33" spans="1:6" ht="20.25" customHeight="1">
      <c r="A33" s="235">
        <v>7</v>
      </c>
      <c r="B33" s="236" t="s">
        <v>654</v>
      </c>
      <c r="C33" s="239">
        <v>0</v>
      </c>
      <c r="D33" s="239">
        <v>42</v>
      </c>
      <c r="E33" s="239">
        <f t="shared" si="2"/>
        <v>42</v>
      </c>
      <c r="F33" s="238">
        <f t="shared" si="3"/>
        <v>0</v>
      </c>
    </row>
    <row r="34" spans="1:6" ht="20.25" customHeight="1">
      <c r="A34" s="235">
        <v>8</v>
      </c>
      <c r="B34" s="236" t="s">
        <v>655</v>
      </c>
      <c r="C34" s="239">
        <v>0</v>
      </c>
      <c r="D34" s="239">
        <v>5</v>
      </c>
      <c r="E34" s="239">
        <f t="shared" si="2"/>
        <v>5</v>
      </c>
      <c r="F34" s="238">
        <f t="shared" si="3"/>
        <v>0</v>
      </c>
    </row>
    <row r="35" spans="1:6" ht="20.25" customHeight="1">
      <c r="A35" s="235">
        <v>9</v>
      </c>
      <c r="B35" s="236" t="s">
        <v>656</v>
      </c>
      <c r="C35" s="239">
        <v>0</v>
      </c>
      <c r="D35" s="239">
        <v>4</v>
      </c>
      <c r="E35" s="239">
        <f t="shared" si="2"/>
        <v>4</v>
      </c>
      <c r="F35" s="238">
        <f t="shared" si="3"/>
        <v>0</v>
      </c>
    </row>
    <row r="36" spans="1:6" s="240" customFormat="1" ht="20.25" customHeight="1">
      <c r="A36" s="241"/>
      <c r="B36" s="242" t="s">
        <v>657</v>
      </c>
      <c r="C36" s="243">
        <f>+C27+C29</f>
        <v>0</v>
      </c>
      <c r="D36" s="243">
        <f>+D27+D29</f>
        <v>234731</v>
      </c>
      <c r="E36" s="243">
        <f t="shared" si="2"/>
        <v>234731</v>
      </c>
      <c r="F36" s="244">
        <f t="shared" si="3"/>
        <v>0</v>
      </c>
    </row>
    <row r="37" spans="1:6" s="240" customFormat="1" ht="20.25" customHeight="1">
      <c r="A37" s="241"/>
      <c r="B37" s="242" t="s">
        <v>658</v>
      </c>
      <c r="C37" s="243">
        <f>+C28+C30</f>
        <v>0</v>
      </c>
      <c r="D37" s="243">
        <f>+D28+D30</f>
        <v>64859</v>
      </c>
      <c r="E37" s="243">
        <f t="shared" si="2"/>
        <v>64859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357</v>
      </c>
      <c r="B39" s="231" t="s">
        <v>660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650</v>
      </c>
      <c r="C40" s="237">
        <v>14246</v>
      </c>
      <c r="D40" s="237">
        <v>1115625</v>
      </c>
      <c r="E40" s="237">
        <f aca="true" t="shared" si="4" ref="E40:E50">D40-C40</f>
        <v>1101379</v>
      </c>
      <c r="F40" s="238">
        <f aca="true" t="shared" si="5" ref="F40:F50">IF(C40=0,0,E40/C40)</f>
        <v>77.31145584725537</v>
      </c>
    </row>
    <row r="41" spans="1:6" ht="20.25" customHeight="1">
      <c r="A41" s="235">
        <v>2</v>
      </c>
      <c r="B41" s="236" t="s">
        <v>651</v>
      </c>
      <c r="C41" s="237">
        <v>6584</v>
      </c>
      <c r="D41" s="237">
        <v>222009</v>
      </c>
      <c r="E41" s="237">
        <f t="shared" si="4"/>
        <v>215425</v>
      </c>
      <c r="F41" s="238">
        <f t="shared" si="5"/>
        <v>32.71947144592953</v>
      </c>
    </row>
    <row r="42" spans="1:6" ht="20.25" customHeight="1">
      <c r="A42" s="235">
        <v>3</v>
      </c>
      <c r="B42" s="236" t="s">
        <v>652</v>
      </c>
      <c r="C42" s="237">
        <v>155254</v>
      </c>
      <c r="D42" s="237">
        <v>957130</v>
      </c>
      <c r="E42" s="237">
        <f t="shared" si="4"/>
        <v>801876</v>
      </c>
      <c r="F42" s="238">
        <f t="shared" si="5"/>
        <v>5.164929728058536</v>
      </c>
    </row>
    <row r="43" spans="1:6" ht="20.25" customHeight="1">
      <c r="A43" s="235">
        <v>4</v>
      </c>
      <c r="B43" s="236" t="s">
        <v>653</v>
      </c>
      <c r="C43" s="237">
        <v>27822</v>
      </c>
      <c r="D43" s="237">
        <v>184821</v>
      </c>
      <c r="E43" s="237">
        <f t="shared" si="4"/>
        <v>156999</v>
      </c>
      <c r="F43" s="238">
        <f t="shared" si="5"/>
        <v>5.6429803752426135</v>
      </c>
    </row>
    <row r="44" spans="1:6" ht="20.25" customHeight="1">
      <c r="A44" s="235">
        <v>5</v>
      </c>
      <c r="B44" s="236" t="s">
        <v>589</v>
      </c>
      <c r="C44" s="239">
        <v>1</v>
      </c>
      <c r="D44" s="239">
        <v>24</v>
      </c>
      <c r="E44" s="239">
        <f t="shared" si="4"/>
        <v>23</v>
      </c>
      <c r="F44" s="238">
        <f t="shared" si="5"/>
        <v>23</v>
      </c>
    </row>
    <row r="45" spans="1:6" ht="20.25" customHeight="1">
      <c r="A45" s="235">
        <v>6</v>
      </c>
      <c r="B45" s="236" t="s">
        <v>588</v>
      </c>
      <c r="C45" s="239">
        <v>5</v>
      </c>
      <c r="D45" s="239">
        <v>188</v>
      </c>
      <c r="E45" s="239">
        <f t="shared" si="4"/>
        <v>183</v>
      </c>
      <c r="F45" s="238">
        <f t="shared" si="5"/>
        <v>36.6</v>
      </c>
    </row>
    <row r="46" spans="1:6" ht="20.25" customHeight="1">
      <c r="A46" s="235">
        <v>7</v>
      </c>
      <c r="B46" s="236" t="s">
        <v>654</v>
      </c>
      <c r="C46" s="239">
        <v>73</v>
      </c>
      <c r="D46" s="239">
        <v>817</v>
      </c>
      <c r="E46" s="239">
        <f t="shared" si="4"/>
        <v>744</v>
      </c>
      <c r="F46" s="238">
        <f t="shared" si="5"/>
        <v>10.191780821917808</v>
      </c>
    </row>
    <row r="47" spans="1:6" ht="20.25" customHeight="1">
      <c r="A47" s="235">
        <v>8</v>
      </c>
      <c r="B47" s="236" t="s">
        <v>655</v>
      </c>
      <c r="C47" s="239">
        <v>7</v>
      </c>
      <c r="D47" s="239">
        <v>88</v>
      </c>
      <c r="E47" s="239">
        <f t="shared" si="4"/>
        <v>81</v>
      </c>
      <c r="F47" s="238">
        <f t="shared" si="5"/>
        <v>11.571428571428571</v>
      </c>
    </row>
    <row r="48" spans="1:6" ht="20.25" customHeight="1">
      <c r="A48" s="235">
        <v>9</v>
      </c>
      <c r="B48" s="236" t="s">
        <v>656</v>
      </c>
      <c r="C48" s="239">
        <v>0</v>
      </c>
      <c r="D48" s="239">
        <v>24</v>
      </c>
      <c r="E48" s="239">
        <f t="shared" si="4"/>
        <v>24</v>
      </c>
      <c r="F48" s="238">
        <f t="shared" si="5"/>
        <v>0</v>
      </c>
    </row>
    <row r="49" spans="1:6" s="240" customFormat="1" ht="20.25" customHeight="1">
      <c r="A49" s="241"/>
      <c r="B49" s="242" t="s">
        <v>657</v>
      </c>
      <c r="C49" s="243">
        <f>+C40+C42</f>
        <v>169500</v>
      </c>
      <c r="D49" s="243">
        <f>+D40+D42</f>
        <v>2072755</v>
      </c>
      <c r="E49" s="243">
        <f t="shared" si="4"/>
        <v>1903255</v>
      </c>
      <c r="F49" s="244">
        <f t="shared" si="5"/>
        <v>11.228643067846608</v>
      </c>
    </row>
    <row r="50" spans="1:6" s="240" customFormat="1" ht="20.25" customHeight="1">
      <c r="A50" s="241"/>
      <c r="B50" s="242" t="s">
        <v>658</v>
      </c>
      <c r="C50" s="243">
        <f>+C41+C43</f>
        <v>34406</v>
      </c>
      <c r="D50" s="243">
        <f>+D41+D43</f>
        <v>406830</v>
      </c>
      <c r="E50" s="243">
        <f t="shared" si="4"/>
        <v>372424</v>
      </c>
      <c r="F50" s="244">
        <f t="shared" si="5"/>
        <v>10.824391094576526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387</v>
      </c>
      <c r="B52" s="231" t="s">
        <v>661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650</v>
      </c>
      <c r="C53" s="237">
        <v>5066777</v>
      </c>
      <c r="D53" s="237">
        <v>3986457</v>
      </c>
      <c r="E53" s="237">
        <f aca="true" t="shared" si="6" ref="E53:E63">D53-C53</f>
        <v>-1080320</v>
      </c>
      <c r="F53" s="238">
        <f aca="true" t="shared" si="7" ref="F53:F63">IF(C53=0,0,E53/C53)</f>
        <v>-0.2132164095637128</v>
      </c>
    </row>
    <row r="54" spans="1:6" ht="20.25" customHeight="1">
      <c r="A54" s="235">
        <v>2</v>
      </c>
      <c r="B54" s="236" t="s">
        <v>651</v>
      </c>
      <c r="C54" s="237">
        <v>1301642</v>
      </c>
      <c r="D54" s="237">
        <v>1162850</v>
      </c>
      <c r="E54" s="237">
        <f t="shared" si="6"/>
        <v>-138792</v>
      </c>
      <c r="F54" s="238">
        <f t="shared" si="7"/>
        <v>-0.10662839705541155</v>
      </c>
    </row>
    <row r="55" spans="1:6" ht="20.25" customHeight="1">
      <c r="A55" s="235">
        <v>3</v>
      </c>
      <c r="B55" s="236" t="s">
        <v>652</v>
      </c>
      <c r="C55" s="237">
        <v>3863116</v>
      </c>
      <c r="D55" s="237">
        <v>3925128</v>
      </c>
      <c r="E55" s="237">
        <f t="shared" si="6"/>
        <v>62012</v>
      </c>
      <c r="F55" s="238">
        <f t="shared" si="7"/>
        <v>0.016052326671008584</v>
      </c>
    </row>
    <row r="56" spans="1:6" ht="20.25" customHeight="1">
      <c r="A56" s="235">
        <v>4</v>
      </c>
      <c r="B56" s="236" t="s">
        <v>653</v>
      </c>
      <c r="C56" s="237">
        <v>801429</v>
      </c>
      <c r="D56" s="237">
        <v>753625</v>
      </c>
      <c r="E56" s="237">
        <f t="shared" si="6"/>
        <v>-47804</v>
      </c>
      <c r="F56" s="238">
        <f t="shared" si="7"/>
        <v>-0.05964845295091643</v>
      </c>
    </row>
    <row r="57" spans="1:6" ht="20.25" customHeight="1">
      <c r="A57" s="235">
        <v>5</v>
      </c>
      <c r="B57" s="236" t="s">
        <v>589</v>
      </c>
      <c r="C57" s="239">
        <v>159</v>
      </c>
      <c r="D57" s="239">
        <v>149</v>
      </c>
      <c r="E57" s="239">
        <f t="shared" si="6"/>
        <v>-10</v>
      </c>
      <c r="F57" s="238">
        <f t="shared" si="7"/>
        <v>-0.06289308176100629</v>
      </c>
    </row>
    <row r="58" spans="1:6" ht="20.25" customHeight="1">
      <c r="A58" s="235">
        <v>6</v>
      </c>
      <c r="B58" s="236" t="s">
        <v>588</v>
      </c>
      <c r="C58" s="239">
        <v>989</v>
      </c>
      <c r="D58" s="239">
        <v>733</v>
      </c>
      <c r="E58" s="239">
        <f t="shared" si="6"/>
        <v>-256</v>
      </c>
      <c r="F58" s="238">
        <f t="shared" si="7"/>
        <v>-0.25884732052578363</v>
      </c>
    </row>
    <row r="59" spans="1:6" ht="20.25" customHeight="1">
      <c r="A59" s="235">
        <v>7</v>
      </c>
      <c r="B59" s="236" t="s">
        <v>654</v>
      </c>
      <c r="C59" s="239">
        <v>3046</v>
      </c>
      <c r="D59" s="239">
        <v>2929</v>
      </c>
      <c r="E59" s="239">
        <f t="shared" si="6"/>
        <v>-117</v>
      </c>
      <c r="F59" s="238">
        <f t="shared" si="7"/>
        <v>-0.038411030860144454</v>
      </c>
    </row>
    <row r="60" spans="1:6" ht="20.25" customHeight="1">
      <c r="A60" s="235">
        <v>8</v>
      </c>
      <c r="B60" s="236" t="s">
        <v>655</v>
      </c>
      <c r="C60" s="239">
        <v>255</v>
      </c>
      <c r="D60" s="239">
        <v>267</v>
      </c>
      <c r="E60" s="239">
        <f t="shared" si="6"/>
        <v>12</v>
      </c>
      <c r="F60" s="238">
        <f t="shared" si="7"/>
        <v>0.047058823529411764</v>
      </c>
    </row>
    <row r="61" spans="1:6" ht="20.25" customHeight="1">
      <c r="A61" s="235">
        <v>9</v>
      </c>
      <c r="B61" s="236" t="s">
        <v>656</v>
      </c>
      <c r="C61" s="239">
        <v>132</v>
      </c>
      <c r="D61" s="239">
        <v>149</v>
      </c>
      <c r="E61" s="239">
        <f t="shared" si="6"/>
        <v>17</v>
      </c>
      <c r="F61" s="238">
        <f t="shared" si="7"/>
        <v>0.12878787878787878</v>
      </c>
    </row>
    <row r="62" spans="1:6" s="240" customFormat="1" ht="20.25" customHeight="1">
      <c r="A62" s="241"/>
      <c r="B62" s="242" t="s">
        <v>657</v>
      </c>
      <c r="C62" s="243">
        <f>+C53+C55</f>
        <v>8929893</v>
      </c>
      <c r="D62" s="243">
        <f>+D53+D55</f>
        <v>7911585</v>
      </c>
      <c r="E62" s="243">
        <f t="shared" si="6"/>
        <v>-1018308</v>
      </c>
      <c r="F62" s="244">
        <f t="shared" si="7"/>
        <v>-0.11403361720011651</v>
      </c>
    </row>
    <row r="63" spans="1:6" s="240" customFormat="1" ht="20.25" customHeight="1">
      <c r="A63" s="241"/>
      <c r="B63" s="242" t="s">
        <v>658</v>
      </c>
      <c r="C63" s="243">
        <f>+C54+C56</f>
        <v>2103071</v>
      </c>
      <c r="D63" s="243">
        <f>+D54+D56</f>
        <v>1916475</v>
      </c>
      <c r="E63" s="243">
        <f t="shared" si="6"/>
        <v>-186596</v>
      </c>
      <c r="F63" s="244">
        <f t="shared" si="7"/>
        <v>-0.08872548763213416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392</v>
      </c>
      <c r="B65" s="231" t="s">
        <v>662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650</v>
      </c>
      <c r="C66" s="237">
        <v>0</v>
      </c>
      <c r="D66" s="237">
        <v>67825</v>
      </c>
      <c r="E66" s="237">
        <f aca="true" t="shared" si="8" ref="E66:E76">D66-C66</f>
        <v>67825</v>
      </c>
      <c r="F66" s="238">
        <f aca="true" t="shared" si="9" ref="F66:F76">IF(C66=0,0,E66/C66)</f>
        <v>0</v>
      </c>
    </row>
    <row r="67" spans="1:6" ht="20.25" customHeight="1">
      <c r="A67" s="235">
        <v>2</v>
      </c>
      <c r="B67" s="236" t="s">
        <v>651</v>
      </c>
      <c r="C67" s="237">
        <v>0</v>
      </c>
      <c r="D67" s="237">
        <v>19228</v>
      </c>
      <c r="E67" s="237">
        <f t="shared" si="8"/>
        <v>19228</v>
      </c>
      <c r="F67" s="238">
        <f t="shared" si="9"/>
        <v>0</v>
      </c>
    </row>
    <row r="68" spans="1:6" ht="20.25" customHeight="1">
      <c r="A68" s="235">
        <v>3</v>
      </c>
      <c r="B68" s="236" t="s">
        <v>652</v>
      </c>
      <c r="C68" s="237">
        <v>0</v>
      </c>
      <c r="D68" s="237">
        <v>39955</v>
      </c>
      <c r="E68" s="237">
        <f t="shared" si="8"/>
        <v>39955</v>
      </c>
      <c r="F68" s="238">
        <f t="shared" si="9"/>
        <v>0</v>
      </c>
    </row>
    <row r="69" spans="1:6" ht="20.25" customHeight="1">
      <c r="A69" s="235">
        <v>4</v>
      </c>
      <c r="B69" s="236" t="s">
        <v>653</v>
      </c>
      <c r="C69" s="237">
        <v>0</v>
      </c>
      <c r="D69" s="237">
        <v>9014</v>
      </c>
      <c r="E69" s="237">
        <f t="shared" si="8"/>
        <v>9014</v>
      </c>
      <c r="F69" s="238">
        <f t="shared" si="9"/>
        <v>0</v>
      </c>
    </row>
    <row r="70" spans="1:6" ht="20.25" customHeight="1">
      <c r="A70" s="235">
        <v>5</v>
      </c>
      <c r="B70" s="236" t="s">
        <v>589</v>
      </c>
      <c r="C70" s="239">
        <v>0</v>
      </c>
      <c r="D70" s="239">
        <v>3</v>
      </c>
      <c r="E70" s="239">
        <f t="shared" si="8"/>
        <v>3</v>
      </c>
      <c r="F70" s="238">
        <f t="shared" si="9"/>
        <v>0</v>
      </c>
    </row>
    <row r="71" spans="1:6" ht="20.25" customHeight="1">
      <c r="A71" s="235">
        <v>6</v>
      </c>
      <c r="B71" s="236" t="s">
        <v>588</v>
      </c>
      <c r="C71" s="239">
        <v>0</v>
      </c>
      <c r="D71" s="239">
        <v>17</v>
      </c>
      <c r="E71" s="239">
        <f t="shared" si="8"/>
        <v>17</v>
      </c>
      <c r="F71" s="238">
        <f t="shared" si="9"/>
        <v>0</v>
      </c>
    </row>
    <row r="72" spans="1:6" ht="20.25" customHeight="1">
      <c r="A72" s="235">
        <v>7</v>
      </c>
      <c r="B72" s="236" t="s">
        <v>654</v>
      </c>
      <c r="C72" s="239">
        <v>0</v>
      </c>
      <c r="D72" s="239">
        <v>40</v>
      </c>
      <c r="E72" s="239">
        <f t="shared" si="8"/>
        <v>40</v>
      </c>
      <c r="F72" s="238">
        <f t="shared" si="9"/>
        <v>0</v>
      </c>
    </row>
    <row r="73" spans="1:6" ht="20.25" customHeight="1">
      <c r="A73" s="235">
        <v>8</v>
      </c>
      <c r="B73" s="236" t="s">
        <v>655</v>
      </c>
      <c r="C73" s="239">
        <v>0</v>
      </c>
      <c r="D73" s="239">
        <v>15</v>
      </c>
      <c r="E73" s="239">
        <f t="shared" si="8"/>
        <v>15</v>
      </c>
      <c r="F73" s="238">
        <f t="shared" si="9"/>
        <v>0</v>
      </c>
    </row>
    <row r="74" spans="1:6" ht="20.25" customHeight="1">
      <c r="A74" s="235">
        <v>9</v>
      </c>
      <c r="B74" s="236" t="s">
        <v>656</v>
      </c>
      <c r="C74" s="239">
        <v>0</v>
      </c>
      <c r="D74" s="239">
        <v>3</v>
      </c>
      <c r="E74" s="239">
        <f t="shared" si="8"/>
        <v>3</v>
      </c>
      <c r="F74" s="238">
        <f t="shared" si="9"/>
        <v>0</v>
      </c>
    </row>
    <row r="75" spans="1:6" s="240" customFormat="1" ht="20.25" customHeight="1">
      <c r="A75" s="241"/>
      <c r="B75" s="242" t="s">
        <v>657</v>
      </c>
      <c r="C75" s="243">
        <f>+C66+C68</f>
        <v>0</v>
      </c>
      <c r="D75" s="243">
        <f>+D66+D68</f>
        <v>107780</v>
      </c>
      <c r="E75" s="243">
        <f t="shared" si="8"/>
        <v>107780</v>
      </c>
      <c r="F75" s="244">
        <f t="shared" si="9"/>
        <v>0</v>
      </c>
    </row>
    <row r="76" spans="1:6" s="240" customFormat="1" ht="20.25" customHeight="1">
      <c r="A76" s="241"/>
      <c r="B76" s="242" t="s">
        <v>658</v>
      </c>
      <c r="C76" s="243">
        <f>+C67+C69</f>
        <v>0</v>
      </c>
      <c r="D76" s="243">
        <f>+D67+D69</f>
        <v>28242</v>
      </c>
      <c r="E76" s="243">
        <f t="shared" si="8"/>
        <v>28242</v>
      </c>
      <c r="F76" s="244">
        <f t="shared" si="9"/>
        <v>0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398</v>
      </c>
      <c r="B78" s="231" t="s">
        <v>663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650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651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652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653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589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588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654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655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656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657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658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400</v>
      </c>
      <c r="B91" s="231" t="s">
        <v>664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650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651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652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653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589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588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654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655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656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657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658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403</v>
      </c>
      <c r="B104" s="231" t="s">
        <v>665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650</v>
      </c>
      <c r="C105" s="237">
        <v>88224</v>
      </c>
      <c r="D105" s="237">
        <v>146426</v>
      </c>
      <c r="E105" s="237">
        <f aca="true" t="shared" si="14" ref="E105:E115">D105-C105</f>
        <v>58202</v>
      </c>
      <c r="F105" s="238">
        <f aca="true" t="shared" si="15" ref="F105:F115">IF(C105=0,0,E105/C105)</f>
        <v>0.6597071091766413</v>
      </c>
    </row>
    <row r="106" spans="1:6" ht="20.25" customHeight="1">
      <c r="A106" s="235">
        <v>2</v>
      </c>
      <c r="B106" s="236" t="s">
        <v>651</v>
      </c>
      <c r="C106" s="237">
        <v>19709</v>
      </c>
      <c r="D106" s="237">
        <v>48979</v>
      </c>
      <c r="E106" s="237">
        <f t="shared" si="14"/>
        <v>29270</v>
      </c>
      <c r="F106" s="238">
        <f t="shared" si="15"/>
        <v>1.4851083261454159</v>
      </c>
    </row>
    <row r="107" spans="1:6" ht="20.25" customHeight="1">
      <c r="A107" s="235">
        <v>3</v>
      </c>
      <c r="B107" s="236" t="s">
        <v>652</v>
      </c>
      <c r="C107" s="237">
        <v>172408</v>
      </c>
      <c r="D107" s="237">
        <v>73350</v>
      </c>
      <c r="E107" s="237">
        <f t="shared" si="14"/>
        <v>-99058</v>
      </c>
      <c r="F107" s="238">
        <f t="shared" si="15"/>
        <v>-0.5745557050716904</v>
      </c>
    </row>
    <row r="108" spans="1:6" ht="20.25" customHeight="1">
      <c r="A108" s="235">
        <v>4</v>
      </c>
      <c r="B108" s="236" t="s">
        <v>653</v>
      </c>
      <c r="C108" s="237">
        <v>29895</v>
      </c>
      <c r="D108" s="237">
        <v>16064</v>
      </c>
      <c r="E108" s="237">
        <f t="shared" si="14"/>
        <v>-13831</v>
      </c>
      <c r="F108" s="238">
        <f t="shared" si="15"/>
        <v>-0.4626526174945643</v>
      </c>
    </row>
    <row r="109" spans="1:6" ht="20.25" customHeight="1">
      <c r="A109" s="235">
        <v>5</v>
      </c>
      <c r="B109" s="236" t="s">
        <v>589</v>
      </c>
      <c r="C109" s="239">
        <v>2</v>
      </c>
      <c r="D109" s="239">
        <v>5</v>
      </c>
      <c r="E109" s="239">
        <f t="shared" si="14"/>
        <v>3</v>
      </c>
      <c r="F109" s="238">
        <f t="shared" si="15"/>
        <v>1.5</v>
      </c>
    </row>
    <row r="110" spans="1:6" ht="20.25" customHeight="1">
      <c r="A110" s="235">
        <v>6</v>
      </c>
      <c r="B110" s="236" t="s">
        <v>588</v>
      </c>
      <c r="C110" s="239">
        <v>10</v>
      </c>
      <c r="D110" s="239">
        <v>24</v>
      </c>
      <c r="E110" s="239">
        <f t="shared" si="14"/>
        <v>14</v>
      </c>
      <c r="F110" s="238">
        <f t="shared" si="15"/>
        <v>1.4</v>
      </c>
    </row>
    <row r="111" spans="1:6" ht="20.25" customHeight="1">
      <c r="A111" s="235">
        <v>7</v>
      </c>
      <c r="B111" s="236" t="s">
        <v>654</v>
      </c>
      <c r="C111" s="239">
        <v>87</v>
      </c>
      <c r="D111" s="239">
        <v>71</v>
      </c>
      <c r="E111" s="239">
        <f t="shared" si="14"/>
        <v>-16</v>
      </c>
      <c r="F111" s="238">
        <f t="shared" si="15"/>
        <v>-0.1839080459770115</v>
      </c>
    </row>
    <row r="112" spans="1:6" ht="20.25" customHeight="1">
      <c r="A112" s="235">
        <v>8</v>
      </c>
      <c r="B112" s="236" t="s">
        <v>655</v>
      </c>
      <c r="C112" s="239">
        <v>23</v>
      </c>
      <c r="D112" s="239">
        <v>15</v>
      </c>
      <c r="E112" s="239">
        <f t="shared" si="14"/>
        <v>-8</v>
      </c>
      <c r="F112" s="238">
        <f t="shared" si="15"/>
        <v>-0.34782608695652173</v>
      </c>
    </row>
    <row r="113" spans="1:6" ht="20.25" customHeight="1">
      <c r="A113" s="235">
        <v>9</v>
      </c>
      <c r="B113" s="236" t="s">
        <v>656</v>
      </c>
      <c r="C113" s="239">
        <v>2</v>
      </c>
      <c r="D113" s="239">
        <v>5</v>
      </c>
      <c r="E113" s="239">
        <f t="shared" si="14"/>
        <v>3</v>
      </c>
      <c r="F113" s="238">
        <f t="shared" si="15"/>
        <v>1.5</v>
      </c>
    </row>
    <row r="114" spans="1:6" s="240" customFormat="1" ht="20.25" customHeight="1">
      <c r="A114" s="241"/>
      <c r="B114" s="242" t="s">
        <v>657</v>
      </c>
      <c r="C114" s="243">
        <f>+C105+C107</f>
        <v>260632</v>
      </c>
      <c r="D114" s="243">
        <f>+D105+D107</f>
        <v>219776</v>
      </c>
      <c r="E114" s="243">
        <f t="shared" si="14"/>
        <v>-40856</v>
      </c>
      <c r="F114" s="244">
        <f t="shared" si="15"/>
        <v>-0.15675742042419963</v>
      </c>
    </row>
    <row r="115" spans="1:6" s="240" customFormat="1" ht="20.25" customHeight="1">
      <c r="A115" s="241"/>
      <c r="B115" s="242" t="s">
        <v>658</v>
      </c>
      <c r="C115" s="243">
        <f>+C106+C108</f>
        <v>49604</v>
      </c>
      <c r="D115" s="243">
        <f>+D106+D108</f>
        <v>65043</v>
      </c>
      <c r="E115" s="243">
        <f t="shared" si="14"/>
        <v>15439</v>
      </c>
      <c r="F115" s="244">
        <f t="shared" si="15"/>
        <v>0.3112450608821869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406</v>
      </c>
      <c r="B117" s="231" t="s">
        <v>666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650</v>
      </c>
      <c r="C118" s="237">
        <v>203995</v>
      </c>
      <c r="D118" s="237">
        <v>183191</v>
      </c>
      <c r="E118" s="237">
        <f aca="true" t="shared" si="16" ref="E118:E128">D118-C118</f>
        <v>-20804</v>
      </c>
      <c r="F118" s="238">
        <f aca="true" t="shared" si="17" ref="F118:F128">IF(C118=0,0,E118/C118)</f>
        <v>-0.10198289173754259</v>
      </c>
    </row>
    <row r="119" spans="1:6" ht="20.25" customHeight="1">
      <c r="A119" s="235">
        <v>2</v>
      </c>
      <c r="B119" s="236" t="s">
        <v>651</v>
      </c>
      <c r="C119" s="237">
        <v>44410</v>
      </c>
      <c r="D119" s="237">
        <v>45560</v>
      </c>
      <c r="E119" s="237">
        <f t="shared" si="16"/>
        <v>1150</v>
      </c>
      <c r="F119" s="238">
        <f t="shared" si="17"/>
        <v>0.025895068678225625</v>
      </c>
    </row>
    <row r="120" spans="1:6" ht="20.25" customHeight="1">
      <c r="A120" s="235">
        <v>3</v>
      </c>
      <c r="B120" s="236" t="s">
        <v>652</v>
      </c>
      <c r="C120" s="237">
        <v>301445</v>
      </c>
      <c r="D120" s="237">
        <v>354228</v>
      </c>
      <c r="E120" s="237">
        <f t="shared" si="16"/>
        <v>52783</v>
      </c>
      <c r="F120" s="238">
        <f t="shared" si="17"/>
        <v>0.17509993531158255</v>
      </c>
    </row>
    <row r="121" spans="1:6" ht="20.25" customHeight="1">
      <c r="A121" s="235">
        <v>4</v>
      </c>
      <c r="B121" s="236" t="s">
        <v>653</v>
      </c>
      <c r="C121" s="237">
        <v>55195</v>
      </c>
      <c r="D121" s="237">
        <v>70066</v>
      </c>
      <c r="E121" s="237">
        <f t="shared" si="16"/>
        <v>14871</v>
      </c>
      <c r="F121" s="238">
        <f t="shared" si="17"/>
        <v>0.26942657849442886</v>
      </c>
    </row>
    <row r="122" spans="1:6" ht="20.25" customHeight="1">
      <c r="A122" s="235">
        <v>5</v>
      </c>
      <c r="B122" s="236" t="s">
        <v>589</v>
      </c>
      <c r="C122" s="239">
        <v>7</v>
      </c>
      <c r="D122" s="239">
        <v>9</v>
      </c>
      <c r="E122" s="239">
        <f t="shared" si="16"/>
        <v>2</v>
      </c>
      <c r="F122" s="238">
        <f t="shared" si="17"/>
        <v>0.2857142857142857</v>
      </c>
    </row>
    <row r="123" spans="1:6" ht="20.25" customHeight="1">
      <c r="A123" s="235">
        <v>6</v>
      </c>
      <c r="B123" s="236" t="s">
        <v>588</v>
      </c>
      <c r="C123" s="239">
        <v>35</v>
      </c>
      <c r="D123" s="239">
        <v>59</v>
      </c>
      <c r="E123" s="239">
        <f t="shared" si="16"/>
        <v>24</v>
      </c>
      <c r="F123" s="238">
        <f t="shared" si="17"/>
        <v>0.6857142857142857</v>
      </c>
    </row>
    <row r="124" spans="1:6" ht="20.25" customHeight="1">
      <c r="A124" s="235">
        <v>7</v>
      </c>
      <c r="B124" s="236" t="s">
        <v>654</v>
      </c>
      <c r="C124" s="239">
        <v>204</v>
      </c>
      <c r="D124" s="239">
        <v>277</v>
      </c>
      <c r="E124" s="239">
        <f t="shared" si="16"/>
        <v>73</v>
      </c>
      <c r="F124" s="238">
        <f t="shared" si="17"/>
        <v>0.35784313725490197</v>
      </c>
    </row>
    <row r="125" spans="1:6" ht="20.25" customHeight="1">
      <c r="A125" s="235">
        <v>8</v>
      </c>
      <c r="B125" s="236" t="s">
        <v>655</v>
      </c>
      <c r="C125" s="239">
        <v>21</v>
      </c>
      <c r="D125" s="239">
        <v>25</v>
      </c>
      <c r="E125" s="239">
        <f t="shared" si="16"/>
        <v>4</v>
      </c>
      <c r="F125" s="238">
        <f t="shared" si="17"/>
        <v>0.19047619047619047</v>
      </c>
    </row>
    <row r="126" spans="1:6" ht="20.25" customHeight="1">
      <c r="A126" s="235">
        <v>9</v>
      </c>
      <c r="B126" s="236" t="s">
        <v>656</v>
      </c>
      <c r="C126" s="239">
        <v>6</v>
      </c>
      <c r="D126" s="239">
        <v>9</v>
      </c>
      <c r="E126" s="239">
        <f t="shared" si="16"/>
        <v>3</v>
      </c>
      <c r="F126" s="238">
        <f t="shared" si="17"/>
        <v>0.5</v>
      </c>
    </row>
    <row r="127" spans="1:6" s="240" customFormat="1" ht="20.25" customHeight="1">
      <c r="A127" s="241"/>
      <c r="B127" s="242" t="s">
        <v>657</v>
      </c>
      <c r="C127" s="243">
        <f>+C118+C120</f>
        <v>505440</v>
      </c>
      <c r="D127" s="243">
        <f>+D118+D120</f>
        <v>537419</v>
      </c>
      <c r="E127" s="243">
        <f t="shared" si="16"/>
        <v>31979</v>
      </c>
      <c r="F127" s="244">
        <f t="shared" si="17"/>
        <v>0.0632696264640709</v>
      </c>
    </row>
    <row r="128" spans="1:6" s="240" customFormat="1" ht="20.25" customHeight="1">
      <c r="A128" s="241"/>
      <c r="B128" s="242" t="s">
        <v>658</v>
      </c>
      <c r="C128" s="243">
        <f>+C119+C121</f>
        <v>99605</v>
      </c>
      <c r="D128" s="243">
        <f>+D119+D121</f>
        <v>115626</v>
      </c>
      <c r="E128" s="243">
        <f t="shared" si="16"/>
        <v>16021</v>
      </c>
      <c r="F128" s="244">
        <f t="shared" si="17"/>
        <v>0.16084533908940316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415</v>
      </c>
      <c r="B130" s="231" t="s">
        <v>667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650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651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652</v>
      </c>
      <c r="C133" s="237">
        <v>40846</v>
      </c>
      <c r="D133" s="237">
        <v>43533</v>
      </c>
      <c r="E133" s="237">
        <f t="shared" si="18"/>
        <v>2687</v>
      </c>
      <c r="F133" s="238">
        <f t="shared" si="19"/>
        <v>0.0657836752680801</v>
      </c>
    </row>
    <row r="134" spans="1:6" ht="20.25" customHeight="1">
      <c r="A134" s="235">
        <v>4</v>
      </c>
      <c r="B134" s="236" t="s">
        <v>653</v>
      </c>
      <c r="C134" s="237">
        <v>32056</v>
      </c>
      <c r="D134" s="237">
        <v>16081</v>
      </c>
      <c r="E134" s="237">
        <f t="shared" si="18"/>
        <v>-15975</v>
      </c>
      <c r="F134" s="238">
        <f t="shared" si="19"/>
        <v>-0.49834664337409534</v>
      </c>
    </row>
    <row r="135" spans="1:6" ht="20.25" customHeight="1">
      <c r="A135" s="235">
        <v>5</v>
      </c>
      <c r="B135" s="236" t="s">
        <v>589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588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654</v>
      </c>
      <c r="C137" s="239">
        <v>14</v>
      </c>
      <c r="D137" s="239">
        <v>28</v>
      </c>
      <c r="E137" s="239">
        <f t="shared" si="18"/>
        <v>14</v>
      </c>
      <c r="F137" s="238">
        <f t="shared" si="19"/>
        <v>1</v>
      </c>
    </row>
    <row r="138" spans="1:6" ht="20.25" customHeight="1">
      <c r="A138" s="235">
        <v>8</v>
      </c>
      <c r="B138" s="236" t="s">
        <v>655</v>
      </c>
      <c r="C138" s="239">
        <v>0</v>
      </c>
      <c r="D138" s="239">
        <v>8</v>
      </c>
      <c r="E138" s="239">
        <f t="shared" si="18"/>
        <v>8</v>
      </c>
      <c r="F138" s="238">
        <f t="shared" si="19"/>
        <v>0</v>
      </c>
    </row>
    <row r="139" spans="1:6" ht="20.25" customHeight="1">
      <c r="A139" s="235">
        <v>9</v>
      </c>
      <c r="B139" s="236" t="s">
        <v>656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657</v>
      </c>
      <c r="C140" s="243">
        <f>+C131+C133</f>
        <v>40846</v>
      </c>
      <c r="D140" s="243">
        <f>+D131+D133</f>
        <v>43533</v>
      </c>
      <c r="E140" s="243">
        <f t="shared" si="18"/>
        <v>2687</v>
      </c>
      <c r="F140" s="244">
        <f t="shared" si="19"/>
        <v>0.0657836752680801</v>
      </c>
    </row>
    <row r="141" spans="1:6" s="240" customFormat="1" ht="20.25" customHeight="1">
      <c r="A141" s="241"/>
      <c r="B141" s="242" t="s">
        <v>658</v>
      </c>
      <c r="C141" s="243">
        <f>+C132+C134</f>
        <v>32056</v>
      </c>
      <c r="D141" s="243">
        <f>+D132+D134</f>
        <v>16081</v>
      </c>
      <c r="E141" s="243">
        <f t="shared" si="18"/>
        <v>-15975</v>
      </c>
      <c r="F141" s="244">
        <f t="shared" si="19"/>
        <v>-0.49834664337409534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434</v>
      </c>
      <c r="B143" s="231" t="s">
        <v>668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650</v>
      </c>
      <c r="C144" s="237">
        <v>51098</v>
      </c>
      <c r="D144" s="237">
        <v>0</v>
      </c>
      <c r="E144" s="237">
        <f aca="true" t="shared" si="20" ref="E144:E154">D144-C144</f>
        <v>-51098</v>
      </c>
      <c r="F144" s="238">
        <f aca="true" t="shared" si="21" ref="F144:F154">IF(C144=0,0,E144/C144)</f>
        <v>-1</v>
      </c>
    </row>
    <row r="145" spans="1:6" ht="20.25" customHeight="1">
      <c r="A145" s="235">
        <v>2</v>
      </c>
      <c r="B145" s="236" t="s">
        <v>651</v>
      </c>
      <c r="C145" s="237">
        <v>20536</v>
      </c>
      <c r="D145" s="237">
        <v>0</v>
      </c>
      <c r="E145" s="237">
        <f t="shared" si="20"/>
        <v>-20536</v>
      </c>
      <c r="F145" s="238">
        <f t="shared" si="21"/>
        <v>-1</v>
      </c>
    </row>
    <row r="146" spans="1:6" ht="20.25" customHeight="1">
      <c r="A146" s="235">
        <v>3</v>
      </c>
      <c r="B146" s="236" t="s">
        <v>652</v>
      </c>
      <c r="C146" s="237">
        <v>5785</v>
      </c>
      <c r="D146" s="237">
        <v>69176</v>
      </c>
      <c r="E146" s="237">
        <f t="shared" si="20"/>
        <v>63391</v>
      </c>
      <c r="F146" s="238">
        <f t="shared" si="21"/>
        <v>10.95782195332757</v>
      </c>
    </row>
    <row r="147" spans="1:6" ht="20.25" customHeight="1">
      <c r="A147" s="235">
        <v>4</v>
      </c>
      <c r="B147" s="236" t="s">
        <v>653</v>
      </c>
      <c r="C147" s="237">
        <v>1963</v>
      </c>
      <c r="D147" s="237">
        <v>13987</v>
      </c>
      <c r="E147" s="237">
        <f t="shared" si="20"/>
        <v>12024</v>
      </c>
      <c r="F147" s="238">
        <f t="shared" si="21"/>
        <v>6.125318390219053</v>
      </c>
    </row>
    <row r="148" spans="1:6" ht="20.25" customHeight="1">
      <c r="A148" s="235">
        <v>5</v>
      </c>
      <c r="B148" s="236" t="s">
        <v>589</v>
      </c>
      <c r="C148" s="239">
        <v>2</v>
      </c>
      <c r="D148" s="239">
        <v>0</v>
      </c>
      <c r="E148" s="239">
        <f t="shared" si="20"/>
        <v>-2</v>
      </c>
      <c r="F148" s="238">
        <f t="shared" si="21"/>
        <v>-1</v>
      </c>
    </row>
    <row r="149" spans="1:6" ht="20.25" customHeight="1">
      <c r="A149" s="235">
        <v>6</v>
      </c>
      <c r="B149" s="236" t="s">
        <v>588</v>
      </c>
      <c r="C149" s="239">
        <v>9</v>
      </c>
      <c r="D149" s="239">
        <v>0</v>
      </c>
      <c r="E149" s="239">
        <f t="shared" si="20"/>
        <v>-9</v>
      </c>
      <c r="F149" s="238">
        <f t="shared" si="21"/>
        <v>-1</v>
      </c>
    </row>
    <row r="150" spans="1:6" ht="20.25" customHeight="1">
      <c r="A150" s="235">
        <v>7</v>
      </c>
      <c r="B150" s="236" t="s">
        <v>654</v>
      </c>
      <c r="C150" s="239">
        <v>1</v>
      </c>
      <c r="D150" s="239">
        <v>39</v>
      </c>
      <c r="E150" s="239">
        <f t="shared" si="20"/>
        <v>38</v>
      </c>
      <c r="F150" s="238">
        <f t="shared" si="21"/>
        <v>38</v>
      </c>
    </row>
    <row r="151" spans="1:6" ht="20.25" customHeight="1">
      <c r="A151" s="235">
        <v>8</v>
      </c>
      <c r="B151" s="236" t="s">
        <v>655</v>
      </c>
      <c r="C151" s="239">
        <v>2</v>
      </c>
      <c r="D151" s="239">
        <v>4</v>
      </c>
      <c r="E151" s="239">
        <f t="shared" si="20"/>
        <v>2</v>
      </c>
      <c r="F151" s="238">
        <f t="shared" si="21"/>
        <v>1</v>
      </c>
    </row>
    <row r="152" spans="1:6" ht="20.25" customHeight="1">
      <c r="A152" s="235">
        <v>9</v>
      </c>
      <c r="B152" s="236" t="s">
        <v>656</v>
      </c>
      <c r="C152" s="239">
        <v>2</v>
      </c>
      <c r="D152" s="239">
        <v>0</v>
      </c>
      <c r="E152" s="239">
        <f t="shared" si="20"/>
        <v>-2</v>
      </c>
      <c r="F152" s="238">
        <f t="shared" si="21"/>
        <v>-1</v>
      </c>
    </row>
    <row r="153" spans="1:6" s="240" customFormat="1" ht="20.25" customHeight="1">
      <c r="A153" s="241"/>
      <c r="B153" s="242" t="s">
        <v>657</v>
      </c>
      <c r="C153" s="243">
        <f>+C144+C146</f>
        <v>56883</v>
      </c>
      <c r="D153" s="243">
        <f>+D144+D146</f>
        <v>69176</v>
      </c>
      <c r="E153" s="243">
        <f t="shared" si="20"/>
        <v>12293</v>
      </c>
      <c r="F153" s="244">
        <f t="shared" si="21"/>
        <v>0.21611026141377915</v>
      </c>
    </row>
    <row r="154" spans="1:6" s="240" customFormat="1" ht="20.25" customHeight="1">
      <c r="A154" s="241"/>
      <c r="B154" s="242" t="s">
        <v>658</v>
      </c>
      <c r="C154" s="243">
        <f>+C145+C147</f>
        <v>22499</v>
      </c>
      <c r="D154" s="243">
        <f>+D145+D147</f>
        <v>13987</v>
      </c>
      <c r="E154" s="243">
        <f t="shared" si="20"/>
        <v>-8512</v>
      </c>
      <c r="F154" s="244">
        <f t="shared" si="21"/>
        <v>-0.37832792568558604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669</v>
      </c>
      <c r="B156" s="231" t="s">
        <v>670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650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651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652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653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589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588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654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655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656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657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658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671</v>
      </c>
      <c r="B169" s="231" t="s">
        <v>672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650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651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652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653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589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588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654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655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656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657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658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673</v>
      </c>
      <c r="B182" s="231" t="s">
        <v>674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650</v>
      </c>
      <c r="C183" s="237">
        <v>460459</v>
      </c>
      <c r="D183" s="237">
        <v>469703</v>
      </c>
      <c r="E183" s="237">
        <f aca="true" t="shared" si="26" ref="E183:E193">D183-C183</f>
        <v>9244</v>
      </c>
      <c r="F183" s="238">
        <f aca="true" t="shared" si="27" ref="F183:F193">IF(C183=0,0,E183/C183)</f>
        <v>0.020075620196369274</v>
      </c>
    </row>
    <row r="184" spans="1:6" ht="20.25" customHeight="1">
      <c r="A184" s="235">
        <v>2</v>
      </c>
      <c r="B184" s="236" t="s">
        <v>651</v>
      </c>
      <c r="C184" s="237">
        <v>134224</v>
      </c>
      <c r="D184" s="237">
        <v>146219</v>
      </c>
      <c r="E184" s="237">
        <f t="shared" si="26"/>
        <v>11995</v>
      </c>
      <c r="F184" s="238">
        <f t="shared" si="27"/>
        <v>0.08936553820479198</v>
      </c>
    </row>
    <row r="185" spans="1:6" ht="20.25" customHeight="1">
      <c r="A185" s="235">
        <v>3</v>
      </c>
      <c r="B185" s="236" t="s">
        <v>652</v>
      </c>
      <c r="C185" s="237">
        <v>464440</v>
      </c>
      <c r="D185" s="237">
        <v>360191</v>
      </c>
      <c r="E185" s="237">
        <f t="shared" si="26"/>
        <v>-104249</v>
      </c>
      <c r="F185" s="238">
        <f t="shared" si="27"/>
        <v>-0.224461717337008</v>
      </c>
    </row>
    <row r="186" spans="1:6" ht="20.25" customHeight="1">
      <c r="A186" s="235">
        <v>4</v>
      </c>
      <c r="B186" s="236" t="s">
        <v>653</v>
      </c>
      <c r="C186" s="237">
        <v>83506</v>
      </c>
      <c r="D186" s="237">
        <v>70742</v>
      </c>
      <c r="E186" s="237">
        <f t="shared" si="26"/>
        <v>-12764</v>
      </c>
      <c r="F186" s="238">
        <f t="shared" si="27"/>
        <v>-0.15285129212272172</v>
      </c>
    </row>
    <row r="187" spans="1:6" ht="20.25" customHeight="1">
      <c r="A187" s="235">
        <v>5</v>
      </c>
      <c r="B187" s="236" t="s">
        <v>589</v>
      </c>
      <c r="C187" s="239">
        <v>16</v>
      </c>
      <c r="D187" s="239">
        <v>16</v>
      </c>
      <c r="E187" s="239">
        <f t="shared" si="26"/>
        <v>0</v>
      </c>
      <c r="F187" s="238">
        <f t="shared" si="27"/>
        <v>0</v>
      </c>
    </row>
    <row r="188" spans="1:6" ht="20.25" customHeight="1">
      <c r="A188" s="235">
        <v>6</v>
      </c>
      <c r="B188" s="236" t="s">
        <v>588</v>
      </c>
      <c r="C188" s="239">
        <v>80</v>
      </c>
      <c r="D188" s="239">
        <v>113</v>
      </c>
      <c r="E188" s="239">
        <f t="shared" si="26"/>
        <v>33</v>
      </c>
      <c r="F188" s="238">
        <f t="shared" si="27"/>
        <v>0.4125</v>
      </c>
    </row>
    <row r="189" spans="1:6" ht="20.25" customHeight="1">
      <c r="A189" s="235">
        <v>7</v>
      </c>
      <c r="B189" s="236" t="s">
        <v>654</v>
      </c>
      <c r="C189" s="239">
        <v>545</v>
      </c>
      <c r="D189" s="239">
        <v>536</v>
      </c>
      <c r="E189" s="239">
        <f t="shared" si="26"/>
        <v>-9</v>
      </c>
      <c r="F189" s="238">
        <f t="shared" si="27"/>
        <v>-0.01651376146788991</v>
      </c>
    </row>
    <row r="190" spans="1:6" ht="20.25" customHeight="1">
      <c r="A190" s="235">
        <v>8</v>
      </c>
      <c r="B190" s="236" t="s">
        <v>655</v>
      </c>
      <c r="C190" s="239">
        <v>39</v>
      </c>
      <c r="D190" s="239">
        <v>34</v>
      </c>
      <c r="E190" s="239">
        <f t="shared" si="26"/>
        <v>-5</v>
      </c>
      <c r="F190" s="238">
        <f t="shared" si="27"/>
        <v>-0.1282051282051282</v>
      </c>
    </row>
    <row r="191" spans="1:6" ht="20.25" customHeight="1">
      <c r="A191" s="235">
        <v>9</v>
      </c>
      <c r="B191" s="236" t="s">
        <v>656</v>
      </c>
      <c r="C191" s="239">
        <v>13</v>
      </c>
      <c r="D191" s="239">
        <v>16</v>
      </c>
      <c r="E191" s="239">
        <f t="shared" si="26"/>
        <v>3</v>
      </c>
      <c r="F191" s="238">
        <f t="shared" si="27"/>
        <v>0.23076923076923078</v>
      </c>
    </row>
    <row r="192" spans="1:6" s="240" customFormat="1" ht="20.25" customHeight="1">
      <c r="A192" s="241"/>
      <c r="B192" s="242" t="s">
        <v>657</v>
      </c>
      <c r="C192" s="243">
        <f>+C183+C185</f>
        <v>924899</v>
      </c>
      <c r="D192" s="243">
        <f>+D183+D185</f>
        <v>829894</v>
      </c>
      <c r="E192" s="243">
        <f t="shared" si="26"/>
        <v>-95005</v>
      </c>
      <c r="F192" s="244">
        <f t="shared" si="27"/>
        <v>-0.10271932394780403</v>
      </c>
    </row>
    <row r="193" spans="1:6" s="240" customFormat="1" ht="20.25" customHeight="1">
      <c r="A193" s="241"/>
      <c r="B193" s="242" t="s">
        <v>658</v>
      </c>
      <c r="C193" s="243">
        <f>+C184+C186</f>
        <v>217730</v>
      </c>
      <c r="D193" s="243">
        <f>+D184+D186</f>
        <v>216961</v>
      </c>
      <c r="E193" s="243">
        <f t="shared" si="26"/>
        <v>-769</v>
      </c>
      <c r="F193" s="244">
        <f t="shared" si="27"/>
        <v>-0.0035318973040003674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260</v>
      </c>
      <c r="B195" s="689" t="s">
        <v>675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676</v>
      </c>
      <c r="C198" s="243">
        <f aca="true" t="shared" si="28" ref="C198:D206">+C183+C170+C157+C144+C131+C118+C105+C92+C79+C66+C53+C40+C27+C14</f>
        <v>5884799</v>
      </c>
      <c r="D198" s="243">
        <f t="shared" si="28"/>
        <v>6338778</v>
      </c>
      <c r="E198" s="243">
        <f aca="true" t="shared" si="29" ref="E198:E208">D198-C198</f>
        <v>453979</v>
      </c>
      <c r="F198" s="251">
        <f aca="true" t="shared" si="30" ref="F198:F208">IF(C198=0,0,E198/C198)</f>
        <v>0.07714435106449685</v>
      </c>
    </row>
    <row r="199" spans="1:6" ht="20.25" customHeight="1">
      <c r="A199" s="249"/>
      <c r="B199" s="250" t="s">
        <v>677</v>
      </c>
      <c r="C199" s="243">
        <f t="shared" si="28"/>
        <v>1527105</v>
      </c>
      <c r="D199" s="243">
        <f t="shared" si="28"/>
        <v>1746428</v>
      </c>
      <c r="E199" s="243">
        <f t="shared" si="29"/>
        <v>219323</v>
      </c>
      <c r="F199" s="251">
        <f t="shared" si="30"/>
        <v>0.14362011780460412</v>
      </c>
    </row>
    <row r="200" spans="1:6" ht="20.25" customHeight="1">
      <c r="A200" s="249"/>
      <c r="B200" s="250" t="s">
        <v>678</v>
      </c>
      <c r="C200" s="243">
        <f t="shared" si="28"/>
        <v>5078684</v>
      </c>
      <c r="D200" s="243">
        <f t="shared" si="28"/>
        <v>5963428</v>
      </c>
      <c r="E200" s="243">
        <f t="shared" si="29"/>
        <v>884744</v>
      </c>
      <c r="F200" s="251">
        <f t="shared" si="30"/>
        <v>0.1742073340259012</v>
      </c>
    </row>
    <row r="201" spans="1:6" ht="20.25" customHeight="1">
      <c r="A201" s="249"/>
      <c r="B201" s="250" t="s">
        <v>679</v>
      </c>
      <c r="C201" s="243">
        <f t="shared" si="28"/>
        <v>1055350</v>
      </c>
      <c r="D201" s="243">
        <f t="shared" si="28"/>
        <v>1182204</v>
      </c>
      <c r="E201" s="243">
        <f t="shared" si="29"/>
        <v>126854</v>
      </c>
      <c r="F201" s="251">
        <f t="shared" si="30"/>
        <v>0.1202008812242384</v>
      </c>
    </row>
    <row r="202" spans="1:6" ht="20.25" customHeight="1">
      <c r="A202" s="249"/>
      <c r="B202" s="250" t="s">
        <v>680</v>
      </c>
      <c r="C202" s="252">
        <f t="shared" si="28"/>
        <v>187</v>
      </c>
      <c r="D202" s="252">
        <f t="shared" si="28"/>
        <v>216</v>
      </c>
      <c r="E202" s="252">
        <f t="shared" si="29"/>
        <v>29</v>
      </c>
      <c r="F202" s="251">
        <f t="shared" si="30"/>
        <v>0.15508021390374332</v>
      </c>
    </row>
    <row r="203" spans="1:6" ht="20.25" customHeight="1">
      <c r="A203" s="249"/>
      <c r="B203" s="250" t="s">
        <v>681</v>
      </c>
      <c r="C203" s="252">
        <f t="shared" si="28"/>
        <v>1128</v>
      </c>
      <c r="D203" s="252">
        <f t="shared" si="28"/>
        <v>1170</v>
      </c>
      <c r="E203" s="252">
        <f t="shared" si="29"/>
        <v>42</v>
      </c>
      <c r="F203" s="251">
        <f t="shared" si="30"/>
        <v>0.03723404255319149</v>
      </c>
    </row>
    <row r="204" spans="1:6" ht="39.75" customHeight="1">
      <c r="A204" s="249"/>
      <c r="B204" s="250" t="s">
        <v>682</v>
      </c>
      <c r="C204" s="252">
        <f t="shared" si="28"/>
        <v>4013</v>
      </c>
      <c r="D204" s="252">
        <f t="shared" si="28"/>
        <v>4818</v>
      </c>
      <c r="E204" s="252">
        <f t="shared" si="29"/>
        <v>805</v>
      </c>
      <c r="F204" s="251">
        <f t="shared" si="30"/>
        <v>0.20059805631696984</v>
      </c>
    </row>
    <row r="205" spans="1:6" ht="39.75" customHeight="1">
      <c r="A205" s="249"/>
      <c r="B205" s="250" t="s">
        <v>683</v>
      </c>
      <c r="C205" s="252">
        <f t="shared" si="28"/>
        <v>347</v>
      </c>
      <c r="D205" s="252">
        <f t="shared" si="28"/>
        <v>473</v>
      </c>
      <c r="E205" s="252">
        <f t="shared" si="29"/>
        <v>126</v>
      </c>
      <c r="F205" s="251">
        <f t="shared" si="30"/>
        <v>0.3631123919308357</v>
      </c>
    </row>
    <row r="206" spans="1:6" ht="39.75" customHeight="1">
      <c r="A206" s="249"/>
      <c r="B206" s="250" t="s">
        <v>684</v>
      </c>
      <c r="C206" s="252">
        <f t="shared" si="28"/>
        <v>155</v>
      </c>
      <c r="D206" s="252">
        <f t="shared" si="28"/>
        <v>216</v>
      </c>
      <c r="E206" s="252">
        <f t="shared" si="29"/>
        <v>61</v>
      </c>
      <c r="F206" s="251">
        <f t="shared" si="30"/>
        <v>0.3935483870967742</v>
      </c>
    </row>
    <row r="207" spans="1:6" ht="20.25" customHeight="1">
      <c r="A207" s="249"/>
      <c r="B207" s="242" t="s">
        <v>685</v>
      </c>
      <c r="C207" s="243">
        <f>+C198+C200</f>
        <v>10963483</v>
      </c>
      <c r="D207" s="243">
        <f>+D198+D200</f>
        <v>12302206</v>
      </c>
      <c r="E207" s="243">
        <f t="shared" si="29"/>
        <v>1338723</v>
      </c>
      <c r="F207" s="251">
        <f t="shared" si="30"/>
        <v>0.12210745435551823</v>
      </c>
    </row>
    <row r="208" spans="1:6" ht="20.25" customHeight="1">
      <c r="A208" s="249"/>
      <c r="B208" s="242" t="s">
        <v>686</v>
      </c>
      <c r="C208" s="243">
        <f>+C199+C201</f>
        <v>2582455</v>
      </c>
      <c r="D208" s="243">
        <f>+D199+D201</f>
        <v>2928632</v>
      </c>
      <c r="E208" s="243">
        <f t="shared" si="29"/>
        <v>346177</v>
      </c>
      <c r="F208" s="251">
        <f t="shared" si="30"/>
        <v>0.1340495768561311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FILING&amp;RJOHNSON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216</v>
      </c>
      <c r="B2" s="687"/>
      <c r="C2" s="687"/>
      <c r="D2" s="687"/>
      <c r="E2" s="687"/>
      <c r="F2" s="687"/>
    </row>
    <row r="3" spans="1:6" ht="20.25" customHeight="1">
      <c r="A3" s="687" t="s">
        <v>217</v>
      </c>
      <c r="B3" s="687"/>
      <c r="C3" s="687"/>
      <c r="D3" s="687"/>
      <c r="E3" s="687"/>
      <c r="F3" s="687"/>
    </row>
    <row r="4" spans="1:6" ht="20.25" customHeight="1">
      <c r="A4" s="687" t="s">
        <v>218</v>
      </c>
      <c r="B4" s="687"/>
      <c r="C4" s="687"/>
      <c r="D4" s="687"/>
      <c r="E4" s="687"/>
      <c r="F4" s="687"/>
    </row>
    <row r="5" spans="1:6" ht="20.25" customHeight="1">
      <c r="A5" s="687" t="s">
        <v>687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646</v>
      </c>
      <c r="D8" s="223" t="s">
        <v>647</v>
      </c>
      <c r="E8" s="223" t="s">
        <v>648</v>
      </c>
      <c r="F8" s="224" t="s">
        <v>324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228</v>
      </c>
      <c r="B10" s="689" t="s">
        <v>331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326</v>
      </c>
      <c r="B13" s="261" t="s">
        <v>688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650</v>
      </c>
      <c r="C14" s="237">
        <v>2241402</v>
      </c>
      <c r="D14" s="237">
        <v>319312</v>
      </c>
      <c r="E14" s="237">
        <f aca="true" t="shared" si="0" ref="E14:E24">D14-C14</f>
        <v>-1922090</v>
      </c>
      <c r="F14" s="238">
        <f aca="true" t="shared" si="1" ref="F14:F24">IF(C14=0,0,E14/C14)</f>
        <v>-0.857539165218912</v>
      </c>
    </row>
    <row r="15" spans="1:6" ht="20.25" customHeight="1">
      <c r="A15" s="235">
        <v>2</v>
      </c>
      <c r="B15" s="236" t="s">
        <v>651</v>
      </c>
      <c r="C15" s="237">
        <v>338900</v>
      </c>
      <c r="D15" s="237">
        <v>50579</v>
      </c>
      <c r="E15" s="237">
        <f t="shared" si="0"/>
        <v>-288321</v>
      </c>
      <c r="F15" s="238">
        <f t="shared" si="1"/>
        <v>-0.850755385069342</v>
      </c>
    </row>
    <row r="16" spans="1:6" ht="20.25" customHeight="1">
      <c r="A16" s="235">
        <v>3</v>
      </c>
      <c r="B16" s="236" t="s">
        <v>652</v>
      </c>
      <c r="C16" s="237">
        <v>5760334</v>
      </c>
      <c r="D16" s="237">
        <v>1513054</v>
      </c>
      <c r="E16" s="237">
        <f t="shared" si="0"/>
        <v>-4247280</v>
      </c>
      <c r="F16" s="238">
        <f t="shared" si="1"/>
        <v>-0.7373322449705173</v>
      </c>
    </row>
    <row r="17" spans="1:6" ht="20.25" customHeight="1">
      <c r="A17" s="235">
        <v>4</v>
      </c>
      <c r="B17" s="236" t="s">
        <v>653</v>
      </c>
      <c r="C17" s="237">
        <v>1343310</v>
      </c>
      <c r="D17" s="237">
        <v>349062</v>
      </c>
      <c r="E17" s="237">
        <f t="shared" si="0"/>
        <v>-994248</v>
      </c>
      <c r="F17" s="238">
        <f t="shared" si="1"/>
        <v>-0.7401478437590727</v>
      </c>
    </row>
    <row r="18" spans="1:6" ht="20.25" customHeight="1">
      <c r="A18" s="235">
        <v>5</v>
      </c>
      <c r="B18" s="236" t="s">
        <v>589</v>
      </c>
      <c r="C18" s="239">
        <v>182</v>
      </c>
      <c r="D18" s="239">
        <v>37</v>
      </c>
      <c r="E18" s="239">
        <f t="shared" si="0"/>
        <v>-145</v>
      </c>
      <c r="F18" s="238">
        <f t="shared" si="1"/>
        <v>-0.7967032967032966</v>
      </c>
    </row>
    <row r="19" spans="1:6" ht="20.25" customHeight="1">
      <c r="A19" s="235">
        <v>6</v>
      </c>
      <c r="B19" s="236" t="s">
        <v>588</v>
      </c>
      <c r="C19" s="239">
        <v>500</v>
      </c>
      <c r="D19" s="239">
        <v>84</v>
      </c>
      <c r="E19" s="239">
        <f t="shared" si="0"/>
        <v>-416</v>
      </c>
      <c r="F19" s="238">
        <f t="shared" si="1"/>
        <v>-0.832</v>
      </c>
    </row>
    <row r="20" spans="1:6" ht="20.25" customHeight="1">
      <c r="A20" s="235">
        <v>7</v>
      </c>
      <c r="B20" s="236" t="s">
        <v>654</v>
      </c>
      <c r="C20" s="239">
        <v>2834</v>
      </c>
      <c r="D20" s="239">
        <v>662</v>
      </c>
      <c r="E20" s="239">
        <f t="shared" si="0"/>
        <v>-2172</v>
      </c>
      <c r="F20" s="238">
        <f t="shared" si="1"/>
        <v>-0.766407904022583</v>
      </c>
    </row>
    <row r="21" spans="1:6" ht="20.25" customHeight="1">
      <c r="A21" s="235">
        <v>8</v>
      </c>
      <c r="B21" s="236" t="s">
        <v>655</v>
      </c>
      <c r="C21" s="239">
        <v>1551</v>
      </c>
      <c r="D21" s="239">
        <v>432</v>
      </c>
      <c r="E21" s="239">
        <f t="shared" si="0"/>
        <v>-1119</v>
      </c>
      <c r="F21" s="238">
        <f t="shared" si="1"/>
        <v>-0.7214700193423598</v>
      </c>
    </row>
    <row r="22" spans="1:6" ht="20.25" customHeight="1">
      <c r="A22" s="235">
        <v>9</v>
      </c>
      <c r="B22" s="236" t="s">
        <v>656</v>
      </c>
      <c r="C22" s="239">
        <v>28</v>
      </c>
      <c r="D22" s="239">
        <v>25</v>
      </c>
      <c r="E22" s="239">
        <f t="shared" si="0"/>
        <v>-3</v>
      </c>
      <c r="F22" s="238">
        <f t="shared" si="1"/>
        <v>-0.10714285714285714</v>
      </c>
    </row>
    <row r="23" spans="1:6" s="240" customFormat="1" ht="39.75" customHeight="1">
      <c r="A23" s="245"/>
      <c r="B23" s="242" t="s">
        <v>657</v>
      </c>
      <c r="C23" s="243">
        <f>+C14+C16</f>
        <v>8001736</v>
      </c>
      <c r="D23" s="243">
        <f>+D14+D16</f>
        <v>1832366</v>
      </c>
      <c r="E23" s="243">
        <f t="shared" si="0"/>
        <v>-6169370</v>
      </c>
      <c r="F23" s="244">
        <f t="shared" si="1"/>
        <v>-0.7710039421445546</v>
      </c>
    </row>
    <row r="24" spans="1:6" s="240" customFormat="1" ht="39.75" customHeight="1">
      <c r="A24" s="245"/>
      <c r="B24" s="242" t="s">
        <v>686</v>
      </c>
      <c r="C24" s="243">
        <f>+C15+C17</f>
        <v>1682210</v>
      </c>
      <c r="D24" s="243">
        <f>+D15+D17</f>
        <v>399641</v>
      </c>
      <c r="E24" s="243">
        <f t="shared" si="0"/>
        <v>-1282569</v>
      </c>
      <c r="F24" s="244">
        <f t="shared" si="1"/>
        <v>-0.7624309687851101</v>
      </c>
    </row>
    <row r="25" spans="1:6" ht="42" customHeight="1">
      <c r="A25" s="227" t="s">
        <v>340</v>
      </c>
      <c r="B25" s="261" t="s">
        <v>689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650</v>
      </c>
      <c r="C26" s="237">
        <v>383694</v>
      </c>
      <c r="D26" s="237">
        <v>1361389</v>
      </c>
      <c r="E26" s="237">
        <f aca="true" t="shared" si="2" ref="E26:E36">D26-C26</f>
        <v>977695</v>
      </c>
      <c r="F26" s="238">
        <f aca="true" t="shared" si="3" ref="F26:F36">IF(C26=0,0,E26/C26)</f>
        <v>2.5481112553232523</v>
      </c>
    </row>
    <row r="27" spans="1:6" ht="20.25" customHeight="1">
      <c r="A27" s="235">
        <v>2</v>
      </c>
      <c r="B27" s="236" t="s">
        <v>651</v>
      </c>
      <c r="C27" s="237">
        <v>73362</v>
      </c>
      <c r="D27" s="237">
        <v>373565</v>
      </c>
      <c r="E27" s="237">
        <f t="shared" si="2"/>
        <v>300203</v>
      </c>
      <c r="F27" s="238">
        <f t="shared" si="3"/>
        <v>4.092077642376162</v>
      </c>
    </row>
    <row r="28" spans="1:6" ht="20.25" customHeight="1">
      <c r="A28" s="235">
        <v>3</v>
      </c>
      <c r="B28" s="236" t="s">
        <v>652</v>
      </c>
      <c r="C28" s="237">
        <v>801803</v>
      </c>
      <c r="D28" s="237">
        <v>3062151</v>
      </c>
      <c r="E28" s="237">
        <f t="shared" si="2"/>
        <v>2260348</v>
      </c>
      <c r="F28" s="238">
        <f t="shared" si="3"/>
        <v>2.8190814950804626</v>
      </c>
    </row>
    <row r="29" spans="1:6" ht="20.25" customHeight="1">
      <c r="A29" s="235">
        <v>4</v>
      </c>
      <c r="B29" s="236" t="s">
        <v>653</v>
      </c>
      <c r="C29" s="237">
        <v>166294</v>
      </c>
      <c r="D29" s="237">
        <v>755127</v>
      </c>
      <c r="E29" s="237">
        <f t="shared" si="2"/>
        <v>588833</v>
      </c>
      <c r="F29" s="238">
        <f t="shared" si="3"/>
        <v>3.5409154870289967</v>
      </c>
    </row>
    <row r="30" spans="1:6" ht="20.25" customHeight="1">
      <c r="A30" s="235">
        <v>5</v>
      </c>
      <c r="B30" s="236" t="s">
        <v>589</v>
      </c>
      <c r="C30" s="239">
        <v>44</v>
      </c>
      <c r="D30" s="239">
        <v>165</v>
      </c>
      <c r="E30" s="239">
        <f t="shared" si="2"/>
        <v>121</v>
      </c>
      <c r="F30" s="238">
        <f t="shared" si="3"/>
        <v>2.75</v>
      </c>
    </row>
    <row r="31" spans="1:6" ht="20.25" customHeight="1">
      <c r="A31" s="235">
        <v>6</v>
      </c>
      <c r="B31" s="236" t="s">
        <v>588</v>
      </c>
      <c r="C31" s="239">
        <v>125</v>
      </c>
      <c r="D31" s="239">
        <v>442</v>
      </c>
      <c r="E31" s="239">
        <f t="shared" si="2"/>
        <v>317</v>
      </c>
      <c r="F31" s="238">
        <f t="shared" si="3"/>
        <v>2.536</v>
      </c>
    </row>
    <row r="32" spans="1:6" ht="20.25" customHeight="1">
      <c r="A32" s="235">
        <v>7</v>
      </c>
      <c r="B32" s="236" t="s">
        <v>654</v>
      </c>
      <c r="C32" s="239">
        <v>347</v>
      </c>
      <c r="D32" s="239">
        <v>1586</v>
      </c>
      <c r="E32" s="239">
        <f t="shared" si="2"/>
        <v>1239</v>
      </c>
      <c r="F32" s="238">
        <f t="shared" si="3"/>
        <v>3.5706051873198845</v>
      </c>
    </row>
    <row r="33" spans="1:6" ht="20.25" customHeight="1">
      <c r="A33" s="235">
        <v>8</v>
      </c>
      <c r="B33" s="236" t="s">
        <v>655</v>
      </c>
      <c r="C33" s="239">
        <v>261</v>
      </c>
      <c r="D33" s="239">
        <v>1039</v>
      </c>
      <c r="E33" s="239">
        <f t="shared" si="2"/>
        <v>778</v>
      </c>
      <c r="F33" s="238">
        <f t="shared" si="3"/>
        <v>2.9808429118773945</v>
      </c>
    </row>
    <row r="34" spans="1:6" ht="20.25" customHeight="1">
      <c r="A34" s="235">
        <v>9</v>
      </c>
      <c r="B34" s="236" t="s">
        <v>656</v>
      </c>
      <c r="C34" s="239">
        <v>3</v>
      </c>
      <c r="D34" s="239">
        <v>17</v>
      </c>
      <c r="E34" s="239">
        <f t="shared" si="2"/>
        <v>14</v>
      </c>
      <c r="F34" s="238">
        <f t="shared" si="3"/>
        <v>4.666666666666667</v>
      </c>
    </row>
    <row r="35" spans="1:6" s="240" customFormat="1" ht="39.75" customHeight="1">
      <c r="A35" s="245"/>
      <c r="B35" s="242" t="s">
        <v>657</v>
      </c>
      <c r="C35" s="243">
        <f>+C26+C28</f>
        <v>1185497</v>
      </c>
      <c r="D35" s="243">
        <f>+D26+D28</f>
        <v>4423540</v>
      </c>
      <c r="E35" s="243">
        <f t="shared" si="2"/>
        <v>3238043</v>
      </c>
      <c r="F35" s="244">
        <f t="shared" si="3"/>
        <v>2.731380172197821</v>
      </c>
    </row>
    <row r="36" spans="1:6" s="240" customFormat="1" ht="39.75" customHeight="1">
      <c r="A36" s="245"/>
      <c r="B36" s="242" t="s">
        <v>686</v>
      </c>
      <c r="C36" s="243">
        <f>+C27+C29</f>
        <v>239656</v>
      </c>
      <c r="D36" s="243">
        <f>+D27+D29</f>
        <v>1128692</v>
      </c>
      <c r="E36" s="243">
        <f t="shared" si="2"/>
        <v>889036</v>
      </c>
      <c r="F36" s="244">
        <f t="shared" si="3"/>
        <v>3.7096338084587908</v>
      </c>
    </row>
    <row r="37" spans="1:6" ht="42" customHeight="1">
      <c r="A37" s="227" t="s">
        <v>357</v>
      </c>
      <c r="B37" s="261" t="s">
        <v>690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650</v>
      </c>
      <c r="C38" s="237">
        <v>345863</v>
      </c>
      <c r="D38" s="237">
        <v>0</v>
      </c>
      <c r="E38" s="237">
        <f aca="true" t="shared" si="4" ref="E38:E48">D38-C38</f>
        <v>-345863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651</v>
      </c>
      <c r="C39" s="237">
        <v>86189</v>
      </c>
      <c r="D39" s="237">
        <v>0</v>
      </c>
      <c r="E39" s="237">
        <f t="shared" si="4"/>
        <v>-86189</v>
      </c>
      <c r="F39" s="238">
        <f t="shared" si="5"/>
        <v>-1</v>
      </c>
    </row>
    <row r="40" spans="1:6" ht="20.25" customHeight="1">
      <c r="A40" s="235">
        <v>3</v>
      </c>
      <c r="B40" s="236" t="s">
        <v>652</v>
      </c>
      <c r="C40" s="237">
        <v>891679</v>
      </c>
      <c r="D40" s="237">
        <v>3466</v>
      </c>
      <c r="E40" s="237">
        <f t="shared" si="4"/>
        <v>-888213</v>
      </c>
      <c r="F40" s="238">
        <f t="shared" si="5"/>
        <v>-0.9961129509610521</v>
      </c>
    </row>
    <row r="41" spans="1:6" ht="20.25" customHeight="1">
      <c r="A41" s="235">
        <v>4</v>
      </c>
      <c r="B41" s="236" t="s">
        <v>653</v>
      </c>
      <c r="C41" s="237">
        <v>194832</v>
      </c>
      <c r="D41" s="237">
        <v>431</v>
      </c>
      <c r="E41" s="237">
        <f t="shared" si="4"/>
        <v>-194401</v>
      </c>
      <c r="F41" s="238">
        <f t="shared" si="5"/>
        <v>-0.9977878377268621</v>
      </c>
    </row>
    <row r="42" spans="1:6" ht="20.25" customHeight="1">
      <c r="A42" s="235">
        <v>5</v>
      </c>
      <c r="B42" s="236" t="s">
        <v>589</v>
      </c>
      <c r="C42" s="239">
        <v>34</v>
      </c>
      <c r="D42" s="239">
        <v>0</v>
      </c>
      <c r="E42" s="239">
        <f t="shared" si="4"/>
        <v>-34</v>
      </c>
      <c r="F42" s="238">
        <f t="shared" si="5"/>
        <v>-1</v>
      </c>
    </row>
    <row r="43" spans="1:6" ht="20.25" customHeight="1">
      <c r="A43" s="235">
        <v>6</v>
      </c>
      <c r="B43" s="236" t="s">
        <v>588</v>
      </c>
      <c r="C43" s="239">
        <v>98</v>
      </c>
      <c r="D43" s="239">
        <v>0</v>
      </c>
      <c r="E43" s="239">
        <f t="shared" si="4"/>
        <v>-98</v>
      </c>
      <c r="F43" s="238">
        <f t="shared" si="5"/>
        <v>-1</v>
      </c>
    </row>
    <row r="44" spans="1:6" ht="20.25" customHeight="1">
      <c r="A44" s="235">
        <v>7</v>
      </c>
      <c r="B44" s="236" t="s">
        <v>654</v>
      </c>
      <c r="C44" s="239">
        <v>482</v>
      </c>
      <c r="D44" s="239">
        <v>8</v>
      </c>
      <c r="E44" s="239">
        <f t="shared" si="4"/>
        <v>-474</v>
      </c>
      <c r="F44" s="238">
        <f t="shared" si="5"/>
        <v>-0.983402489626556</v>
      </c>
    </row>
    <row r="45" spans="1:6" ht="20.25" customHeight="1">
      <c r="A45" s="235">
        <v>8</v>
      </c>
      <c r="B45" s="236" t="s">
        <v>655</v>
      </c>
      <c r="C45" s="239">
        <v>238</v>
      </c>
      <c r="D45" s="239">
        <v>0</v>
      </c>
      <c r="E45" s="239">
        <f t="shared" si="4"/>
        <v>-238</v>
      </c>
      <c r="F45" s="238">
        <f t="shared" si="5"/>
        <v>-1</v>
      </c>
    </row>
    <row r="46" spans="1:6" ht="20.25" customHeight="1">
      <c r="A46" s="235">
        <v>9</v>
      </c>
      <c r="B46" s="236" t="s">
        <v>656</v>
      </c>
      <c r="C46" s="239">
        <v>83</v>
      </c>
      <c r="D46" s="239">
        <v>0</v>
      </c>
      <c r="E46" s="239">
        <f t="shared" si="4"/>
        <v>-83</v>
      </c>
      <c r="F46" s="238">
        <f t="shared" si="5"/>
        <v>-1</v>
      </c>
    </row>
    <row r="47" spans="1:6" s="240" customFormat="1" ht="39.75" customHeight="1">
      <c r="A47" s="245"/>
      <c r="B47" s="242" t="s">
        <v>657</v>
      </c>
      <c r="C47" s="243">
        <f>+C38+C40</f>
        <v>1237542</v>
      </c>
      <c r="D47" s="243">
        <f>+D38+D40</f>
        <v>3466</v>
      </c>
      <c r="E47" s="243">
        <f t="shared" si="4"/>
        <v>-1234076</v>
      </c>
      <c r="F47" s="244">
        <f t="shared" si="5"/>
        <v>-0.9971992869736946</v>
      </c>
    </row>
    <row r="48" spans="1:6" s="240" customFormat="1" ht="39.75" customHeight="1">
      <c r="A48" s="245"/>
      <c r="B48" s="242" t="s">
        <v>686</v>
      </c>
      <c r="C48" s="243">
        <f>+C39+C41</f>
        <v>281021</v>
      </c>
      <c r="D48" s="243">
        <f>+D39+D41</f>
        <v>431</v>
      </c>
      <c r="E48" s="243">
        <f t="shared" si="4"/>
        <v>-280590</v>
      </c>
      <c r="F48" s="244">
        <f t="shared" si="5"/>
        <v>-0.9984663067884606</v>
      </c>
    </row>
    <row r="49" spans="1:6" ht="42" customHeight="1">
      <c r="A49" s="227" t="s">
        <v>387</v>
      </c>
      <c r="B49" s="261" t="s">
        <v>691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650</v>
      </c>
      <c r="C50" s="237">
        <v>1841614</v>
      </c>
      <c r="D50" s="237">
        <v>1121597</v>
      </c>
      <c r="E50" s="237">
        <f aca="true" t="shared" si="6" ref="E50:E60">D50-C50</f>
        <v>-720017</v>
      </c>
      <c r="F50" s="238">
        <f aca="true" t="shared" si="7" ref="F50:F60">IF(C50=0,0,E50/C50)</f>
        <v>-0.39097063771235446</v>
      </c>
    </row>
    <row r="51" spans="1:6" ht="20.25" customHeight="1">
      <c r="A51" s="235">
        <v>2</v>
      </c>
      <c r="B51" s="236" t="s">
        <v>651</v>
      </c>
      <c r="C51" s="237">
        <v>454049</v>
      </c>
      <c r="D51" s="237">
        <v>275352</v>
      </c>
      <c r="E51" s="237">
        <f t="shared" si="6"/>
        <v>-178697</v>
      </c>
      <c r="F51" s="238">
        <f t="shared" si="7"/>
        <v>-0.3935632497814113</v>
      </c>
    </row>
    <row r="52" spans="1:6" ht="20.25" customHeight="1">
      <c r="A52" s="235">
        <v>3</v>
      </c>
      <c r="B52" s="236" t="s">
        <v>652</v>
      </c>
      <c r="C52" s="237">
        <v>925977</v>
      </c>
      <c r="D52" s="237">
        <v>574586</v>
      </c>
      <c r="E52" s="237">
        <f t="shared" si="6"/>
        <v>-351391</v>
      </c>
      <c r="F52" s="238">
        <f t="shared" si="7"/>
        <v>-0.37948134780885484</v>
      </c>
    </row>
    <row r="53" spans="1:6" ht="20.25" customHeight="1">
      <c r="A53" s="235">
        <v>4</v>
      </c>
      <c r="B53" s="236" t="s">
        <v>653</v>
      </c>
      <c r="C53" s="237">
        <v>118703</v>
      </c>
      <c r="D53" s="237">
        <v>60675</v>
      </c>
      <c r="E53" s="237">
        <f t="shared" si="6"/>
        <v>-58028</v>
      </c>
      <c r="F53" s="238">
        <f t="shared" si="7"/>
        <v>-0.4888503239176769</v>
      </c>
    </row>
    <row r="54" spans="1:6" ht="20.25" customHeight="1">
      <c r="A54" s="235">
        <v>5</v>
      </c>
      <c r="B54" s="236" t="s">
        <v>589</v>
      </c>
      <c r="C54" s="239">
        <v>123</v>
      </c>
      <c r="D54" s="239">
        <v>58</v>
      </c>
      <c r="E54" s="239">
        <f t="shared" si="6"/>
        <v>-65</v>
      </c>
      <c r="F54" s="238">
        <f t="shared" si="7"/>
        <v>-0.5284552845528455</v>
      </c>
    </row>
    <row r="55" spans="1:6" ht="20.25" customHeight="1">
      <c r="A55" s="235">
        <v>6</v>
      </c>
      <c r="B55" s="236" t="s">
        <v>588</v>
      </c>
      <c r="C55" s="239">
        <v>848</v>
      </c>
      <c r="D55" s="239">
        <v>358</v>
      </c>
      <c r="E55" s="239">
        <f t="shared" si="6"/>
        <v>-490</v>
      </c>
      <c r="F55" s="238">
        <f t="shared" si="7"/>
        <v>-0.5778301886792453</v>
      </c>
    </row>
    <row r="56" spans="1:6" ht="20.25" customHeight="1">
      <c r="A56" s="235">
        <v>7</v>
      </c>
      <c r="B56" s="236" t="s">
        <v>654</v>
      </c>
      <c r="C56" s="239">
        <v>314</v>
      </c>
      <c r="D56" s="239">
        <v>104</v>
      </c>
      <c r="E56" s="239">
        <f t="shared" si="6"/>
        <v>-210</v>
      </c>
      <c r="F56" s="238">
        <f t="shared" si="7"/>
        <v>-0.6687898089171974</v>
      </c>
    </row>
    <row r="57" spans="1:6" ht="20.25" customHeight="1">
      <c r="A57" s="235">
        <v>8</v>
      </c>
      <c r="B57" s="236" t="s">
        <v>655</v>
      </c>
      <c r="C57" s="239">
        <v>56</v>
      </c>
      <c r="D57" s="239">
        <v>275</v>
      </c>
      <c r="E57" s="239">
        <f t="shared" si="6"/>
        <v>219</v>
      </c>
      <c r="F57" s="238">
        <f t="shared" si="7"/>
        <v>3.9107142857142856</v>
      </c>
    </row>
    <row r="58" spans="1:6" ht="20.25" customHeight="1">
      <c r="A58" s="235">
        <v>9</v>
      </c>
      <c r="B58" s="236" t="s">
        <v>656</v>
      </c>
      <c r="C58" s="239">
        <v>31</v>
      </c>
      <c r="D58" s="239">
        <v>58</v>
      </c>
      <c r="E58" s="239">
        <f t="shared" si="6"/>
        <v>27</v>
      </c>
      <c r="F58" s="238">
        <f t="shared" si="7"/>
        <v>0.8709677419354839</v>
      </c>
    </row>
    <row r="59" spans="1:6" s="240" customFormat="1" ht="39.75" customHeight="1">
      <c r="A59" s="245"/>
      <c r="B59" s="242" t="s">
        <v>657</v>
      </c>
      <c r="C59" s="243">
        <f>+C50+C52</f>
        <v>2767591</v>
      </c>
      <c r="D59" s="243">
        <f>+D50+D52</f>
        <v>1696183</v>
      </c>
      <c r="E59" s="243">
        <f t="shared" si="6"/>
        <v>-1071408</v>
      </c>
      <c r="F59" s="244">
        <f t="shared" si="7"/>
        <v>-0.38712656602800055</v>
      </c>
    </row>
    <row r="60" spans="1:6" s="240" customFormat="1" ht="39.75" customHeight="1">
      <c r="A60" s="245"/>
      <c r="B60" s="242" t="s">
        <v>686</v>
      </c>
      <c r="C60" s="243">
        <f>+C51+C53</f>
        <v>572752</v>
      </c>
      <c r="D60" s="243">
        <f>+D51+D53</f>
        <v>336027</v>
      </c>
      <c r="E60" s="243">
        <f t="shared" si="6"/>
        <v>-236725</v>
      </c>
      <c r="F60" s="244">
        <f t="shared" si="7"/>
        <v>-0.4133115205184792</v>
      </c>
    </row>
    <row r="61" spans="1:6" ht="42" customHeight="1">
      <c r="A61" s="227" t="s">
        <v>392</v>
      </c>
      <c r="B61" s="261" t="s">
        <v>665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650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651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652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653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589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588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654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655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656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657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686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398</v>
      </c>
      <c r="B73" s="261" t="s">
        <v>692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650</v>
      </c>
      <c r="C74" s="237">
        <v>81418</v>
      </c>
      <c r="D74" s="237">
        <v>0</v>
      </c>
      <c r="E74" s="237">
        <f aca="true" t="shared" si="10" ref="E74:E84">D74-C74</f>
        <v>-81418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651</v>
      </c>
      <c r="C75" s="237">
        <v>13084</v>
      </c>
      <c r="D75" s="237">
        <v>0</v>
      </c>
      <c r="E75" s="237">
        <f t="shared" si="10"/>
        <v>-13084</v>
      </c>
      <c r="F75" s="238">
        <f t="shared" si="11"/>
        <v>-1</v>
      </c>
    </row>
    <row r="76" spans="1:6" ht="20.25" customHeight="1">
      <c r="A76" s="235">
        <v>3</v>
      </c>
      <c r="B76" s="236" t="s">
        <v>652</v>
      </c>
      <c r="C76" s="237">
        <v>98333</v>
      </c>
      <c r="D76" s="237">
        <v>0</v>
      </c>
      <c r="E76" s="237">
        <f t="shared" si="10"/>
        <v>-98333</v>
      </c>
      <c r="F76" s="238">
        <f t="shared" si="11"/>
        <v>-1</v>
      </c>
    </row>
    <row r="77" spans="1:6" ht="20.25" customHeight="1">
      <c r="A77" s="235">
        <v>4</v>
      </c>
      <c r="B77" s="236" t="s">
        <v>653</v>
      </c>
      <c r="C77" s="237">
        <v>18310</v>
      </c>
      <c r="D77" s="237">
        <v>0</v>
      </c>
      <c r="E77" s="237">
        <f t="shared" si="10"/>
        <v>-18310</v>
      </c>
      <c r="F77" s="238">
        <f t="shared" si="11"/>
        <v>-1</v>
      </c>
    </row>
    <row r="78" spans="1:6" ht="20.25" customHeight="1">
      <c r="A78" s="235">
        <v>5</v>
      </c>
      <c r="B78" s="236" t="s">
        <v>589</v>
      </c>
      <c r="C78" s="239">
        <v>9</v>
      </c>
      <c r="D78" s="239">
        <v>0</v>
      </c>
      <c r="E78" s="239">
        <f t="shared" si="10"/>
        <v>-9</v>
      </c>
      <c r="F78" s="238">
        <f t="shared" si="11"/>
        <v>-1</v>
      </c>
    </row>
    <row r="79" spans="1:6" ht="20.25" customHeight="1">
      <c r="A79" s="235">
        <v>6</v>
      </c>
      <c r="B79" s="236" t="s">
        <v>588</v>
      </c>
      <c r="C79" s="239">
        <v>24</v>
      </c>
      <c r="D79" s="239">
        <v>0</v>
      </c>
      <c r="E79" s="239">
        <f t="shared" si="10"/>
        <v>-24</v>
      </c>
      <c r="F79" s="238">
        <f t="shared" si="11"/>
        <v>-1</v>
      </c>
    </row>
    <row r="80" spans="1:6" ht="20.25" customHeight="1">
      <c r="A80" s="235">
        <v>7</v>
      </c>
      <c r="B80" s="236" t="s">
        <v>654</v>
      </c>
      <c r="C80" s="239">
        <v>75</v>
      </c>
      <c r="D80" s="239">
        <v>0</v>
      </c>
      <c r="E80" s="239">
        <f t="shared" si="10"/>
        <v>-75</v>
      </c>
      <c r="F80" s="238">
        <f t="shared" si="11"/>
        <v>-1</v>
      </c>
    </row>
    <row r="81" spans="1:6" ht="20.25" customHeight="1">
      <c r="A81" s="235">
        <v>8</v>
      </c>
      <c r="B81" s="236" t="s">
        <v>655</v>
      </c>
      <c r="C81" s="239">
        <v>28</v>
      </c>
      <c r="D81" s="239">
        <v>0</v>
      </c>
      <c r="E81" s="239">
        <f t="shared" si="10"/>
        <v>-28</v>
      </c>
      <c r="F81" s="238">
        <f t="shared" si="11"/>
        <v>-1</v>
      </c>
    </row>
    <row r="82" spans="1:6" ht="20.25" customHeight="1">
      <c r="A82" s="235">
        <v>9</v>
      </c>
      <c r="B82" s="236" t="s">
        <v>656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75" customHeight="1">
      <c r="A83" s="245"/>
      <c r="B83" s="242" t="s">
        <v>657</v>
      </c>
      <c r="C83" s="243">
        <f>+C74+C76</f>
        <v>179751</v>
      </c>
      <c r="D83" s="243">
        <f>+D74+D76</f>
        <v>0</v>
      </c>
      <c r="E83" s="243">
        <f t="shared" si="10"/>
        <v>-179751</v>
      </c>
      <c r="F83" s="244">
        <f t="shared" si="11"/>
        <v>-1</v>
      </c>
    </row>
    <row r="84" spans="1:6" s="240" customFormat="1" ht="39.75" customHeight="1">
      <c r="A84" s="245"/>
      <c r="B84" s="242" t="s">
        <v>686</v>
      </c>
      <c r="C84" s="243">
        <f>+C75+C77</f>
        <v>31394</v>
      </c>
      <c r="D84" s="243">
        <f>+D75+D77</f>
        <v>0</v>
      </c>
      <c r="E84" s="243">
        <f t="shared" si="10"/>
        <v>-31394</v>
      </c>
      <c r="F84" s="244">
        <f t="shared" si="11"/>
        <v>-1</v>
      </c>
    </row>
    <row r="85" spans="1:6" ht="42" customHeight="1">
      <c r="A85" s="227" t="s">
        <v>400</v>
      </c>
      <c r="B85" s="261" t="s">
        <v>693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650</v>
      </c>
      <c r="C86" s="237">
        <v>0</v>
      </c>
      <c r="D86" s="237">
        <v>92157</v>
      </c>
      <c r="E86" s="237">
        <f aca="true" t="shared" si="12" ref="E86:E96">D86-C86</f>
        <v>92157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651</v>
      </c>
      <c r="C87" s="237">
        <v>0</v>
      </c>
      <c r="D87" s="237">
        <v>24127</v>
      </c>
      <c r="E87" s="237">
        <f t="shared" si="12"/>
        <v>24127</v>
      </c>
      <c r="F87" s="238">
        <f t="shared" si="13"/>
        <v>0</v>
      </c>
    </row>
    <row r="88" spans="1:6" ht="20.25" customHeight="1">
      <c r="A88" s="235">
        <v>3</v>
      </c>
      <c r="B88" s="236" t="s">
        <v>652</v>
      </c>
      <c r="C88" s="237">
        <v>0</v>
      </c>
      <c r="D88" s="237">
        <v>546862</v>
      </c>
      <c r="E88" s="237">
        <f t="shared" si="12"/>
        <v>546862</v>
      </c>
      <c r="F88" s="238">
        <f t="shared" si="13"/>
        <v>0</v>
      </c>
    </row>
    <row r="89" spans="1:6" ht="20.25" customHeight="1">
      <c r="A89" s="235">
        <v>4</v>
      </c>
      <c r="B89" s="236" t="s">
        <v>653</v>
      </c>
      <c r="C89" s="237">
        <v>0</v>
      </c>
      <c r="D89" s="237">
        <v>141583</v>
      </c>
      <c r="E89" s="237">
        <f t="shared" si="12"/>
        <v>141583</v>
      </c>
      <c r="F89" s="238">
        <f t="shared" si="13"/>
        <v>0</v>
      </c>
    </row>
    <row r="90" spans="1:6" ht="20.25" customHeight="1">
      <c r="A90" s="235">
        <v>5</v>
      </c>
      <c r="B90" s="236" t="s">
        <v>589</v>
      </c>
      <c r="C90" s="239">
        <v>0</v>
      </c>
      <c r="D90" s="239">
        <v>12</v>
      </c>
      <c r="E90" s="239">
        <f t="shared" si="12"/>
        <v>12</v>
      </c>
      <c r="F90" s="238">
        <f t="shared" si="13"/>
        <v>0</v>
      </c>
    </row>
    <row r="91" spans="1:6" ht="20.25" customHeight="1">
      <c r="A91" s="235">
        <v>6</v>
      </c>
      <c r="B91" s="236" t="s">
        <v>588</v>
      </c>
      <c r="C91" s="239">
        <v>0</v>
      </c>
      <c r="D91" s="239">
        <v>32</v>
      </c>
      <c r="E91" s="239">
        <f t="shared" si="12"/>
        <v>32</v>
      </c>
      <c r="F91" s="238">
        <f t="shared" si="13"/>
        <v>0</v>
      </c>
    </row>
    <row r="92" spans="1:6" ht="20.25" customHeight="1">
      <c r="A92" s="235">
        <v>7</v>
      </c>
      <c r="B92" s="236" t="s">
        <v>654</v>
      </c>
      <c r="C92" s="239">
        <v>0</v>
      </c>
      <c r="D92" s="239">
        <v>222</v>
      </c>
      <c r="E92" s="239">
        <f t="shared" si="12"/>
        <v>222</v>
      </c>
      <c r="F92" s="238">
        <f t="shared" si="13"/>
        <v>0</v>
      </c>
    </row>
    <row r="93" spans="1:6" ht="20.25" customHeight="1">
      <c r="A93" s="235">
        <v>8</v>
      </c>
      <c r="B93" s="236" t="s">
        <v>655</v>
      </c>
      <c r="C93" s="239">
        <v>0</v>
      </c>
      <c r="D93" s="239">
        <v>223</v>
      </c>
      <c r="E93" s="239">
        <f t="shared" si="12"/>
        <v>223</v>
      </c>
      <c r="F93" s="238">
        <f t="shared" si="13"/>
        <v>0</v>
      </c>
    </row>
    <row r="94" spans="1:6" ht="20.25" customHeight="1">
      <c r="A94" s="235">
        <v>9</v>
      </c>
      <c r="B94" s="236" t="s">
        <v>656</v>
      </c>
      <c r="C94" s="239">
        <v>0</v>
      </c>
      <c r="D94" s="239">
        <v>2</v>
      </c>
      <c r="E94" s="239">
        <f t="shared" si="12"/>
        <v>2</v>
      </c>
      <c r="F94" s="238">
        <f t="shared" si="13"/>
        <v>0</v>
      </c>
    </row>
    <row r="95" spans="1:6" s="240" customFormat="1" ht="39.75" customHeight="1">
      <c r="A95" s="245"/>
      <c r="B95" s="242" t="s">
        <v>657</v>
      </c>
      <c r="C95" s="243">
        <f>+C86+C88</f>
        <v>0</v>
      </c>
      <c r="D95" s="243">
        <f>+D86+D88</f>
        <v>639019</v>
      </c>
      <c r="E95" s="243">
        <f t="shared" si="12"/>
        <v>639019</v>
      </c>
      <c r="F95" s="244">
        <f t="shared" si="13"/>
        <v>0</v>
      </c>
    </row>
    <row r="96" spans="1:6" s="240" customFormat="1" ht="39.75" customHeight="1">
      <c r="A96" s="245"/>
      <c r="B96" s="242" t="s">
        <v>686</v>
      </c>
      <c r="C96" s="243">
        <f>+C87+C89</f>
        <v>0</v>
      </c>
      <c r="D96" s="243">
        <f>+D87+D89</f>
        <v>165710</v>
      </c>
      <c r="E96" s="243">
        <f t="shared" si="12"/>
        <v>165710</v>
      </c>
      <c r="F96" s="244">
        <f t="shared" si="13"/>
        <v>0</v>
      </c>
    </row>
    <row r="97" spans="1:6" ht="42" customHeight="1">
      <c r="A97" s="227" t="s">
        <v>403</v>
      </c>
      <c r="B97" s="261" t="s">
        <v>666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650</v>
      </c>
      <c r="C98" s="237">
        <v>0</v>
      </c>
      <c r="D98" s="237">
        <v>187703</v>
      </c>
      <c r="E98" s="237">
        <f aca="true" t="shared" si="14" ref="E98:E108">D98-C98</f>
        <v>187703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651</v>
      </c>
      <c r="C99" s="237">
        <v>0</v>
      </c>
      <c r="D99" s="237">
        <v>21023</v>
      </c>
      <c r="E99" s="237">
        <f t="shared" si="14"/>
        <v>21023</v>
      </c>
      <c r="F99" s="238">
        <f t="shared" si="15"/>
        <v>0</v>
      </c>
    </row>
    <row r="100" spans="1:6" ht="20.25" customHeight="1">
      <c r="A100" s="235">
        <v>3</v>
      </c>
      <c r="B100" s="236" t="s">
        <v>652</v>
      </c>
      <c r="C100" s="237">
        <v>0</v>
      </c>
      <c r="D100" s="237">
        <v>1230959</v>
      </c>
      <c r="E100" s="237">
        <f t="shared" si="14"/>
        <v>1230959</v>
      </c>
      <c r="F100" s="238">
        <f t="shared" si="15"/>
        <v>0</v>
      </c>
    </row>
    <row r="101" spans="1:6" ht="20.25" customHeight="1">
      <c r="A101" s="235">
        <v>4</v>
      </c>
      <c r="B101" s="236" t="s">
        <v>653</v>
      </c>
      <c r="C101" s="237">
        <v>0</v>
      </c>
      <c r="D101" s="237">
        <v>307863</v>
      </c>
      <c r="E101" s="237">
        <f t="shared" si="14"/>
        <v>307863</v>
      </c>
      <c r="F101" s="238">
        <f t="shared" si="15"/>
        <v>0</v>
      </c>
    </row>
    <row r="102" spans="1:6" ht="20.25" customHeight="1">
      <c r="A102" s="235">
        <v>5</v>
      </c>
      <c r="B102" s="236" t="s">
        <v>589</v>
      </c>
      <c r="C102" s="239">
        <v>0</v>
      </c>
      <c r="D102" s="239">
        <v>13</v>
      </c>
      <c r="E102" s="239">
        <f t="shared" si="14"/>
        <v>13</v>
      </c>
      <c r="F102" s="238">
        <f t="shared" si="15"/>
        <v>0</v>
      </c>
    </row>
    <row r="103" spans="1:6" ht="20.25" customHeight="1">
      <c r="A103" s="235">
        <v>6</v>
      </c>
      <c r="B103" s="236" t="s">
        <v>588</v>
      </c>
      <c r="C103" s="239">
        <v>0</v>
      </c>
      <c r="D103" s="239">
        <v>46</v>
      </c>
      <c r="E103" s="239">
        <f t="shared" si="14"/>
        <v>46</v>
      </c>
      <c r="F103" s="238">
        <f t="shared" si="15"/>
        <v>0</v>
      </c>
    </row>
    <row r="104" spans="1:6" ht="20.25" customHeight="1">
      <c r="A104" s="235">
        <v>7</v>
      </c>
      <c r="B104" s="236" t="s">
        <v>654</v>
      </c>
      <c r="C104" s="239">
        <v>0</v>
      </c>
      <c r="D104" s="239">
        <v>351</v>
      </c>
      <c r="E104" s="239">
        <f t="shared" si="14"/>
        <v>351</v>
      </c>
      <c r="F104" s="238">
        <f t="shared" si="15"/>
        <v>0</v>
      </c>
    </row>
    <row r="105" spans="1:6" ht="20.25" customHeight="1">
      <c r="A105" s="235">
        <v>8</v>
      </c>
      <c r="B105" s="236" t="s">
        <v>655</v>
      </c>
      <c r="C105" s="239">
        <v>0</v>
      </c>
      <c r="D105" s="239">
        <v>502</v>
      </c>
      <c r="E105" s="239">
        <f t="shared" si="14"/>
        <v>502</v>
      </c>
      <c r="F105" s="238">
        <f t="shared" si="15"/>
        <v>0</v>
      </c>
    </row>
    <row r="106" spans="1:6" ht="20.25" customHeight="1">
      <c r="A106" s="235">
        <v>9</v>
      </c>
      <c r="B106" s="236" t="s">
        <v>656</v>
      </c>
      <c r="C106" s="239">
        <v>0</v>
      </c>
      <c r="D106" s="239">
        <v>13</v>
      </c>
      <c r="E106" s="239">
        <f t="shared" si="14"/>
        <v>13</v>
      </c>
      <c r="F106" s="238">
        <f t="shared" si="15"/>
        <v>0</v>
      </c>
    </row>
    <row r="107" spans="1:6" s="240" customFormat="1" ht="39.75" customHeight="1">
      <c r="A107" s="245"/>
      <c r="B107" s="242" t="s">
        <v>657</v>
      </c>
      <c r="C107" s="243">
        <f>+C98+C100</f>
        <v>0</v>
      </c>
      <c r="D107" s="243">
        <f>+D98+D100</f>
        <v>1418662</v>
      </c>
      <c r="E107" s="243">
        <f t="shared" si="14"/>
        <v>1418662</v>
      </c>
      <c r="F107" s="244">
        <f t="shared" si="15"/>
        <v>0</v>
      </c>
    </row>
    <row r="108" spans="1:6" s="240" customFormat="1" ht="39.75" customHeight="1">
      <c r="A108" s="245"/>
      <c r="B108" s="242" t="s">
        <v>686</v>
      </c>
      <c r="C108" s="243">
        <f>+C99+C101</f>
        <v>0</v>
      </c>
      <c r="D108" s="243">
        <f>+D99+D101</f>
        <v>328886</v>
      </c>
      <c r="E108" s="243">
        <f t="shared" si="14"/>
        <v>328886</v>
      </c>
      <c r="F108" s="244">
        <f t="shared" si="15"/>
        <v>0</v>
      </c>
    </row>
    <row r="109" spans="1:7" s="240" customFormat="1" ht="20.25" customHeight="1">
      <c r="A109" s="688" t="s">
        <v>260</v>
      </c>
      <c r="B109" s="689" t="s">
        <v>694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676</v>
      </c>
      <c r="C112" s="243">
        <f aca="true" t="shared" si="16" ref="C112:D120">+C98+C86+C74+C62+C50+C38+C26+C14</f>
        <v>4893991</v>
      </c>
      <c r="D112" s="243">
        <f t="shared" si="16"/>
        <v>3082158</v>
      </c>
      <c r="E112" s="243">
        <f aca="true" t="shared" si="17" ref="E112:E122">D112-C112</f>
        <v>-1811833</v>
      </c>
      <c r="F112" s="244">
        <f aca="true" t="shared" si="18" ref="F112:F122">IF(C112=0,0,E112/C112)</f>
        <v>-0.37021584224409076</v>
      </c>
    </row>
    <row r="113" spans="1:6" ht="20.25" customHeight="1">
      <c r="A113" s="249"/>
      <c r="B113" s="250" t="s">
        <v>677</v>
      </c>
      <c r="C113" s="243">
        <f t="shared" si="16"/>
        <v>965584</v>
      </c>
      <c r="D113" s="243">
        <f t="shared" si="16"/>
        <v>744646</v>
      </c>
      <c r="E113" s="243">
        <f t="shared" si="17"/>
        <v>-220938</v>
      </c>
      <c r="F113" s="244">
        <f t="shared" si="18"/>
        <v>-0.228812822084873</v>
      </c>
    </row>
    <row r="114" spans="1:6" ht="20.25" customHeight="1">
      <c r="A114" s="249"/>
      <c r="B114" s="250" t="s">
        <v>678</v>
      </c>
      <c r="C114" s="243">
        <f t="shared" si="16"/>
        <v>8478126</v>
      </c>
      <c r="D114" s="243">
        <f t="shared" si="16"/>
        <v>6931078</v>
      </c>
      <c r="E114" s="243">
        <f t="shared" si="17"/>
        <v>-1547048</v>
      </c>
      <c r="F114" s="244">
        <f t="shared" si="18"/>
        <v>-0.18247523096495616</v>
      </c>
    </row>
    <row r="115" spans="1:6" ht="20.25" customHeight="1">
      <c r="A115" s="249"/>
      <c r="B115" s="250" t="s">
        <v>679</v>
      </c>
      <c r="C115" s="243">
        <f t="shared" si="16"/>
        <v>1841449</v>
      </c>
      <c r="D115" s="243">
        <f t="shared" si="16"/>
        <v>1614741</v>
      </c>
      <c r="E115" s="243">
        <f t="shared" si="17"/>
        <v>-226708</v>
      </c>
      <c r="F115" s="244">
        <f t="shared" si="18"/>
        <v>-0.1231139173553001</v>
      </c>
    </row>
    <row r="116" spans="1:6" ht="20.25" customHeight="1">
      <c r="A116" s="249"/>
      <c r="B116" s="250" t="s">
        <v>680</v>
      </c>
      <c r="C116" s="252">
        <f t="shared" si="16"/>
        <v>392</v>
      </c>
      <c r="D116" s="252">
        <f t="shared" si="16"/>
        <v>285</v>
      </c>
      <c r="E116" s="252">
        <f t="shared" si="17"/>
        <v>-107</v>
      </c>
      <c r="F116" s="244">
        <f t="shared" si="18"/>
        <v>-0.2729591836734694</v>
      </c>
    </row>
    <row r="117" spans="1:6" ht="20.25" customHeight="1">
      <c r="A117" s="249"/>
      <c r="B117" s="250" t="s">
        <v>681</v>
      </c>
      <c r="C117" s="252">
        <f t="shared" si="16"/>
        <v>1595</v>
      </c>
      <c r="D117" s="252">
        <f t="shared" si="16"/>
        <v>962</v>
      </c>
      <c r="E117" s="252">
        <f t="shared" si="17"/>
        <v>-633</v>
      </c>
      <c r="F117" s="244">
        <f t="shared" si="18"/>
        <v>-0.3968652037617555</v>
      </c>
    </row>
    <row r="118" spans="1:6" ht="39.75" customHeight="1">
      <c r="A118" s="249"/>
      <c r="B118" s="250" t="s">
        <v>682</v>
      </c>
      <c r="C118" s="252">
        <f t="shared" si="16"/>
        <v>4052</v>
      </c>
      <c r="D118" s="252">
        <f t="shared" si="16"/>
        <v>2933</v>
      </c>
      <c r="E118" s="252">
        <f t="shared" si="17"/>
        <v>-1119</v>
      </c>
      <c r="F118" s="244">
        <f t="shared" si="18"/>
        <v>-0.2761599210266535</v>
      </c>
    </row>
    <row r="119" spans="1:6" ht="39.75" customHeight="1">
      <c r="A119" s="249"/>
      <c r="B119" s="250" t="s">
        <v>683</v>
      </c>
      <c r="C119" s="252">
        <f t="shared" si="16"/>
        <v>2134</v>
      </c>
      <c r="D119" s="252">
        <f t="shared" si="16"/>
        <v>2471</v>
      </c>
      <c r="E119" s="252">
        <f t="shared" si="17"/>
        <v>337</v>
      </c>
      <c r="F119" s="244">
        <f t="shared" si="18"/>
        <v>0.1579194001874414</v>
      </c>
    </row>
    <row r="120" spans="1:6" ht="39.75" customHeight="1">
      <c r="A120" s="249"/>
      <c r="B120" s="250" t="s">
        <v>684</v>
      </c>
      <c r="C120" s="252">
        <f t="shared" si="16"/>
        <v>145</v>
      </c>
      <c r="D120" s="252">
        <f t="shared" si="16"/>
        <v>115</v>
      </c>
      <c r="E120" s="252">
        <f t="shared" si="17"/>
        <v>-30</v>
      </c>
      <c r="F120" s="244">
        <f t="shared" si="18"/>
        <v>-0.20689655172413793</v>
      </c>
    </row>
    <row r="121" spans="1:6" ht="39.75" customHeight="1">
      <c r="A121" s="249"/>
      <c r="B121" s="242" t="s">
        <v>657</v>
      </c>
      <c r="C121" s="243">
        <f>+C112+C114</f>
        <v>13372117</v>
      </c>
      <c r="D121" s="243">
        <f>+D112+D114</f>
        <v>10013236</v>
      </c>
      <c r="E121" s="243">
        <f t="shared" si="17"/>
        <v>-3358881</v>
      </c>
      <c r="F121" s="244">
        <f t="shared" si="18"/>
        <v>-0.25118543309185826</v>
      </c>
    </row>
    <row r="122" spans="1:6" ht="39.75" customHeight="1">
      <c r="A122" s="249"/>
      <c r="B122" s="242" t="s">
        <v>686</v>
      </c>
      <c r="C122" s="243">
        <f>+C113+C115</f>
        <v>2807033</v>
      </c>
      <c r="D122" s="243">
        <f>+D113+D115</f>
        <v>2359387</v>
      </c>
      <c r="E122" s="243">
        <f t="shared" si="17"/>
        <v>-447646</v>
      </c>
      <c r="F122" s="244">
        <f t="shared" si="18"/>
        <v>-0.15947300940174197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FILING&amp;RJOHNSON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695</v>
      </c>
      <c r="C1" s="3"/>
      <c r="D1" s="3"/>
      <c r="E1" s="4"/>
      <c r="F1" s="5"/>
    </row>
    <row r="2" spans="1:6" ht="24" customHeight="1">
      <c r="A2" s="3"/>
      <c r="B2" s="3" t="s">
        <v>217</v>
      </c>
      <c r="C2" s="3"/>
      <c r="D2" s="3"/>
      <c r="E2" s="4"/>
      <c r="F2" s="5"/>
    </row>
    <row r="3" spans="1:6" ht="24" customHeight="1">
      <c r="A3" s="3"/>
      <c r="B3" s="3" t="s">
        <v>218</v>
      </c>
      <c r="C3" s="3"/>
      <c r="D3" s="3"/>
      <c r="E3" s="4"/>
      <c r="F3" s="5"/>
    </row>
    <row r="4" spans="1:6" ht="24" customHeight="1">
      <c r="A4" s="3"/>
      <c r="B4" s="3" t="s">
        <v>696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220</v>
      </c>
      <c r="D7" s="10" t="s">
        <v>221</v>
      </c>
      <c r="E7" s="11" t="s">
        <v>222</v>
      </c>
      <c r="F7" s="11" t="s">
        <v>223</v>
      </c>
      <c r="H7" s="12"/>
    </row>
    <row r="8" spans="1:6" s="6" customFormat="1" ht="15.75" customHeight="1">
      <c r="A8" s="13" t="s">
        <v>224</v>
      </c>
      <c r="B8" s="13" t="s">
        <v>225</v>
      </c>
      <c r="C8" s="14" t="s">
        <v>226</v>
      </c>
      <c r="D8" s="14" t="s">
        <v>226</v>
      </c>
      <c r="E8" s="15" t="s">
        <v>227</v>
      </c>
      <c r="F8" s="15" t="s">
        <v>227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228</v>
      </c>
      <c r="B10" s="16" t="s">
        <v>229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230</v>
      </c>
      <c r="B12" s="16" t="s">
        <v>231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232</v>
      </c>
      <c r="C13" s="23">
        <v>4847594</v>
      </c>
      <c r="D13" s="23">
        <v>5343494</v>
      </c>
      <c r="E13" s="23">
        <f aca="true" t="shared" si="0" ref="E13:E22">D13-C13</f>
        <v>495900</v>
      </c>
      <c r="F13" s="24">
        <f aca="true" t="shared" si="1" ref="F13:F22">IF(C13=0,0,E13/C13)</f>
        <v>0.10229817101019599</v>
      </c>
    </row>
    <row r="14" spans="1:6" ht="24" customHeight="1">
      <c r="A14" s="21">
        <v>2</v>
      </c>
      <c r="B14" s="22" t="s">
        <v>233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234</v>
      </c>
      <c r="C15" s="23">
        <v>11482882</v>
      </c>
      <c r="D15" s="23">
        <v>12328784</v>
      </c>
      <c r="E15" s="23">
        <f t="shared" si="0"/>
        <v>845902</v>
      </c>
      <c r="F15" s="24">
        <f t="shared" si="1"/>
        <v>0.07366634961501825</v>
      </c>
    </row>
    <row r="16" spans="1:6" ht="34.5" customHeight="1">
      <c r="A16" s="21">
        <v>4</v>
      </c>
      <c r="B16" s="22" t="s">
        <v>235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236</v>
      </c>
      <c r="C17" s="23">
        <v>0</v>
      </c>
      <c r="D17" s="23">
        <v>444110</v>
      </c>
      <c r="E17" s="23">
        <f t="shared" si="0"/>
        <v>444110</v>
      </c>
      <c r="F17" s="24">
        <f t="shared" si="1"/>
        <v>0</v>
      </c>
    </row>
    <row r="18" spans="1:6" ht="24" customHeight="1">
      <c r="A18" s="21">
        <v>6</v>
      </c>
      <c r="B18" s="22" t="s">
        <v>237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238</v>
      </c>
      <c r="C19" s="23">
        <v>1109071</v>
      </c>
      <c r="D19" s="23">
        <v>1200968</v>
      </c>
      <c r="E19" s="23">
        <f t="shared" si="0"/>
        <v>91897</v>
      </c>
      <c r="F19" s="24">
        <f t="shared" si="1"/>
        <v>0.08285943821450566</v>
      </c>
    </row>
    <row r="20" spans="1:6" ht="24" customHeight="1">
      <c r="A20" s="21">
        <v>8</v>
      </c>
      <c r="B20" s="22" t="s">
        <v>239</v>
      </c>
      <c r="C20" s="23">
        <v>787528</v>
      </c>
      <c r="D20" s="23">
        <v>1481387</v>
      </c>
      <c r="E20" s="23">
        <f t="shared" si="0"/>
        <v>693859</v>
      </c>
      <c r="F20" s="24">
        <f t="shared" si="1"/>
        <v>0.8810594670919637</v>
      </c>
    </row>
    <row r="21" spans="1:6" ht="24" customHeight="1">
      <c r="A21" s="21">
        <v>9</v>
      </c>
      <c r="B21" s="22" t="s">
        <v>240</v>
      </c>
      <c r="C21" s="23">
        <v>1752361</v>
      </c>
      <c r="D21" s="23">
        <v>530364</v>
      </c>
      <c r="E21" s="23">
        <f t="shared" si="0"/>
        <v>-1221997</v>
      </c>
      <c r="F21" s="24">
        <f t="shared" si="1"/>
        <v>-0.6973431844237574</v>
      </c>
    </row>
    <row r="22" spans="1:6" ht="24" customHeight="1">
      <c r="A22" s="25"/>
      <c r="B22" s="26" t="s">
        <v>241</v>
      </c>
      <c r="C22" s="27">
        <f>SUM(C13:C21)</f>
        <v>19979436</v>
      </c>
      <c r="D22" s="27">
        <f>SUM(D13:D21)</f>
        <v>21329107</v>
      </c>
      <c r="E22" s="27">
        <f t="shared" si="0"/>
        <v>1349671</v>
      </c>
      <c r="F22" s="28">
        <f t="shared" si="1"/>
        <v>0.06755300800282851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242</v>
      </c>
      <c r="B24" s="30" t="s">
        <v>243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244</v>
      </c>
      <c r="C25" s="23">
        <v>6578428</v>
      </c>
      <c r="D25" s="23">
        <v>4009309</v>
      </c>
      <c r="E25" s="23">
        <f>D25-C25</f>
        <v>-2569119</v>
      </c>
      <c r="F25" s="24">
        <f>IF(C25=0,0,E25/C25)</f>
        <v>-0.39053691854649775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245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246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247</v>
      </c>
      <c r="C28" s="23">
        <v>1863985</v>
      </c>
      <c r="D28" s="23">
        <v>0</v>
      </c>
      <c r="E28" s="23">
        <f>D28-C28</f>
        <v>-1863985</v>
      </c>
      <c r="F28" s="24">
        <f>IF(C28=0,0,E28/C28)</f>
        <v>-1</v>
      </c>
    </row>
    <row r="29" spans="1:6" ht="34.5" customHeight="1">
      <c r="A29" s="25"/>
      <c r="B29" s="26" t="s">
        <v>248</v>
      </c>
      <c r="C29" s="27">
        <f>SUM(C25:C28)</f>
        <v>8442413</v>
      </c>
      <c r="D29" s="27">
        <f>SUM(D25:D28)</f>
        <v>4009309</v>
      </c>
      <c r="E29" s="27">
        <f>D29-C29</f>
        <v>-4433104</v>
      </c>
      <c r="F29" s="28">
        <f>IF(C29=0,0,E29/C29)</f>
        <v>-0.5250991629999622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249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250</v>
      </c>
      <c r="C32" s="23">
        <v>2962680</v>
      </c>
      <c r="D32" s="23">
        <v>3694829</v>
      </c>
      <c r="E32" s="23">
        <f>D32-C32</f>
        <v>732149</v>
      </c>
      <c r="F32" s="24">
        <f>IF(C32=0,0,E32/C32)</f>
        <v>0.2471238878312879</v>
      </c>
    </row>
    <row r="33" spans="1:6" ht="24" customHeight="1">
      <c r="A33" s="21">
        <v>7</v>
      </c>
      <c r="B33" s="22" t="s">
        <v>251</v>
      </c>
      <c r="C33" s="23">
        <v>1208925</v>
      </c>
      <c r="D33" s="23">
        <v>941124</v>
      </c>
      <c r="E33" s="23">
        <f>D33-C33</f>
        <v>-267801</v>
      </c>
      <c r="F33" s="24">
        <f>IF(C33=0,0,E33/C33)</f>
        <v>-0.22151994540604256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252</v>
      </c>
      <c r="B35" s="30" t="s">
        <v>253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254</v>
      </c>
      <c r="C36" s="23">
        <v>83779692</v>
      </c>
      <c r="D36" s="23">
        <v>85744846</v>
      </c>
      <c r="E36" s="23">
        <f>D36-C36</f>
        <v>1965154</v>
      </c>
      <c r="F36" s="24">
        <f>IF(C36=0,0,E36/C36)</f>
        <v>0.023456209411703257</v>
      </c>
    </row>
    <row r="37" spans="1:6" ht="24" customHeight="1">
      <c r="A37" s="21">
        <v>2</v>
      </c>
      <c r="B37" s="22" t="s">
        <v>255</v>
      </c>
      <c r="C37" s="23">
        <v>42199704</v>
      </c>
      <c r="D37" s="23">
        <v>44974323</v>
      </c>
      <c r="E37" s="23">
        <f>D37-C37</f>
        <v>2774619</v>
      </c>
      <c r="F37" s="23">
        <f>IF(C37=0,0,E37/C37)</f>
        <v>0.06574972658575994</v>
      </c>
    </row>
    <row r="38" spans="1:6" ht="24" customHeight="1">
      <c r="A38" s="25"/>
      <c r="B38" s="26" t="s">
        <v>256</v>
      </c>
      <c r="C38" s="27">
        <f>C36-C37</f>
        <v>41579988</v>
      </c>
      <c r="D38" s="27">
        <f>D36-D37</f>
        <v>40770523</v>
      </c>
      <c r="E38" s="27">
        <f>D38-C38</f>
        <v>-809465</v>
      </c>
      <c r="F38" s="28">
        <f>IF(C38=0,0,E38/C38)</f>
        <v>-0.019467658336024533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257</v>
      </c>
      <c r="C40" s="23">
        <v>123182</v>
      </c>
      <c r="D40" s="23">
        <v>0</v>
      </c>
      <c r="E40" s="23">
        <f>D40-C40</f>
        <v>-123182</v>
      </c>
      <c r="F40" s="24">
        <f>IF(C40=0,0,E40/C40)</f>
        <v>-1</v>
      </c>
    </row>
    <row r="41" spans="1:6" ht="24" customHeight="1">
      <c r="A41" s="25"/>
      <c r="B41" s="26" t="s">
        <v>258</v>
      </c>
      <c r="C41" s="27">
        <f>+C38+C40</f>
        <v>41703170</v>
      </c>
      <c r="D41" s="27">
        <f>+D38+D40</f>
        <v>40770523</v>
      </c>
      <c r="E41" s="27">
        <f>D41-C41</f>
        <v>-932647</v>
      </c>
      <c r="F41" s="28">
        <f>IF(C41=0,0,E41/C41)</f>
        <v>-0.022363935403471726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259</v>
      </c>
      <c r="C43" s="27">
        <f>C22+C29+C31+C32+C33+C41</f>
        <v>74296624</v>
      </c>
      <c r="D43" s="27">
        <f>D22+D29+D31+D32+D33+D41</f>
        <v>70744892</v>
      </c>
      <c r="E43" s="27">
        <f>D43-C43</f>
        <v>-3551732</v>
      </c>
      <c r="F43" s="28">
        <f>IF(C43=0,0,E43/C43)</f>
        <v>-0.047804756243029295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260</v>
      </c>
      <c r="B46" s="16" t="s">
        <v>261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230</v>
      </c>
      <c r="B48" s="41" t="s">
        <v>262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263</v>
      </c>
      <c r="C49" s="23">
        <v>21342521</v>
      </c>
      <c r="D49" s="23">
        <v>23848667</v>
      </c>
      <c r="E49" s="23">
        <f aca="true" t="shared" si="2" ref="E49:E56">D49-C49</f>
        <v>2506146</v>
      </c>
      <c r="F49" s="24">
        <f aca="true" t="shared" si="3" ref="F49:F56">IF(C49=0,0,E49/C49)</f>
        <v>0.11742502209556219</v>
      </c>
    </row>
    <row r="50" spans="1:6" ht="24" customHeight="1">
      <c r="A50" s="21">
        <f aca="true" t="shared" si="4" ref="A50:A55">1+A49</f>
        <v>2</v>
      </c>
      <c r="B50" s="22" t="s">
        <v>264</v>
      </c>
      <c r="C50" s="23">
        <v>3819834</v>
      </c>
      <c r="D50" s="23">
        <v>4429680</v>
      </c>
      <c r="E50" s="23">
        <f t="shared" si="2"/>
        <v>609846</v>
      </c>
      <c r="F50" s="24">
        <f t="shared" si="3"/>
        <v>0.15965248751647323</v>
      </c>
    </row>
    <row r="51" spans="1:6" ht="24" customHeight="1">
      <c r="A51" s="21">
        <f t="shared" si="4"/>
        <v>3</v>
      </c>
      <c r="B51" s="22" t="s">
        <v>265</v>
      </c>
      <c r="C51" s="23">
        <v>1118742</v>
      </c>
      <c r="D51" s="23">
        <v>304390</v>
      </c>
      <c r="E51" s="23">
        <f t="shared" si="2"/>
        <v>-814352</v>
      </c>
      <c r="F51" s="24">
        <f t="shared" si="3"/>
        <v>-0.727917607455517</v>
      </c>
    </row>
    <row r="52" spans="1:6" ht="24" customHeight="1">
      <c r="A52" s="21">
        <f t="shared" si="4"/>
        <v>4</v>
      </c>
      <c r="B52" s="22" t="s">
        <v>266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267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>
      <c r="A54" s="21">
        <f t="shared" si="4"/>
        <v>6</v>
      </c>
      <c r="B54" s="22" t="s">
        <v>268</v>
      </c>
      <c r="C54" s="23">
        <v>10213555</v>
      </c>
      <c r="D54" s="23">
        <v>7622319</v>
      </c>
      <c r="E54" s="23">
        <f t="shared" si="2"/>
        <v>-2591236</v>
      </c>
      <c r="F54" s="24">
        <f t="shared" si="3"/>
        <v>-0.253705590267052</v>
      </c>
    </row>
    <row r="55" spans="1:6" ht="24" customHeight="1">
      <c r="A55" s="21">
        <f t="shared" si="4"/>
        <v>7</v>
      </c>
      <c r="B55" s="22" t="s">
        <v>269</v>
      </c>
      <c r="C55" s="23">
        <v>10431390</v>
      </c>
      <c r="D55" s="23">
        <v>9649015</v>
      </c>
      <c r="E55" s="23">
        <f t="shared" si="2"/>
        <v>-782375</v>
      </c>
      <c r="F55" s="24">
        <f t="shared" si="3"/>
        <v>-0.07500198918840155</v>
      </c>
    </row>
    <row r="56" spans="1:6" ht="24" customHeight="1">
      <c r="A56" s="25"/>
      <c r="B56" s="26" t="s">
        <v>270</v>
      </c>
      <c r="C56" s="27">
        <f>SUM(C49:C55)</f>
        <v>46926042</v>
      </c>
      <c r="D56" s="27">
        <f>SUM(D49:D55)</f>
        <v>45854071</v>
      </c>
      <c r="E56" s="27">
        <f t="shared" si="2"/>
        <v>-1071971</v>
      </c>
      <c r="F56" s="28">
        <f t="shared" si="3"/>
        <v>-0.022843840100556533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242</v>
      </c>
      <c r="B58" s="41" t="s">
        <v>271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272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273</v>
      </c>
      <c r="C60" s="23">
        <v>32508740</v>
      </c>
      <c r="D60" s="23">
        <v>31986240</v>
      </c>
      <c r="E60" s="23">
        <f>D60-C60</f>
        <v>-522500</v>
      </c>
      <c r="F60" s="24">
        <f>IF(C60=0,0,E60/C60)</f>
        <v>-0.016072600783666176</v>
      </c>
    </row>
    <row r="61" spans="1:6" ht="24" customHeight="1">
      <c r="A61" s="25"/>
      <c r="B61" s="26" t="s">
        <v>274</v>
      </c>
      <c r="C61" s="27">
        <f>SUM(C59:C60)</f>
        <v>32508740</v>
      </c>
      <c r="D61" s="27">
        <f>SUM(D59:D60)</f>
        <v>31986240</v>
      </c>
      <c r="E61" s="27">
        <f>D61-C61</f>
        <v>-522500</v>
      </c>
      <c r="F61" s="28">
        <f>IF(C61=0,0,E61/C61)</f>
        <v>-0.016072600783666176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275</v>
      </c>
      <c r="C63" s="23">
        <v>1281829</v>
      </c>
      <c r="D63" s="23">
        <v>1683023</v>
      </c>
      <c r="E63" s="23">
        <f>D63-C63</f>
        <v>401194</v>
      </c>
      <c r="F63" s="24">
        <f>IF(C63=0,0,E63/C63)</f>
        <v>0.31298558544080374</v>
      </c>
    </row>
    <row r="64" spans="1:6" ht="24" customHeight="1">
      <c r="A64" s="21">
        <v>4</v>
      </c>
      <c r="B64" s="22" t="s">
        <v>276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>
      <c r="A65" s="25"/>
      <c r="B65" s="26" t="s">
        <v>277</v>
      </c>
      <c r="C65" s="27">
        <f>SUM(C61:C64)</f>
        <v>33790569</v>
      </c>
      <c r="D65" s="27">
        <f>SUM(D61:D64)</f>
        <v>33669263</v>
      </c>
      <c r="E65" s="27">
        <f>D65-C65</f>
        <v>-121306</v>
      </c>
      <c r="F65" s="28">
        <f>IF(C65=0,0,E65/C65)</f>
        <v>-0.003589936588519714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278</v>
      </c>
      <c r="C67" s="23">
        <v>0</v>
      </c>
      <c r="D67" s="23">
        <v>6089901</v>
      </c>
      <c r="E67" s="23">
        <f>D67-C67</f>
        <v>6089901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252</v>
      </c>
      <c r="B69" s="41" t="s">
        <v>279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280</v>
      </c>
      <c r="C70" s="23">
        <v>-7848792</v>
      </c>
      <c r="D70" s="23">
        <v>-16166149</v>
      </c>
      <c r="E70" s="23">
        <f>D70-C70</f>
        <v>-8317357</v>
      </c>
      <c r="F70" s="24">
        <f>IF(C70=0,0,E70/C70)</f>
        <v>1.0596989957180671</v>
      </c>
    </row>
    <row r="71" spans="1:6" ht="24" customHeight="1">
      <c r="A71" s="21">
        <v>2</v>
      </c>
      <c r="B71" s="22" t="s">
        <v>281</v>
      </c>
      <c r="C71" s="23">
        <v>416810</v>
      </c>
      <c r="D71" s="23">
        <v>285811</v>
      </c>
      <c r="E71" s="23">
        <f>D71-C71</f>
        <v>-130999</v>
      </c>
      <c r="F71" s="24">
        <f>IF(C71=0,0,E71/C71)</f>
        <v>-0.31428948441736043</v>
      </c>
    </row>
    <row r="72" spans="1:6" ht="24" customHeight="1">
      <c r="A72" s="21">
        <v>3</v>
      </c>
      <c r="B72" s="22" t="s">
        <v>282</v>
      </c>
      <c r="C72" s="23">
        <v>1011995</v>
      </c>
      <c r="D72" s="23">
        <v>1011995</v>
      </c>
      <c r="E72" s="23">
        <f>D72-C72</f>
        <v>0</v>
      </c>
      <c r="F72" s="24">
        <f>IF(C72=0,0,E72/C72)</f>
        <v>0</v>
      </c>
    </row>
    <row r="73" spans="1:6" ht="24" customHeight="1">
      <c r="A73" s="21"/>
      <c r="B73" s="26" t="s">
        <v>283</v>
      </c>
      <c r="C73" s="27">
        <f>SUM(C70:C72)</f>
        <v>-6419987</v>
      </c>
      <c r="D73" s="27">
        <f>SUM(D70:D72)</f>
        <v>-14868343</v>
      </c>
      <c r="E73" s="27">
        <f>D73-C73</f>
        <v>-8448356</v>
      </c>
      <c r="F73" s="28">
        <f>IF(C73=0,0,E73/C73)</f>
        <v>1.3159459668687803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284</v>
      </c>
      <c r="C75" s="27">
        <f>C56+C65+C67+C73</f>
        <v>74296624</v>
      </c>
      <c r="D75" s="27">
        <f>D56+D65+D67+D73</f>
        <v>70744892</v>
      </c>
      <c r="E75" s="27">
        <f>D75-C75</f>
        <v>-3551732</v>
      </c>
      <c r="F75" s="28">
        <f>IF(C75=0,0,E75/C75)</f>
        <v>-0.047804756243029295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FILING&amp;RJOHNSON MEMORIAL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695</v>
      </c>
      <c r="B1" s="696"/>
      <c r="C1" s="696"/>
      <c r="D1" s="696"/>
      <c r="E1" s="696"/>
      <c r="F1" s="697"/>
    </row>
    <row r="2" spans="1:6" ht="22.5" customHeight="1">
      <c r="A2" s="695" t="s">
        <v>217</v>
      </c>
      <c r="B2" s="696"/>
      <c r="C2" s="696"/>
      <c r="D2" s="696"/>
      <c r="E2" s="696"/>
      <c r="F2" s="697"/>
    </row>
    <row r="3" spans="1:6" ht="22.5" customHeight="1">
      <c r="A3" s="695" t="s">
        <v>218</v>
      </c>
      <c r="B3" s="696"/>
      <c r="C3" s="696"/>
      <c r="D3" s="696"/>
      <c r="E3" s="696"/>
      <c r="F3" s="697"/>
    </row>
    <row r="4" spans="1:6" ht="22.5" customHeight="1">
      <c r="A4" s="695" t="s">
        <v>697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220</v>
      </c>
      <c r="D6" s="10" t="s">
        <v>221</v>
      </c>
      <c r="E6" s="59" t="s">
        <v>222</v>
      </c>
      <c r="F6" s="59" t="s">
        <v>223</v>
      </c>
    </row>
    <row r="7" spans="1:8" ht="15.75" customHeight="1">
      <c r="A7" s="61" t="s">
        <v>224</v>
      </c>
      <c r="B7" s="62" t="s">
        <v>225</v>
      </c>
      <c r="C7" s="14" t="s">
        <v>226</v>
      </c>
      <c r="D7" s="14" t="s">
        <v>226</v>
      </c>
      <c r="E7" s="63" t="s">
        <v>227</v>
      </c>
      <c r="F7" s="63" t="s">
        <v>227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230</v>
      </c>
      <c r="B11" s="30" t="s">
        <v>286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287</v>
      </c>
      <c r="C12" s="51">
        <v>263837838</v>
      </c>
      <c r="D12" s="51">
        <v>229142463</v>
      </c>
      <c r="E12" s="51">
        <f aca="true" t="shared" si="0" ref="E12:E19">D12-C12</f>
        <v>-34695375</v>
      </c>
      <c r="F12" s="70">
        <f aca="true" t="shared" si="1" ref="F12:F19">IF(C12=0,0,E12/C12)</f>
        <v>-0.1315026505030715</v>
      </c>
    </row>
    <row r="13" spans="1:6" ht="22.5" customHeight="1">
      <c r="A13" s="25">
        <v>2</v>
      </c>
      <c r="B13" s="48" t="s">
        <v>288</v>
      </c>
      <c r="C13" s="51">
        <v>166951118</v>
      </c>
      <c r="D13" s="51">
        <v>141890606</v>
      </c>
      <c r="E13" s="51">
        <f t="shared" si="0"/>
        <v>-25060512</v>
      </c>
      <c r="F13" s="70">
        <f t="shared" si="1"/>
        <v>-0.15010688338127812</v>
      </c>
    </row>
    <row r="14" spans="1:6" ht="22.5" customHeight="1">
      <c r="A14" s="25">
        <v>3</v>
      </c>
      <c r="B14" s="48" t="s">
        <v>289</v>
      </c>
      <c r="C14" s="51">
        <v>97529</v>
      </c>
      <c r="D14" s="51">
        <v>559676</v>
      </c>
      <c r="E14" s="51">
        <f t="shared" si="0"/>
        <v>462147</v>
      </c>
      <c r="F14" s="70">
        <f t="shared" si="1"/>
        <v>4.738559812978703</v>
      </c>
    </row>
    <row r="15" spans="1:7" ht="22.5" customHeight="1">
      <c r="A15" s="25">
        <v>4</v>
      </c>
      <c r="B15" s="48" t="s">
        <v>290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291</v>
      </c>
      <c r="C16" s="27">
        <f>C12-C13-C14-C15</f>
        <v>96789191</v>
      </c>
      <c r="D16" s="27">
        <f>D12-D13-D14-D15</f>
        <v>86692181</v>
      </c>
      <c r="E16" s="27">
        <f t="shared" si="0"/>
        <v>-10097010</v>
      </c>
      <c r="F16" s="28">
        <f t="shared" si="1"/>
        <v>-0.10431960320858555</v>
      </c>
    </row>
    <row r="17" spans="1:7" ht="22.5" customHeight="1">
      <c r="A17" s="25">
        <v>5</v>
      </c>
      <c r="B17" s="48" t="s">
        <v>292</v>
      </c>
      <c r="C17" s="51">
        <v>4697498</v>
      </c>
      <c r="D17" s="51">
        <v>6489182</v>
      </c>
      <c r="E17" s="51">
        <f t="shared" si="0"/>
        <v>1791684</v>
      </c>
      <c r="F17" s="70">
        <f t="shared" si="1"/>
        <v>0.3814124029430135</v>
      </c>
      <c r="G17" s="64"/>
    </row>
    <row r="18" spans="1:7" ht="33" customHeight="1">
      <c r="A18" s="25">
        <v>6</v>
      </c>
      <c r="B18" s="45" t="s">
        <v>293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294</v>
      </c>
      <c r="C19" s="27">
        <f>SUM(C16:C18)</f>
        <v>101486689</v>
      </c>
      <c r="D19" s="27">
        <f>SUM(D16:D18)</f>
        <v>93181363</v>
      </c>
      <c r="E19" s="27">
        <f t="shared" si="0"/>
        <v>-8305326</v>
      </c>
      <c r="F19" s="28">
        <f t="shared" si="1"/>
        <v>-0.08183660420727688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242</v>
      </c>
      <c r="B21" s="30" t="s">
        <v>295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296</v>
      </c>
      <c r="C22" s="51">
        <v>45413119</v>
      </c>
      <c r="D22" s="51">
        <v>41983567</v>
      </c>
      <c r="E22" s="51">
        <f aca="true" t="shared" si="2" ref="E22:E31">D22-C22</f>
        <v>-3429552</v>
      </c>
      <c r="F22" s="70">
        <f aca="true" t="shared" si="3" ref="F22:F31">IF(C22=0,0,E22/C22)</f>
        <v>-0.07551897063049116</v>
      </c>
    </row>
    <row r="23" spans="1:6" ht="22.5" customHeight="1">
      <c r="A23" s="25">
        <v>2</v>
      </c>
      <c r="B23" s="48" t="s">
        <v>297</v>
      </c>
      <c r="C23" s="51">
        <v>10634521</v>
      </c>
      <c r="D23" s="51">
        <v>10647150</v>
      </c>
      <c r="E23" s="51">
        <f t="shared" si="2"/>
        <v>12629</v>
      </c>
      <c r="F23" s="70">
        <f t="shared" si="3"/>
        <v>0.0011875476102778866</v>
      </c>
    </row>
    <row r="24" spans="1:7" ht="22.5" customHeight="1">
      <c r="A24" s="25">
        <v>3</v>
      </c>
      <c r="B24" s="48" t="s">
        <v>298</v>
      </c>
      <c r="C24" s="51">
        <v>3559560</v>
      </c>
      <c r="D24" s="51">
        <v>481396</v>
      </c>
      <c r="E24" s="51">
        <f t="shared" si="2"/>
        <v>-3078164</v>
      </c>
      <c r="F24" s="70">
        <f t="shared" si="3"/>
        <v>-0.8647596893998135</v>
      </c>
      <c r="G24" s="64"/>
    </row>
    <row r="25" spans="1:6" ht="22.5" customHeight="1">
      <c r="A25" s="25">
        <v>4</v>
      </c>
      <c r="B25" s="48" t="s">
        <v>299</v>
      </c>
      <c r="C25" s="51">
        <v>8121082</v>
      </c>
      <c r="D25" s="51">
        <v>9027325</v>
      </c>
      <c r="E25" s="51">
        <f t="shared" si="2"/>
        <v>906243</v>
      </c>
      <c r="F25" s="70">
        <f t="shared" si="3"/>
        <v>0.11159141109522105</v>
      </c>
    </row>
    <row r="26" spans="1:6" ht="22.5" customHeight="1">
      <c r="A26" s="25">
        <v>5</v>
      </c>
      <c r="B26" s="48" t="s">
        <v>300</v>
      </c>
      <c r="C26" s="51">
        <v>3938145</v>
      </c>
      <c r="D26" s="51">
        <v>4295301</v>
      </c>
      <c r="E26" s="51">
        <f t="shared" si="2"/>
        <v>357156</v>
      </c>
      <c r="F26" s="70">
        <f t="shared" si="3"/>
        <v>0.09069142959439025</v>
      </c>
    </row>
    <row r="27" spans="1:6" ht="22.5" customHeight="1">
      <c r="A27" s="25">
        <v>6</v>
      </c>
      <c r="B27" s="48" t="s">
        <v>301</v>
      </c>
      <c r="C27" s="51">
        <v>7758967</v>
      </c>
      <c r="D27" s="51">
        <v>6160349</v>
      </c>
      <c r="E27" s="51">
        <f t="shared" si="2"/>
        <v>-1598618</v>
      </c>
      <c r="F27" s="70">
        <f t="shared" si="3"/>
        <v>-0.20603490129549462</v>
      </c>
    </row>
    <row r="28" spans="1:6" ht="22.5" customHeight="1">
      <c r="A28" s="25">
        <v>7</v>
      </c>
      <c r="B28" s="48" t="s">
        <v>302</v>
      </c>
      <c r="C28" s="51">
        <v>2124765</v>
      </c>
      <c r="D28" s="51">
        <v>1228410</v>
      </c>
      <c r="E28" s="51">
        <f t="shared" si="2"/>
        <v>-896355</v>
      </c>
      <c r="F28" s="70">
        <f t="shared" si="3"/>
        <v>-0.4218607704852066</v>
      </c>
    </row>
    <row r="29" spans="1:6" ht="22.5" customHeight="1">
      <c r="A29" s="25">
        <v>8</v>
      </c>
      <c r="B29" s="48" t="s">
        <v>303</v>
      </c>
      <c r="C29" s="51">
        <v>935157</v>
      </c>
      <c r="D29" s="51">
        <v>440292</v>
      </c>
      <c r="E29" s="51">
        <f t="shared" si="2"/>
        <v>-494865</v>
      </c>
      <c r="F29" s="70">
        <f t="shared" si="3"/>
        <v>-0.5291785229645931</v>
      </c>
    </row>
    <row r="30" spans="1:6" ht="22.5" customHeight="1">
      <c r="A30" s="25">
        <v>9</v>
      </c>
      <c r="B30" s="48" t="s">
        <v>304</v>
      </c>
      <c r="C30" s="51">
        <v>26406081</v>
      </c>
      <c r="D30" s="51">
        <v>24236283</v>
      </c>
      <c r="E30" s="51">
        <f t="shared" si="2"/>
        <v>-2169798</v>
      </c>
      <c r="F30" s="70">
        <f t="shared" si="3"/>
        <v>-0.08217039097925967</v>
      </c>
    </row>
    <row r="31" spans="1:6" ht="22.5" customHeight="1">
      <c r="A31" s="29"/>
      <c r="B31" s="71" t="s">
        <v>305</v>
      </c>
      <c r="C31" s="27">
        <f>SUM(C22:C30)</f>
        <v>108891397</v>
      </c>
      <c r="D31" s="27">
        <f>SUM(D22:D30)</f>
        <v>98500073</v>
      </c>
      <c r="E31" s="27">
        <f t="shared" si="2"/>
        <v>-10391324</v>
      </c>
      <c r="F31" s="28">
        <f t="shared" si="3"/>
        <v>-0.09542832846565463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306</v>
      </c>
      <c r="C33" s="27">
        <f>+C19-C31</f>
        <v>-7404708</v>
      </c>
      <c r="D33" s="27">
        <f>+D19-D31</f>
        <v>-5318710</v>
      </c>
      <c r="E33" s="27">
        <f>D33-C33</f>
        <v>2085998</v>
      </c>
      <c r="F33" s="28">
        <f>IF(C33=0,0,E33/C33)</f>
        <v>-0.2817123916297577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252</v>
      </c>
      <c r="B35" s="30" t="s">
        <v>307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308</v>
      </c>
      <c r="C36" s="51">
        <v>271855</v>
      </c>
      <c r="D36" s="51">
        <v>-604125</v>
      </c>
      <c r="E36" s="51">
        <f>D36-C36</f>
        <v>-875980</v>
      </c>
      <c r="F36" s="70">
        <f>IF(C36=0,0,E36/C36)</f>
        <v>-3.222232440087547</v>
      </c>
    </row>
    <row r="37" spans="1:6" ht="22.5" customHeight="1">
      <c r="A37" s="44">
        <v>2</v>
      </c>
      <c r="B37" s="48" t="s">
        <v>309</v>
      </c>
      <c r="C37" s="51">
        <v>1500000</v>
      </c>
      <c r="D37" s="51">
        <v>0</v>
      </c>
      <c r="E37" s="51">
        <f>D37-C37</f>
        <v>-1500000</v>
      </c>
      <c r="F37" s="70">
        <f>IF(C37=0,0,E37/C37)</f>
        <v>-1</v>
      </c>
    </row>
    <row r="38" spans="1:6" ht="22.5" customHeight="1">
      <c r="A38" s="44">
        <v>3</v>
      </c>
      <c r="B38" s="48" t="s">
        <v>310</v>
      </c>
      <c r="C38" s="51">
        <v>0</v>
      </c>
      <c r="D38" s="51">
        <v>-68837</v>
      </c>
      <c r="E38" s="51">
        <f>D38-C38</f>
        <v>-68837</v>
      </c>
      <c r="F38" s="70">
        <f>IF(C38=0,0,E38/C38)</f>
        <v>0</v>
      </c>
    </row>
    <row r="39" spans="1:6" ht="22.5" customHeight="1">
      <c r="A39" s="20"/>
      <c r="B39" s="71" t="s">
        <v>311</v>
      </c>
      <c r="C39" s="27">
        <f>SUM(C36:C38)</f>
        <v>1771855</v>
      </c>
      <c r="D39" s="27">
        <f>SUM(D36:D38)</f>
        <v>-672962</v>
      </c>
      <c r="E39" s="27">
        <f>D39-C39</f>
        <v>-2444817</v>
      </c>
      <c r="F39" s="28">
        <f>IF(C39=0,0,E39/C39)</f>
        <v>-1.3798064740060558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312</v>
      </c>
      <c r="C41" s="27">
        <f>C33+C39</f>
        <v>-5632853</v>
      </c>
      <c r="D41" s="27">
        <f>D33+D39</f>
        <v>-5991672</v>
      </c>
      <c r="E41" s="27">
        <f>D41-C41</f>
        <v>-358819</v>
      </c>
      <c r="F41" s="28">
        <f>IF(C41=0,0,E41/C41)</f>
        <v>0.06370111202972988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313</v>
      </c>
      <c r="C43" s="27"/>
      <c r="D43" s="27"/>
      <c r="E43" s="27"/>
      <c r="F43" s="28"/>
    </row>
    <row r="44" spans="1:6" ht="22.5" customHeight="1">
      <c r="A44" s="44"/>
      <c r="B44" s="48" t="s">
        <v>314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315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316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317</v>
      </c>
      <c r="C48" s="27">
        <f>C41+C46</f>
        <v>-5632853</v>
      </c>
      <c r="D48" s="27">
        <f>D41+D46</f>
        <v>-5991672</v>
      </c>
      <c r="E48" s="27">
        <f>D48-C48</f>
        <v>-358819</v>
      </c>
      <c r="F48" s="28">
        <f>IF(C48=0,0,E48/C48)</f>
        <v>0.06370111202972988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FILING&amp;R&amp;8JOHNSON MEMORIAL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2010-08-13T15:50:46Z</cp:lastPrinted>
  <dcterms:created xsi:type="dcterms:W3CDTF">2006-08-03T13:49:12Z</dcterms:created>
  <dcterms:modified xsi:type="dcterms:W3CDTF">2010-08-13T15:51:34Z</dcterms:modified>
  <cp:category/>
  <cp:version/>
  <cp:contentType/>
  <cp:contentStatus/>
</cp:coreProperties>
</file>