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0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<sst xmlns="http://schemas.openxmlformats.org/spreadsheetml/2006/main" count="2301" uniqueCount="979">
  <si>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</si>
  <si>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</si>
  <si>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</si>
  <si>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</si>
  <si>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</si>
  <si>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</si>
  <si>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</si>
  <si>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</si>
  <si>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</si>
  <si>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</si>
  <si>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</si>
  <si>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</si>
  <si>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</si>
  <si>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</si>
  <si>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</si>
  <si>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</si>
  <si>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</si>
  <si>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</si>
  <si>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</si>
  <si>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</si>
  <si>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</si>
  <si>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</si>
  <si>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</si>
  <si>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</si>
  <si>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</si>
  <si>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</si>
  <si>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</si>
  <si>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</si>
  <si>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</si>
  <si>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</si>
  <si>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</si>
  <si>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</si>
  <si>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</si>
  <si>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</si>
  <si>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</si>
  <si>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</si>
  <si>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</si>
  <si>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</si>
  <si>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</si>
  <si>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</si>
  <si>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</si>
  <si>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</si>
  <si>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</si>
  <si>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</si>
  <si>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</si>
  <si>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</si>
  <si>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</si>
  <si>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</si>
  <si>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</si>
  <si>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</si>
  <si>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</si>
  <si>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</si>
  <si>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</si>
  <si>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</si>
  <si>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</si>
  <si>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</si>
  <si>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</si>
  <si>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</si>
  <si>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</si>
  <si>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</si>
  <si>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</si>
  <si>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</si>
  <si>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</si>
  <si>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</si>
  <si>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</si>
  <si>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</si>
  <si>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</si>
  <si>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</si>
  <si>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</si>
  <si>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</si>
  <si>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</si>
  <si>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</si>
  <si>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</si>
  <si>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</si>
  <si>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</si>
  <si>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</si>
  <si>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</si>
  <si>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</si>
  <si>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</si>
  <si>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</si>
  <si>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</si>
  <si>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</si>
  <si>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</si>
  <si>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</si>
  <si>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</si>
  <si>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</si>
  <si>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</si>
  <si>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</si>
  <si>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</si>
  <si>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</si>
  <si>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</si>
  <si>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</si>
  <si>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</si>
  <si>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</si>
  <si>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</si>
  <si>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</si>
  <si>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</si>
  <si>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</si>
  <si>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</si>
  <si>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</si>
  <si>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</si>
  <si>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</si>
  <si>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</si>
  <si>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</si>
  <si>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</si>
  <si>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</si>
  <si>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</si>
  <si>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</si>
  <si>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</si>
  <si>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</si>
  <si>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</si>
  <si>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</si>
  <si>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</si>
  <si>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</si>
  <si>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</si>
  <si>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CHARLOTTE HUNGERFORD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</si>
  <si>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</si>
  <si>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</si>
  <si>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</si>
  <si>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</si>
  <si>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</si>
  <si>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</si>
  <si>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</si>
  <si>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</si>
  <si>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</si>
  <si>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</si>
  <si>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</si>
  <si>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</si>
  <si>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</si>
  <si>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</si>
  <si>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</si>
  <si>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</si>
  <si>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</si>
  <si>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</si>
  <si>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</si>
  <si>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</si>
  <si>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</si>
  <si>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</si>
  <si>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</si>
  <si>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</si>
  <si>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</si>
  <si>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</si>
  <si>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</si>
  <si>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</si>
  <si>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</si>
  <si>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</si>
  <si>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</si>
  <si>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</si>
  <si>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</si>
  <si>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</si>
  <si>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</si>
  <si>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</si>
  <si>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</si>
  <si>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</si>
  <si>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</si>
  <si>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</si>
  <si>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</si>
  <si>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</si>
  <si>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</si>
  <si>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</si>
  <si>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</si>
  <si>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</si>
  <si>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</si>
  <si>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</si>
  <si>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</si>
  <si>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</si>
  <si>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</si>
  <si>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</si>
  <si>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</si>
  <si>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</si>
  <si>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</si>
  <si>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</si>
  <si>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</si>
  <si>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</si>
  <si>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</si>
  <si>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</si>
  <si>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</si>
  <si>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</si>
  <si>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</si>
  <si>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</si>
  <si>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</si>
  <si>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</si>
  <si>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</si>
  <si>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</si>
  <si>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</si>
  <si>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</si>
  <si>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</si>
  <si>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</si>
  <si>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</si>
  <si>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</si>
  <si>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</si>
  <si>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</si>
  <si>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</si>
  <si>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</si>
  <si>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</si>
  <si>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</si>
  <si>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</si>
  <si>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</si>
  <si>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</si>
  <si>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</si>
  <si>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</si>
  <si>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</si>
  <si>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</si>
  <si>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</si>
  <si>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</si>
  <si>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</si>
  <si>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</si>
  <si>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</si>
  <si>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</si>
  <si>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</si>
  <si>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</si>
  <si>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</si>
  <si>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</si>
  <si>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</si>
  <si>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</si>
  <si>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</si>
  <si>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</si>
  <si>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</si>
  <si>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</si>
  <si>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</si>
  <si>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</si>
  <si>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</si>
  <si>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</si>
  <si>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</si>
  <si>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</si>
  <si>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</si>
  <si>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</si>
  <si>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</si>
  <si>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</si>
  <si>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</si>
  <si>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</si>
  <si>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</si>
  <si>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</si>
  <si>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</si>
  <si>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</si>
  <si>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</si>
  <si>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</si>
  <si>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</si>
  <si>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</si>
  <si>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</si>
  <si>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</si>
  <si>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</si>
  <si>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</si>
  <si>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</si>
  <si>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</si>
  <si>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</si>
  <si>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</si>
  <si>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</si>
  <si>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</si>
  <si>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</si>
  <si>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</si>
  <si>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</si>
  <si>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</si>
  <si>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</si>
  <si>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</si>
  <si>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</si>
  <si>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</si>
  <si>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</si>
  <si>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</si>
  <si>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</si>
  <si>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</si>
  <si>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</si>
  <si>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</si>
  <si>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</si>
  <si>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</si>
  <si>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</si>
  <si>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</si>
  <si>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</si>
  <si>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</si>
  <si>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</si>
  <si>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</si>
  <si>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</si>
  <si>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</si>
  <si>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</si>
  <si>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</si>
  <si>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</si>
  <si>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</si>
  <si>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</si>
  <si>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</si>
  <si>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</si>
  <si>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</si>
  <si>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</si>
  <si>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</si>
  <si>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</si>
  <si>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</si>
  <si>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</si>
  <si>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</si>
  <si>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</si>
  <si>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</si>
  <si>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</si>
  <si>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</si>
  <si>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</si>
  <si>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</si>
  <si>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</si>
  <si>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</si>
  <si>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</si>
  <si>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</si>
  <si>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</si>
  <si>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</si>
  <si>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</si>
  <si>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</si>
  <si>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</si>
  <si>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</si>
  <si>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</si>
  <si>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</si>
  <si>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</si>
  <si>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</si>
  <si>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</si>
  <si>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</si>
  <si>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</si>
  <si>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</si>
  <si>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</si>
  <si>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</si>
  <si>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</si>
  <si>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</si>
  <si>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</si>
  <si>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</si>
  <si>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</si>
  <si>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</si>
  <si>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</si>
  <si>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</si>
  <si>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</si>
  <si>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</si>
  <si>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</si>
  <si>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</si>
  <si>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</si>
  <si>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</si>
  <si>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</si>
  <si>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</si>
  <si>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</si>
  <si>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</si>
  <si>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</si>
  <si>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</si>
  <si>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</si>
  <si>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</si>
  <si>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</si>
  <si>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</si>
  <si>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</si>
  <si>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</si>
  <si>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</si>
  <si>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</si>
  <si>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</si>
  <si>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</si>
  <si>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</si>
  <si>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</si>
  <si>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</si>
  <si>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</si>
  <si>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</si>
  <si>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</si>
  <si>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</si>
  <si>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</si>
  <si>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</si>
  <si>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</si>
  <si>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</si>
  <si>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</si>
  <si>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</si>
  <si>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</si>
  <si>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</si>
  <si>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</si>
  <si>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</si>
  <si>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</si>
  <si>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</si>
  <si>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</si>
  <si>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</si>
  <si>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</si>
  <si>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</si>
  <si>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</si>
  <si>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</si>
  <si>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</si>
  <si>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</si>
  <si>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</si>
  <si>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</si>
  <si>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</si>
  <si>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</si>
  <si>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</si>
  <si>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</si>
  <si>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</si>
  <si>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</si>
  <si>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</si>
  <si>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</si>
  <si>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</si>
  <si>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</si>
  <si>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</si>
  <si>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</si>
  <si>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</si>
  <si>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</si>
  <si>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</si>
  <si>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</si>
  <si>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</si>
  <si>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</si>
  <si>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</si>
  <si>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</si>
  <si>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</si>
  <si>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</si>
  <si>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</si>
  <si>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</si>
  <si>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</si>
  <si>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</si>
  <si>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</si>
  <si>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</si>
  <si>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</si>
  <si>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</si>
  <si>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</si>
  <si>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</si>
  <si>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</si>
  <si>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</si>
  <si>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</si>
  <si>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</si>
  <si>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</si>
  <si>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</si>
  <si>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</si>
  <si>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</si>
  <si>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</si>
  <si>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</si>
  <si>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</si>
  <si>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</si>
  <si>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</si>
  <si>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</si>
  <si>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</si>
  <si>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</si>
  <si>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</si>
  <si>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</si>
  <si>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</si>
  <si>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</si>
  <si>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</si>
  <si>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</si>
  <si>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</si>
  <si>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</si>
  <si>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</si>
  <si>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</si>
  <si>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</si>
  <si>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</si>
  <si>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</si>
  <si>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</si>
  <si>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</si>
  <si>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</si>
  <si>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</si>
  <si>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</si>
  <si>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</si>
  <si>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</si>
  <si>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</si>
  <si>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</si>
  <si>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</si>
  <si>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</si>
  <si>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</si>
  <si>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</si>
  <si>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</si>
  <si>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</si>
  <si>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</si>
  <si>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</si>
  <si>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</si>
  <si>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</si>
  <si>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</si>
  <si>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</si>
  <si>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</si>
  <si>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</si>
  <si>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</si>
  <si>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</si>
  <si>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</si>
  <si>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</si>
  <si>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</si>
  <si>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</si>
  <si>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</si>
  <si>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</si>
  <si>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</si>
  <si>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</si>
  <si>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</si>
  <si>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</si>
  <si>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</si>
  <si>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</si>
  <si>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</si>
  <si>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</si>
  <si>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</si>
  <si>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</si>
  <si>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</si>
  <si>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</si>
  <si>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</si>
  <si>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</si>
  <si>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</si>
  <si>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</si>
  <si>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</si>
  <si>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</si>
  <si>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</si>
  <si>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</si>
  <si>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</si>
  <si>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</si>
  <si>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</si>
  <si>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</si>
  <si>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</si>
  <si>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</si>
  <si>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</si>
  <si>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</si>
  <si>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</si>
  <si>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</si>
  <si>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</si>
  <si>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</si>
  <si>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</si>
  <si>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</si>
  <si>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</si>
  <si>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</si>
  <si>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</si>
  <si>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</si>
  <si>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</si>
  <si>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</si>
  <si>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</si>
  <si>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</si>
  <si>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</si>
  <si>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</si>
  <si>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</si>
  <si>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</si>
  <si>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</si>
  <si>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</si>
  <si>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</si>
  <si>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</si>
  <si>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</si>
  <si>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</si>
  <si>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</si>
  <si>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</si>
  <si>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</si>
  <si>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</si>
  <si>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</si>
  <si>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</si>
  <si>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</si>
  <si>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</si>
  <si>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</si>
  <si>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</si>
  <si>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</si>
  <si>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</si>
  <si>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</si>
  <si>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</si>
  <si>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</si>
  <si>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</si>
  <si>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</si>
  <si>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</si>
  <si>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</si>
  <si>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</si>
  <si>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</si>
  <si>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</si>
  <si>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</si>
  <si>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</si>
  <si>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</si>
  <si>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</si>
  <si>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</si>
  <si>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</si>
  <si>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</si>
  <si>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</si>
  <si>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</si>
  <si>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</si>
  <si>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</si>
  <si>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</si>
  <si>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</si>
  <si>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</si>
  <si>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</si>
  <si>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</si>
  <si>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</si>
  <si>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</si>
  <si>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</si>
  <si>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</si>
  <si>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</si>
  <si>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</si>
  <si>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</si>
  <si>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</si>
  <si>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</si>
  <si>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</si>
  <si>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</si>
  <si>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</si>
  <si>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</si>
  <si>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</si>
  <si>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</si>
  <si>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</si>
  <si>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</si>
  <si>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</si>
  <si>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</si>
  <si>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</si>
  <si>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</si>
  <si>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</si>
  <si>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</si>
  <si>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</si>
  <si>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</si>
  <si>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</si>
  <si>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</si>
  <si>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</si>
  <si>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</si>
  <si>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</si>
  <si>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</si>
  <si>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</si>
  <si>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</si>
  <si>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</si>
  <si>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</si>
  <si>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</si>
  <si>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</si>
  <si>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</si>
  <si>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</si>
  <si>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</si>
  <si>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THE CHARLOTTE HUNGERFORD HOSPITAL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</si>
  <si>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</si>
  <si>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</si>
  <si>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</si>
  <si>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</si>
  <si>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</si>
  <si>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</si>
  <si>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</si>
  <si>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</si>
  <si>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</si>
  <si>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</si>
  <si>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</si>
  <si>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</si>
  <si>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</si>
  <si>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</si>
  <si>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</si>
  <si>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</si>
  <si>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</si>
  <si>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</si>
  <si>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</si>
  <si>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</si>
  <si>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</si>
  <si>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</si>
  <si>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</si>
  <si>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</si>
  <si>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</si>
  <si>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</si>
  <si>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</si>
  <si>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</si>
  <si>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</si>
  <si>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</si>
  <si>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</si>
  <si>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</si>
  <si>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</si>
  <si>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</si>
  <si>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</si>
  <si>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</si>
  <si>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</si>
  <si>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</si>
  <si>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</si>
  <si>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</si>
  <si>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</si>
  <si>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</si>
  <si>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</si>
  <si>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</si>
  <si>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</si>
  <si>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</si>
  <si>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</si>
  <si>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</si>
  <si>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</si>
  <si>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</si>
  <si>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</si>
  <si>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</si>
  <si>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</si>
  <si>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</si>
  <si>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</si>
  <si>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</si>
  <si>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</si>
  <si>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</si>
  <si>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</si>
  <si>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</si>
  <si>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</si>
  <si>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</si>
  <si>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</si>
  <si>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</si>
  <si>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</si>
  <si>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</si>
  <si>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</si>
  <si>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</si>
  <si>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</si>
  <si>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</si>
  <si>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</si>
  <si>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</si>
  <si>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</si>
  <si>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</si>
  <si>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</si>
  <si>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</si>
  <si>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</si>
  <si>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</si>
  <si>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</si>
  <si>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</si>
  <si>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</si>
  <si>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</si>
  <si>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</si>
  <si>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</si>
  <si>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</si>
  <si>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</si>
  <si>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</si>
  <si>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</si>
  <si>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</si>
  <si>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</si>
  <si>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</si>
  <si>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</si>
  <si>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</si>
  <si>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</si>
  <si>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</si>
  <si>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</si>
  <si>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</si>
  <si>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</si>
  <si>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</si>
  <si>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</si>
  <si>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</si>
  <si>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</si>
  <si>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</si>
  <si>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Charlotte Hungerford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</si>
  <si>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</si>
  <si>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</si>
  <si>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</si>
  <si>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HEMC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</si>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</sst>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5" xfId="0" applyNumberFormat="1" applyFont="1" applyBorder="1" applyAlignment="1">
      <alignment horizontal="center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23" fillId="20" borderId="38" xfId="0" applyNumberFormat="1" applyFont="1" applyFill="1" applyBorder="1" applyAlignment="1">
      <alignment horizontal="center" wrapText="1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5" xfId="0" applyNumberFormat="1" applyFont="1" applyBorder="1" applyAlignment="1">
      <alignment horizontal="center" wrapText="1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115</v>
      </c>
      <c r="C1" s="3"/>
      <c r="D1" s="3"/>
      <c r="E1" s="4"/>
      <c r="F1" s="5"/>
    </row>
    <row r="2" spans="1:6" ht="24" customHeight="1">
      <c r="A2" s="3"/>
      <c r="B2" s="3" t="s">
        <v>116</v>
      </c>
      <c r="C2" s="3"/>
      <c r="D2" s="3"/>
      <c r="E2" s="4"/>
      <c r="F2" s="5"/>
    </row>
    <row r="3" spans="1:6" ht="24" customHeight="1">
      <c r="A3" s="3"/>
      <c r="B3" s="3" t="s">
        <v>117</v>
      </c>
      <c r="C3" s="3"/>
      <c r="D3" s="3"/>
      <c r="E3" s="4"/>
      <c r="F3" s="5"/>
    </row>
    <row r="4" spans="1:6" ht="24" customHeight="1">
      <c r="A4" s="3"/>
      <c r="B4" s="3" t="s">
        <v>118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119</v>
      </c>
      <c r="D7" s="10" t="s">
        <v>120</v>
      </c>
      <c r="E7" s="11" t="s">
        <v>121</v>
      </c>
      <c r="F7" s="11" t="s">
        <v>122</v>
      </c>
      <c r="H7" s="12"/>
    </row>
    <row r="8" spans="1:6" s="6" customFormat="1" ht="15.75" customHeight="1">
      <c r="A8" s="13" t="s">
        <v>123</v>
      </c>
      <c r="B8" s="13" t="s">
        <v>124</v>
      </c>
      <c r="C8" s="14" t="s">
        <v>125</v>
      </c>
      <c r="D8" s="14" t="s">
        <v>125</v>
      </c>
      <c r="E8" s="15" t="s">
        <v>126</v>
      </c>
      <c r="F8" s="15" t="s">
        <v>126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127</v>
      </c>
      <c r="B10" s="16" t="s">
        <v>128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129</v>
      </c>
      <c r="B12" s="16" t="s">
        <v>130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131</v>
      </c>
      <c r="C13" s="23">
        <v>2918761</v>
      </c>
      <c r="D13" s="23">
        <v>3989039</v>
      </c>
      <c r="E13" s="23">
        <f aca="true" t="shared" si="0" ref="E13:E22">D13-C13</f>
        <v>1070278</v>
      </c>
      <c r="F13" s="24">
        <f aca="true" t="shared" si="1" ref="F13:F22">IF(C13=0,0,E13/C13)</f>
        <v>0.3666891533770665</v>
      </c>
    </row>
    <row r="14" spans="1:6" ht="24" customHeight="1">
      <c r="A14" s="21">
        <v>2</v>
      </c>
      <c r="B14" s="22" t="s">
        <v>132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0.75" customHeight="1">
      <c r="A15" s="21">
        <v>3</v>
      </c>
      <c r="B15" s="22" t="s">
        <v>133</v>
      </c>
      <c r="C15" s="23">
        <v>9382010</v>
      </c>
      <c r="D15" s="23">
        <v>9671762</v>
      </c>
      <c r="E15" s="23">
        <f t="shared" si="0"/>
        <v>289752</v>
      </c>
      <c r="F15" s="24">
        <f t="shared" si="1"/>
        <v>0.030883787162878745</v>
      </c>
    </row>
    <row r="16" spans="1:6" ht="24" customHeight="1">
      <c r="A16" s="21">
        <v>4</v>
      </c>
      <c r="B16" s="22" t="s">
        <v>134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6" ht="24" customHeight="1">
      <c r="A17" s="21">
        <v>5</v>
      </c>
      <c r="B17" s="22" t="s">
        <v>135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136</v>
      </c>
      <c r="C18" s="23">
        <v>396514</v>
      </c>
      <c r="D18" s="23">
        <v>102157</v>
      </c>
      <c r="E18" s="23">
        <f t="shared" si="0"/>
        <v>-294357</v>
      </c>
      <c r="F18" s="24">
        <f t="shared" si="1"/>
        <v>-0.7423621864549549</v>
      </c>
    </row>
    <row r="19" spans="1:6" ht="24" customHeight="1">
      <c r="A19" s="21">
        <v>7</v>
      </c>
      <c r="B19" s="22" t="s">
        <v>137</v>
      </c>
      <c r="C19" s="23">
        <v>1666956</v>
      </c>
      <c r="D19" s="23">
        <v>1825569</v>
      </c>
      <c r="E19" s="23">
        <f t="shared" si="0"/>
        <v>158613</v>
      </c>
      <c r="F19" s="24">
        <f t="shared" si="1"/>
        <v>0.09515128173749038</v>
      </c>
    </row>
    <row r="20" spans="1:6" ht="24" customHeight="1">
      <c r="A20" s="21">
        <v>8</v>
      </c>
      <c r="B20" s="22" t="s">
        <v>138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6" ht="24" customHeight="1">
      <c r="A21" s="21">
        <v>9</v>
      </c>
      <c r="B21" s="22" t="s">
        <v>139</v>
      </c>
      <c r="C21" s="23">
        <v>2496061</v>
      </c>
      <c r="D21" s="23">
        <v>1876484</v>
      </c>
      <c r="E21" s="23">
        <f t="shared" si="0"/>
        <v>-619577</v>
      </c>
      <c r="F21" s="24">
        <f t="shared" si="1"/>
        <v>-0.24822189842315553</v>
      </c>
    </row>
    <row r="22" spans="1:6" ht="24" customHeight="1">
      <c r="A22" s="25"/>
      <c r="B22" s="26" t="s">
        <v>140</v>
      </c>
      <c r="C22" s="27">
        <f>SUM(C13:C21)</f>
        <v>16860302</v>
      </c>
      <c r="D22" s="27">
        <f>SUM(D13:D21)</f>
        <v>17465011</v>
      </c>
      <c r="E22" s="27">
        <f t="shared" si="0"/>
        <v>604709</v>
      </c>
      <c r="F22" s="28">
        <f t="shared" si="1"/>
        <v>0.03586584629385642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141</v>
      </c>
      <c r="B24" s="30" t="s">
        <v>142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143</v>
      </c>
      <c r="C25" s="23">
        <v>13476546</v>
      </c>
      <c r="D25" s="23">
        <v>14994411</v>
      </c>
      <c r="E25" s="23">
        <f>D25-C25</f>
        <v>1517865</v>
      </c>
      <c r="F25" s="24">
        <f>IF(C25=0,0,E25/C25)</f>
        <v>0.11263012050713885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144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145</v>
      </c>
      <c r="C27" s="23">
        <v>206373</v>
      </c>
      <c r="D27" s="23">
        <v>359776</v>
      </c>
      <c r="E27" s="23">
        <f>D27-C27</f>
        <v>153403</v>
      </c>
      <c r="F27" s="24">
        <f>IF(C27=0,0,E27/C27)</f>
        <v>0.7433288269298793</v>
      </c>
    </row>
    <row r="28" spans="1:6" ht="24" customHeight="1">
      <c r="A28" s="21">
        <v>4</v>
      </c>
      <c r="B28" s="22" t="s">
        <v>146</v>
      </c>
      <c r="C28" s="23">
        <v>2678836</v>
      </c>
      <c r="D28" s="23">
        <v>6674126</v>
      </c>
      <c r="E28" s="23">
        <f>D28-C28</f>
        <v>3995290</v>
      </c>
      <c r="F28" s="24">
        <f>IF(C28=0,0,E28/C28)</f>
        <v>1.491427620055875</v>
      </c>
    </row>
    <row r="29" spans="1:6" ht="24" customHeight="1">
      <c r="A29" s="25"/>
      <c r="B29" s="26" t="s">
        <v>147</v>
      </c>
      <c r="C29" s="27">
        <f>SUM(C25:C28)</f>
        <v>16361755</v>
      </c>
      <c r="D29" s="27">
        <f>SUM(D25:D28)</f>
        <v>22028313</v>
      </c>
      <c r="E29" s="27">
        <f>D29-C29</f>
        <v>5666558</v>
      </c>
      <c r="F29" s="28">
        <f>IF(C29=0,0,E29/C29)</f>
        <v>0.34632947382478224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148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149</v>
      </c>
      <c r="C32" s="23">
        <v>33763779</v>
      </c>
      <c r="D32" s="23">
        <v>27523678</v>
      </c>
      <c r="E32" s="23">
        <f>D32-C32</f>
        <v>-6240101</v>
      </c>
      <c r="F32" s="24">
        <f>IF(C32=0,0,E32/C32)</f>
        <v>-0.18481642709484622</v>
      </c>
    </row>
    <row r="33" spans="1:6" ht="24" customHeight="1">
      <c r="A33" s="21">
        <v>7</v>
      </c>
      <c r="B33" s="22" t="s">
        <v>150</v>
      </c>
      <c r="C33" s="23">
        <v>1357613</v>
      </c>
      <c r="D33" s="23">
        <v>1552217</v>
      </c>
      <c r="E33" s="23">
        <f>D33-C33</f>
        <v>194604</v>
      </c>
      <c r="F33" s="24">
        <f>IF(C33=0,0,E33/C33)</f>
        <v>0.14334276410140445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151</v>
      </c>
      <c r="B35" s="30" t="s">
        <v>152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153</v>
      </c>
      <c r="C36" s="23">
        <v>130053018</v>
      </c>
      <c r="D36" s="23">
        <v>136256831</v>
      </c>
      <c r="E36" s="23">
        <f>D36-C36</f>
        <v>6203813</v>
      </c>
      <c r="F36" s="24">
        <f>IF(C36=0,0,E36/C36)</f>
        <v>0.047702184043126164</v>
      </c>
    </row>
    <row r="37" spans="1:6" ht="24" customHeight="1">
      <c r="A37" s="21">
        <v>2</v>
      </c>
      <c r="B37" s="22" t="s">
        <v>154</v>
      </c>
      <c r="C37" s="23">
        <v>86377410</v>
      </c>
      <c r="D37" s="23">
        <v>91613715</v>
      </c>
      <c r="E37" s="23">
        <f>D37-C37</f>
        <v>5236305</v>
      </c>
      <c r="F37" s="24">
        <f>IF(C37=0,0,E37/C37)</f>
        <v>0.06062123187069397</v>
      </c>
    </row>
    <row r="38" spans="1:6" ht="24" customHeight="1">
      <c r="A38" s="25"/>
      <c r="B38" s="26" t="s">
        <v>155</v>
      </c>
      <c r="C38" s="27">
        <f>C36-C37</f>
        <v>43675608</v>
      </c>
      <c r="D38" s="27">
        <f>D36-D37</f>
        <v>44643116</v>
      </c>
      <c r="E38" s="27">
        <f>D38-C38</f>
        <v>967508</v>
      </c>
      <c r="F38" s="28">
        <f>IF(C38=0,0,E38/C38)</f>
        <v>0.022152135809992618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156</v>
      </c>
      <c r="C40" s="23">
        <v>3167618</v>
      </c>
      <c r="D40" s="23">
        <v>861053</v>
      </c>
      <c r="E40" s="23">
        <f>D40-C40</f>
        <v>-2306565</v>
      </c>
      <c r="F40" s="24">
        <f>IF(C40=0,0,E40/C40)</f>
        <v>-0.7281701897135324</v>
      </c>
    </row>
    <row r="41" spans="1:6" ht="24" customHeight="1">
      <c r="A41" s="25"/>
      <c r="B41" s="26" t="s">
        <v>157</v>
      </c>
      <c r="C41" s="27">
        <f>+C38+C40</f>
        <v>46843226</v>
      </c>
      <c r="D41" s="27">
        <f>+D38+D40</f>
        <v>45504169</v>
      </c>
      <c r="E41" s="27">
        <f>D41-C41</f>
        <v>-1339057</v>
      </c>
      <c r="F41" s="28">
        <f>IF(C41=0,0,E41/C41)</f>
        <v>-0.02858592616998667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158</v>
      </c>
      <c r="C43" s="27">
        <f>C22+C29+C31+C32+C33+C41</f>
        <v>115186675</v>
      </c>
      <c r="D43" s="27">
        <f>D22+D29+D31+D32+D33+D41</f>
        <v>114073388</v>
      </c>
      <c r="E43" s="27">
        <f>D43-C43</f>
        <v>-1113287</v>
      </c>
      <c r="F43" s="28">
        <f>IF(C43=0,0,E43/C43)</f>
        <v>-0.009665067595709313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159</v>
      </c>
      <c r="B46" s="16" t="s">
        <v>160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129</v>
      </c>
      <c r="B48" s="41" t="s">
        <v>161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162</v>
      </c>
      <c r="C49" s="23">
        <v>4159626</v>
      </c>
      <c r="D49" s="23">
        <v>3808795</v>
      </c>
      <c r="E49" s="23">
        <f aca="true" t="shared" si="2" ref="E49:E56">D49-C49</f>
        <v>-350831</v>
      </c>
      <c r="F49" s="24">
        <f aca="true" t="shared" si="3" ref="F49:F56">IF(C49=0,0,E49/C49)</f>
        <v>-0.08434195766638636</v>
      </c>
    </row>
    <row r="50" spans="1:6" ht="24" customHeight="1">
      <c r="A50" s="21">
        <f aca="true" t="shared" si="4" ref="A50:A55">1+A49</f>
        <v>2</v>
      </c>
      <c r="B50" s="22" t="s">
        <v>163</v>
      </c>
      <c r="C50" s="23">
        <v>4221912</v>
      </c>
      <c r="D50" s="23">
        <v>4538366</v>
      </c>
      <c r="E50" s="23">
        <f t="shared" si="2"/>
        <v>316454</v>
      </c>
      <c r="F50" s="24">
        <f t="shared" si="3"/>
        <v>0.07495513880914619</v>
      </c>
    </row>
    <row r="51" spans="1:6" ht="24" customHeight="1">
      <c r="A51" s="21">
        <f t="shared" si="4"/>
        <v>3</v>
      </c>
      <c r="B51" s="22" t="s">
        <v>164</v>
      </c>
      <c r="C51" s="23">
        <v>957758</v>
      </c>
      <c r="D51" s="23">
        <v>2366000</v>
      </c>
      <c r="E51" s="23">
        <f t="shared" si="2"/>
        <v>1408242</v>
      </c>
      <c r="F51" s="24">
        <f t="shared" si="3"/>
        <v>1.4703526360521133</v>
      </c>
    </row>
    <row r="52" spans="1:6" ht="24" customHeight="1">
      <c r="A52" s="21">
        <f t="shared" si="4"/>
        <v>4</v>
      </c>
      <c r="B52" s="22" t="s">
        <v>165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166</v>
      </c>
      <c r="C53" s="23">
        <v>1045000</v>
      </c>
      <c r="D53" s="23">
        <v>1080000</v>
      </c>
      <c r="E53" s="23">
        <f t="shared" si="2"/>
        <v>35000</v>
      </c>
      <c r="F53" s="24">
        <f t="shared" si="3"/>
        <v>0.03349282296650718</v>
      </c>
    </row>
    <row r="54" spans="1:6" ht="24" customHeight="1">
      <c r="A54" s="21">
        <f t="shared" si="4"/>
        <v>6</v>
      </c>
      <c r="B54" s="22" t="s">
        <v>167</v>
      </c>
      <c r="C54" s="23">
        <v>401623</v>
      </c>
      <c r="D54" s="23">
        <v>300392</v>
      </c>
      <c r="E54" s="23">
        <f t="shared" si="2"/>
        <v>-101231</v>
      </c>
      <c r="F54" s="24">
        <f t="shared" si="3"/>
        <v>-0.25205478769891165</v>
      </c>
    </row>
    <row r="55" spans="1:6" ht="24" customHeight="1">
      <c r="A55" s="21">
        <f t="shared" si="4"/>
        <v>7</v>
      </c>
      <c r="B55" s="22" t="s">
        <v>168</v>
      </c>
      <c r="C55" s="23">
        <v>3803971</v>
      </c>
      <c r="D55" s="23">
        <v>3973052</v>
      </c>
      <c r="E55" s="23">
        <f t="shared" si="2"/>
        <v>169081</v>
      </c>
      <c r="F55" s="24">
        <f t="shared" si="3"/>
        <v>0.044448551263929194</v>
      </c>
    </row>
    <row r="56" spans="1:6" ht="24" customHeight="1">
      <c r="A56" s="25"/>
      <c r="B56" s="26" t="s">
        <v>169</v>
      </c>
      <c r="C56" s="27">
        <f>SUM(C49:C55)</f>
        <v>14589890</v>
      </c>
      <c r="D56" s="27">
        <f>SUM(D49:D55)</f>
        <v>16066605</v>
      </c>
      <c r="E56" s="27">
        <f t="shared" si="2"/>
        <v>1476715</v>
      </c>
      <c r="F56" s="28">
        <f t="shared" si="3"/>
        <v>0.10121495090093208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141</v>
      </c>
      <c r="B58" s="41" t="s">
        <v>170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171</v>
      </c>
      <c r="C59" s="23">
        <v>4555000</v>
      </c>
      <c r="D59" s="23">
        <v>3475000</v>
      </c>
      <c r="E59" s="23">
        <f>D59-C59</f>
        <v>-1080000</v>
      </c>
      <c r="F59" s="24">
        <f>IF(C59=0,0,E59/C59)</f>
        <v>-0.23710208562019758</v>
      </c>
    </row>
    <row r="60" spans="1:6" ht="24" customHeight="1">
      <c r="A60" s="21">
        <v>2</v>
      </c>
      <c r="B60" s="22" t="s">
        <v>172</v>
      </c>
      <c r="C60" s="23">
        <v>4300354</v>
      </c>
      <c r="D60" s="23">
        <v>3960989</v>
      </c>
      <c r="E60" s="23">
        <f>D60-C60</f>
        <v>-339365</v>
      </c>
      <c r="F60" s="24">
        <f>IF(C60=0,0,E60/C60)</f>
        <v>-0.0789155962509133</v>
      </c>
    </row>
    <row r="61" spans="1:6" ht="24" customHeight="1">
      <c r="A61" s="25"/>
      <c r="B61" s="26" t="s">
        <v>173</v>
      </c>
      <c r="C61" s="27">
        <f>SUM(C59:C60)</f>
        <v>8855354</v>
      </c>
      <c r="D61" s="27">
        <f>SUM(D59:D60)</f>
        <v>7435989</v>
      </c>
      <c r="E61" s="27">
        <f>D61-C61</f>
        <v>-1419365</v>
      </c>
      <c r="F61" s="28">
        <f>IF(C61=0,0,E61/C61)</f>
        <v>-0.1602832591446937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174</v>
      </c>
      <c r="C63" s="23">
        <v>8874031</v>
      </c>
      <c r="D63" s="23">
        <v>28349714</v>
      </c>
      <c r="E63" s="23">
        <f>D63-C63</f>
        <v>19475683</v>
      </c>
      <c r="F63" s="24">
        <f>IF(C63=0,0,E63/C63)</f>
        <v>2.194682777195617</v>
      </c>
    </row>
    <row r="64" spans="1:6" ht="24" customHeight="1">
      <c r="A64" s="21">
        <v>4</v>
      </c>
      <c r="B64" s="22" t="s">
        <v>175</v>
      </c>
      <c r="C64" s="23">
        <v>2069059</v>
      </c>
      <c r="D64" s="23">
        <v>2192084</v>
      </c>
      <c r="E64" s="23">
        <f>D64-C64</f>
        <v>123025</v>
      </c>
      <c r="F64" s="24">
        <f>IF(C64=0,0,E64/C64)</f>
        <v>0.05945939675958974</v>
      </c>
    </row>
    <row r="65" spans="1:6" ht="24" customHeight="1">
      <c r="A65" s="25"/>
      <c r="B65" s="26" t="s">
        <v>176</v>
      </c>
      <c r="C65" s="27">
        <f>SUM(C61:C64)</f>
        <v>19798444</v>
      </c>
      <c r="D65" s="27">
        <f>SUM(D61:D64)</f>
        <v>37977787</v>
      </c>
      <c r="E65" s="27">
        <f>D65-C65</f>
        <v>18179343</v>
      </c>
      <c r="F65" s="28">
        <f>IF(C65=0,0,E65/C65)</f>
        <v>0.9182207955332248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177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151</v>
      </c>
      <c r="B69" s="41" t="s">
        <v>178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179</v>
      </c>
      <c r="C70" s="23">
        <v>60861612</v>
      </c>
      <c r="D70" s="23">
        <v>41545959</v>
      </c>
      <c r="E70" s="23">
        <f>D70-C70</f>
        <v>-19315653</v>
      </c>
      <c r="F70" s="24">
        <f>IF(C70=0,0,E70/C70)</f>
        <v>-0.31737005257106893</v>
      </c>
    </row>
    <row r="71" spans="1:6" ht="24" customHeight="1">
      <c r="A71" s="21">
        <v>2</v>
      </c>
      <c r="B71" s="22" t="s">
        <v>180</v>
      </c>
      <c r="C71" s="23">
        <v>3401343</v>
      </c>
      <c r="D71" s="23">
        <v>2924647</v>
      </c>
      <c r="E71" s="23">
        <f>D71-C71</f>
        <v>-476696</v>
      </c>
      <c r="F71" s="24">
        <f>IF(C71=0,0,E71/C71)</f>
        <v>-0.14014934689033126</v>
      </c>
    </row>
    <row r="72" spans="1:6" ht="24" customHeight="1">
      <c r="A72" s="21">
        <v>3</v>
      </c>
      <c r="B72" s="22" t="s">
        <v>181</v>
      </c>
      <c r="C72" s="23">
        <v>16535386</v>
      </c>
      <c r="D72" s="23">
        <v>15558390</v>
      </c>
      <c r="E72" s="23">
        <f>D72-C72</f>
        <v>-976996</v>
      </c>
      <c r="F72" s="24">
        <f>IF(C72=0,0,E72/C72)</f>
        <v>-0.05908516438624414</v>
      </c>
    </row>
    <row r="73" spans="1:6" ht="24" customHeight="1">
      <c r="A73" s="21"/>
      <c r="B73" s="26" t="s">
        <v>182</v>
      </c>
      <c r="C73" s="27">
        <f>SUM(C70:C72)</f>
        <v>80798341</v>
      </c>
      <c r="D73" s="27">
        <f>SUM(D70:D72)</f>
        <v>60028996</v>
      </c>
      <c r="E73" s="27">
        <f>D73-C73</f>
        <v>-20769345</v>
      </c>
      <c r="F73" s="28">
        <f>IF(C73=0,0,E73/C73)</f>
        <v>-0.25705162683971444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183</v>
      </c>
      <c r="C75" s="27">
        <f>C56+C65+C67+C73</f>
        <v>115186675</v>
      </c>
      <c r="D75" s="27">
        <f>D56+D65+D67+D73</f>
        <v>114073388</v>
      </c>
      <c r="E75" s="27">
        <f>D75-C75</f>
        <v>-1113287</v>
      </c>
      <c r="F75" s="28">
        <f>IF(C75=0,0,E75/C75)</f>
        <v>-0.009665067595709313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FILING&amp;RCHARLOTTE HUNGERFORD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E80" sqref="E80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594</v>
      </c>
      <c r="B1" s="696"/>
      <c r="C1" s="696"/>
      <c r="D1" s="696"/>
      <c r="E1" s="697"/>
    </row>
    <row r="2" spans="1:5" ht="24" customHeight="1">
      <c r="A2" s="695" t="s">
        <v>116</v>
      </c>
      <c r="B2" s="696"/>
      <c r="C2" s="696"/>
      <c r="D2" s="696"/>
      <c r="E2" s="697"/>
    </row>
    <row r="3" spans="1:5" ht="24" customHeight="1">
      <c r="A3" s="695" t="s">
        <v>117</v>
      </c>
      <c r="B3" s="696"/>
      <c r="C3" s="696"/>
      <c r="D3" s="696"/>
      <c r="E3" s="697"/>
    </row>
    <row r="4" spans="1:5" ht="24" customHeight="1">
      <c r="A4" s="695" t="s">
        <v>597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125</v>
      </c>
      <c r="D7" s="59" t="s">
        <v>125</v>
      </c>
      <c r="E7" s="59" t="s">
        <v>125</v>
      </c>
      <c r="F7" s="59"/>
    </row>
    <row r="8" spans="1:6" ht="24" customHeight="1">
      <c r="A8" s="61" t="s">
        <v>123</v>
      </c>
      <c r="B8" s="62" t="s">
        <v>124</v>
      </c>
      <c r="C8" s="264" t="s">
        <v>422</v>
      </c>
      <c r="D8" s="264" t="s">
        <v>119</v>
      </c>
      <c r="E8" s="264" t="s">
        <v>120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129</v>
      </c>
      <c r="B10" s="187" t="s">
        <v>598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599</v>
      </c>
      <c r="C11" s="51">
        <v>87543427</v>
      </c>
      <c r="D11" s="51">
        <v>90098472</v>
      </c>
      <c r="E11" s="51">
        <v>97865856</v>
      </c>
      <c r="F11" s="28"/>
    </row>
    <row r="12" spans="1:6" ht="24" customHeight="1">
      <c r="A12" s="44">
        <v>2</v>
      </c>
      <c r="B12" s="48" t="s">
        <v>191</v>
      </c>
      <c r="C12" s="49">
        <v>6030182</v>
      </c>
      <c r="D12" s="49">
        <v>5881539</v>
      </c>
      <c r="E12" s="49">
        <v>5612083</v>
      </c>
      <c r="F12" s="28"/>
    </row>
    <row r="13" spans="1:6" s="56" customFormat="1" ht="24" customHeight="1">
      <c r="A13" s="44">
        <v>3</v>
      </c>
      <c r="B13" s="48" t="s">
        <v>193</v>
      </c>
      <c r="C13" s="51">
        <f>+C11+C12</f>
        <v>93573609</v>
      </c>
      <c r="D13" s="51">
        <f>+D11+D12</f>
        <v>95980011</v>
      </c>
      <c r="E13" s="51">
        <f>+E11+E12</f>
        <v>103477939</v>
      </c>
      <c r="F13" s="70"/>
    </row>
    <row r="14" spans="1:6" s="56" customFormat="1" ht="24" customHeight="1">
      <c r="A14" s="44">
        <v>4</v>
      </c>
      <c r="B14" s="48" t="s">
        <v>204</v>
      </c>
      <c r="C14" s="49">
        <v>93421901</v>
      </c>
      <c r="D14" s="49">
        <v>96631143</v>
      </c>
      <c r="E14" s="49">
        <v>103510788</v>
      </c>
      <c r="F14" s="70"/>
    </row>
    <row r="15" spans="1:6" s="56" customFormat="1" ht="24" customHeight="1">
      <c r="A15" s="44">
        <v>5</v>
      </c>
      <c r="B15" s="48" t="s">
        <v>205</v>
      </c>
      <c r="C15" s="51">
        <f>+C13-C14</f>
        <v>151708</v>
      </c>
      <c r="D15" s="51">
        <f>+D13-D14</f>
        <v>-651132</v>
      </c>
      <c r="E15" s="51">
        <f>+E13-E14</f>
        <v>-32849</v>
      </c>
      <c r="F15" s="70"/>
    </row>
    <row r="16" spans="1:6" s="56" customFormat="1" ht="24" customHeight="1">
      <c r="A16" s="44">
        <v>6</v>
      </c>
      <c r="B16" s="48" t="s">
        <v>210</v>
      </c>
      <c r="C16" s="49">
        <v>3479482</v>
      </c>
      <c r="D16" s="49">
        <v>1842773</v>
      </c>
      <c r="E16" s="49">
        <v>145007</v>
      </c>
      <c r="F16" s="70"/>
    </row>
    <row r="17" spans="1:6" s="56" customFormat="1" ht="24" customHeight="1">
      <c r="A17" s="44">
        <v>7</v>
      </c>
      <c r="B17" s="45" t="s">
        <v>425</v>
      </c>
      <c r="C17" s="51">
        <f>C15+C16</f>
        <v>3631190</v>
      </c>
      <c r="D17" s="51">
        <f>D15+D16</f>
        <v>1191641</v>
      </c>
      <c r="E17" s="51">
        <f>E15+E16</f>
        <v>112158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141</v>
      </c>
      <c r="B19" s="30" t="s">
        <v>600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601</v>
      </c>
      <c r="C20" s="169">
        <f>IF(+C27=0,0,+C24/+C27)</f>
        <v>0.0015631444443124434</v>
      </c>
      <c r="D20" s="169">
        <f>IF(+D27=0,0,+D24/+D27)</f>
        <v>-0.00665624073835396</v>
      </c>
      <c r="E20" s="169">
        <f>IF(+E27=0,0,+E24/+E27)</f>
        <v>-0.0003170050772345345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602</v>
      </c>
      <c r="C21" s="169">
        <f>IF(+C27=0,0,+C26/+C27)</f>
        <v>0.03585132595107146</v>
      </c>
      <c r="D21" s="169">
        <f>IF(+D27=0,0,+D26/+D27)</f>
        <v>0.01883787114462005</v>
      </c>
      <c r="E21" s="169">
        <f>IF(+E27=0,0,+E26/+E27)</f>
        <v>0.0013993715252990395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603</v>
      </c>
      <c r="C22" s="169">
        <f>IF(+C27=0,0,+C28/+C27)</f>
        <v>0.037414470395383904</v>
      </c>
      <c r="D22" s="169">
        <f>IF(+D27=0,0,+D28/+D27)</f>
        <v>0.01218163040626609</v>
      </c>
      <c r="E22" s="169">
        <f>IF(+E27=0,0,+E28/+E27)</f>
        <v>0.001082366448064505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205</v>
      </c>
      <c r="C24" s="51">
        <f>+C15</f>
        <v>151708</v>
      </c>
      <c r="D24" s="51">
        <f>+D15</f>
        <v>-651132</v>
      </c>
      <c r="E24" s="51">
        <f>+E15</f>
        <v>-32849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193</v>
      </c>
      <c r="C25" s="51">
        <f>+C13</f>
        <v>93573609</v>
      </c>
      <c r="D25" s="51">
        <f>+D13</f>
        <v>95980011</v>
      </c>
      <c r="E25" s="51">
        <f>+E13</f>
        <v>103477939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210</v>
      </c>
      <c r="C26" s="51">
        <f>+C16</f>
        <v>3479482</v>
      </c>
      <c r="D26" s="51">
        <f>+D16</f>
        <v>1842773</v>
      </c>
      <c r="E26" s="51">
        <f>+E16</f>
        <v>145007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430</v>
      </c>
      <c r="C27" s="51">
        <f>SUM(C25:C26)</f>
        <v>97053091</v>
      </c>
      <c r="D27" s="51">
        <f>SUM(D25:D26)</f>
        <v>97822784</v>
      </c>
      <c r="E27" s="51">
        <f>SUM(E25:E26)</f>
        <v>103622946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425</v>
      </c>
      <c r="C28" s="51">
        <f>+C17</f>
        <v>3631190</v>
      </c>
      <c r="D28" s="51">
        <f>+D17</f>
        <v>1191641</v>
      </c>
      <c r="E28" s="51">
        <f>+E17</f>
        <v>112158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151</v>
      </c>
      <c r="B30" s="41" t="s">
        <v>604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605</v>
      </c>
      <c r="C31" s="51">
        <v>70658207</v>
      </c>
      <c r="D31" s="51">
        <v>61095321</v>
      </c>
      <c r="E31" s="52">
        <v>41711965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606</v>
      </c>
      <c r="C32" s="51">
        <v>93619342</v>
      </c>
      <c r="D32" s="51">
        <v>81032050</v>
      </c>
      <c r="E32" s="51">
        <v>60195002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607</v>
      </c>
      <c r="C33" s="51">
        <v>93619342</v>
      </c>
      <c r="D33" s="51">
        <f>+D32-C32</f>
        <v>-12587292</v>
      </c>
      <c r="E33" s="51">
        <f>+E32-D32</f>
        <v>-20837048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608</v>
      </c>
      <c r="C34" s="171">
        <v>0</v>
      </c>
      <c r="D34" s="171">
        <f>IF(C32=0,0,+D33/C32)</f>
        <v>-0.134451831545665</v>
      </c>
      <c r="E34" s="171">
        <f>IF(D32=0,0,+E33/D32)</f>
        <v>-0.2571457589928923</v>
      </c>
      <c r="F34" s="28"/>
    </row>
    <row r="35" spans="5:6" ht="24" customHeight="1">
      <c r="E35" s="55"/>
      <c r="F35" s="28"/>
    </row>
    <row r="36" spans="1:6" ht="15.75" customHeight="1">
      <c r="A36" s="20" t="s">
        <v>436</v>
      </c>
      <c r="B36" s="16" t="s">
        <v>458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459</v>
      </c>
      <c r="C38" s="269">
        <f>IF(+C40=0,0,+C39/+C40)</f>
        <v>1.2712290998951392</v>
      </c>
      <c r="D38" s="269">
        <f>IF(+D40=0,0,+D39/+D40)</f>
        <v>1.1645407547494557</v>
      </c>
      <c r="E38" s="269">
        <f>IF(+E40=0,0,+E39/+E40)</f>
        <v>1.0930820544810786</v>
      </c>
      <c r="F38" s="28"/>
    </row>
    <row r="39" spans="1:6" ht="24" customHeight="1">
      <c r="A39" s="17">
        <v>2</v>
      </c>
      <c r="B39" s="45" t="s">
        <v>140</v>
      </c>
      <c r="C39" s="270">
        <v>16317573</v>
      </c>
      <c r="D39" s="270">
        <v>17199234</v>
      </c>
      <c r="E39" s="270">
        <v>17732939</v>
      </c>
      <c r="F39" s="28"/>
    </row>
    <row r="40" spans="1:5" ht="24" customHeight="1">
      <c r="A40" s="17">
        <v>3</v>
      </c>
      <c r="B40" s="45" t="s">
        <v>169</v>
      </c>
      <c r="C40" s="270">
        <v>12836060</v>
      </c>
      <c r="D40" s="270">
        <v>14769113</v>
      </c>
      <c r="E40" s="270">
        <v>16222880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460</v>
      </c>
      <c r="C42" s="271">
        <f>IF((C48/365)=0,0,+C45/(C48/365))</f>
        <v>11.908297456936</v>
      </c>
      <c r="D42" s="271">
        <f>IF((D48/365)=0,0,+D45/(D48/365))</f>
        <v>11.836837288291541</v>
      </c>
      <c r="E42" s="271">
        <f>IF((E48/365)=0,0,+E45/(E48/365))</f>
        <v>15.084094814549179</v>
      </c>
    </row>
    <row r="43" spans="1:5" ht="24" customHeight="1">
      <c r="A43" s="17">
        <v>5</v>
      </c>
      <c r="B43" s="188" t="s">
        <v>131</v>
      </c>
      <c r="C43" s="272">
        <v>2852689</v>
      </c>
      <c r="D43" s="272">
        <v>2941661</v>
      </c>
      <c r="E43" s="272">
        <v>4021421</v>
      </c>
    </row>
    <row r="44" spans="1:5" ht="24" customHeight="1">
      <c r="A44" s="17">
        <v>6</v>
      </c>
      <c r="B44" s="273" t="s">
        <v>132</v>
      </c>
      <c r="C44" s="274">
        <v>0</v>
      </c>
      <c r="D44" s="274">
        <v>0</v>
      </c>
      <c r="E44" s="274">
        <v>0</v>
      </c>
    </row>
    <row r="45" spans="1:5" ht="24" customHeight="1">
      <c r="A45" s="17">
        <v>7</v>
      </c>
      <c r="B45" s="45" t="s">
        <v>461</v>
      </c>
      <c r="C45" s="270">
        <f>+C43+C44</f>
        <v>2852689</v>
      </c>
      <c r="D45" s="270">
        <f>+D43+D44</f>
        <v>2941661</v>
      </c>
      <c r="E45" s="270">
        <f>+E43+E44</f>
        <v>4021421</v>
      </c>
    </row>
    <row r="46" spans="1:5" ht="24" customHeight="1">
      <c r="A46" s="17">
        <v>8</v>
      </c>
      <c r="B46" s="45" t="s">
        <v>439</v>
      </c>
      <c r="C46" s="270">
        <f>+C14</f>
        <v>93421901</v>
      </c>
      <c r="D46" s="270">
        <f>+D14</f>
        <v>96631143</v>
      </c>
      <c r="E46" s="270">
        <f>+E14</f>
        <v>103510788</v>
      </c>
    </row>
    <row r="47" spans="1:5" ht="24" customHeight="1">
      <c r="A47" s="17">
        <v>9</v>
      </c>
      <c r="B47" s="45" t="s">
        <v>462</v>
      </c>
      <c r="C47" s="270">
        <v>5984424</v>
      </c>
      <c r="D47" s="270">
        <v>5922262</v>
      </c>
      <c r="E47" s="270">
        <v>6201756</v>
      </c>
    </row>
    <row r="48" spans="1:5" ht="24" customHeight="1">
      <c r="A48" s="17">
        <v>10</v>
      </c>
      <c r="B48" s="45" t="s">
        <v>463</v>
      </c>
      <c r="C48" s="270">
        <f>+C46-C47</f>
        <v>87437477</v>
      </c>
      <c r="D48" s="270">
        <f>+D46-D47</f>
        <v>90708881</v>
      </c>
      <c r="E48" s="270">
        <f>+E46-E47</f>
        <v>97309032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464</v>
      </c>
      <c r="C50" s="278">
        <f>IF((C55/365)=0,0,+C54/(C55/365))</f>
        <v>39.496019444155415</v>
      </c>
      <c r="D50" s="278">
        <f>IF((D55/365)=0,0,+D54/(D55/365))</f>
        <v>36.70951517357586</v>
      </c>
      <c r="E50" s="278">
        <f>IF((E55/365)=0,0,+E54/(E55/365))</f>
        <v>28.448309541174403</v>
      </c>
    </row>
    <row r="51" spans="1:5" ht="24" customHeight="1">
      <c r="A51" s="17">
        <v>12</v>
      </c>
      <c r="B51" s="188" t="s">
        <v>465</v>
      </c>
      <c r="C51" s="279">
        <v>9767662</v>
      </c>
      <c r="D51" s="279">
        <v>9622809</v>
      </c>
      <c r="E51" s="279">
        <v>9891564</v>
      </c>
    </row>
    <row r="52" spans="1:5" ht="24" customHeight="1">
      <c r="A52" s="17">
        <v>13</v>
      </c>
      <c r="B52" s="188" t="s">
        <v>136</v>
      </c>
      <c r="C52" s="270">
        <v>425261</v>
      </c>
      <c r="D52" s="270">
        <v>396514</v>
      </c>
      <c r="E52" s="270">
        <v>102157</v>
      </c>
    </row>
    <row r="53" spans="1:5" ht="24" customHeight="1">
      <c r="A53" s="17">
        <v>14</v>
      </c>
      <c r="B53" s="188" t="s">
        <v>164</v>
      </c>
      <c r="C53" s="270">
        <v>720000</v>
      </c>
      <c r="D53" s="270">
        <v>957758</v>
      </c>
      <c r="E53" s="270">
        <v>2366000</v>
      </c>
    </row>
    <row r="54" spans="1:5" ht="32.25" customHeight="1">
      <c r="A54" s="17">
        <v>15</v>
      </c>
      <c r="B54" s="45" t="s">
        <v>466</v>
      </c>
      <c r="C54" s="280">
        <f>+C51+C52-C53</f>
        <v>9472923</v>
      </c>
      <c r="D54" s="280">
        <f>+D51+D52-D53</f>
        <v>9061565</v>
      </c>
      <c r="E54" s="280">
        <f>+E51+E52-E53</f>
        <v>7627721</v>
      </c>
    </row>
    <row r="55" spans="1:5" ht="24" customHeight="1">
      <c r="A55" s="17">
        <v>16</v>
      </c>
      <c r="B55" s="45" t="s">
        <v>190</v>
      </c>
      <c r="C55" s="270">
        <f>+C11</f>
        <v>87543427</v>
      </c>
      <c r="D55" s="270">
        <f>+D11</f>
        <v>90098472</v>
      </c>
      <c r="E55" s="270">
        <f>+E11</f>
        <v>97865856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467</v>
      </c>
      <c r="C57" s="283">
        <f>IF((C61/365)=0,0,+C58/(C61/365))</f>
        <v>53.58299508115953</v>
      </c>
      <c r="D57" s="283">
        <f>IF((D61/365)=0,0,+D58/(D61/365))</f>
        <v>59.42886942900332</v>
      </c>
      <c r="E57" s="283">
        <f>IF((E61/365)=0,0,+E58/(E61/365))</f>
        <v>60.85099274237976</v>
      </c>
    </row>
    <row r="58" spans="1:5" ht="24" customHeight="1">
      <c r="A58" s="17">
        <v>18</v>
      </c>
      <c r="B58" s="45" t="s">
        <v>169</v>
      </c>
      <c r="C58" s="281">
        <f>+C40</f>
        <v>12836060</v>
      </c>
      <c r="D58" s="281">
        <f>+D40</f>
        <v>14769113</v>
      </c>
      <c r="E58" s="281">
        <f>+E40</f>
        <v>16222880</v>
      </c>
    </row>
    <row r="59" spans="1:5" ht="24" customHeight="1">
      <c r="A59" s="17">
        <v>19</v>
      </c>
      <c r="B59" s="45" t="s">
        <v>439</v>
      </c>
      <c r="C59" s="281">
        <f aca="true" t="shared" si="0" ref="C59:E60">+C46</f>
        <v>93421901</v>
      </c>
      <c r="D59" s="281">
        <f t="shared" si="0"/>
        <v>96631143</v>
      </c>
      <c r="E59" s="281">
        <f t="shared" si="0"/>
        <v>103510788</v>
      </c>
    </row>
    <row r="60" spans="1:5" ht="24" customHeight="1">
      <c r="A60" s="17">
        <v>20</v>
      </c>
      <c r="B60" s="45" t="s">
        <v>462</v>
      </c>
      <c r="C60" s="176">
        <f t="shared" si="0"/>
        <v>5984424</v>
      </c>
      <c r="D60" s="176">
        <f t="shared" si="0"/>
        <v>5922262</v>
      </c>
      <c r="E60" s="176">
        <f t="shared" si="0"/>
        <v>6201756</v>
      </c>
    </row>
    <row r="61" spans="1:5" ht="24" customHeight="1">
      <c r="A61" s="17">
        <v>21</v>
      </c>
      <c r="B61" s="45" t="s">
        <v>468</v>
      </c>
      <c r="C61" s="281">
        <f>+C59-C60</f>
        <v>87437477</v>
      </c>
      <c r="D61" s="281">
        <f>+D59-D60</f>
        <v>90708881</v>
      </c>
      <c r="E61" s="281">
        <f>+E59-E60</f>
        <v>97309032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457</v>
      </c>
      <c r="B63" s="16" t="s">
        <v>470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471</v>
      </c>
      <c r="C65" s="284">
        <f>IF(C67=0,0,(C66/C67)*100)</f>
        <v>74.6597393552921</v>
      </c>
      <c r="D65" s="284">
        <f>IF(D67=0,0,(D66/D67)*100)</f>
        <v>70.09716737185794</v>
      </c>
      <c r="E65" s="284">
        <f>IF(E67=0,0,(E66/E67)*100)</f>
        <v>52.62000084985735</v>
      </c>
    </row>
    <row r="66" spans="1:5" ht="24" customHeight="1">
      <c r="A66" s="17">
        <v>2</v>
      </c>
      <c r="B66" s="45" t="s">
        <v>182</v>
      </c>
      <c r="C66" s="281">
        <f>+C32</f>
        <v>93619342</v>
      </c>
      <c r="D66" s="281">
        <f>+D32</f>
        <v>81032050</v>
      </c>
      <c r="E66" s="281">
        <f>+E32</f>
        <v>60195002</v>
      </c>
    </row>
    <row r="67" spans="1:5" ht="24" customHeight="1">
      <c r="A67" s="17">
        <v>3</v>
      </c>
      <c r="B67" s="45" t="s">
        <v>158</v>
      </c>
      <c r="C67" s="281">
        <v>125394681</v>
      </c>
      <c r="D67" s="281">
        <v>115599607</v>
      </c>
      <c r="E67" s="281">
        <v>114395669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472</v>
      </c>
      <c r="C69" s="284">
        <f>IF(C75=0,0,(C72/C75)*100)</f>
        <v>41.52035364878209</v>
      </c>
      <c r="D69" s="284">
        <f>IF(D75=0,0,(D72/D75)*100)</f>
        <v>30.112438092254102</v>
      </c>
      <c r="E69" s="284">
        <f>IF(E75=0,0,(E72/E75)*100)</f>
        <v>26.68730276159862</v>
      </c>
    </row>
    <row r="70" spans="1:5" ht="24" customHeight="1">
      <c r="A70" s="17">
        <v>5</v>
      </c>
      <c r="B70" s="45" t="s">
        <v>473</v>
      </c>
      <c r="C70" s="281">
        <f>+C28</f>
        <v>3631190</v>
      </c>
      <c r="D70" s="281">
        <f>+D28</f>
        <v>1191641</v>
      </c>
      <c r="E70" s="281">
        <f>+E28</f>
        <v>112158</v>
      </c>
    </row>
    <row r="71" spans="1:5" ht="24" customHeight="1">
      <c r="A71" s="17">
        <v>6</v>
      </c>
      <c r="B71" s="45" t="s">
        <v>462</v>
      </c>
      <c r="C71" s="176">
        <f>+C47</f>
        <v>5984424</v>
      </c>
      <c r="D71" s="176">
        <f>+D47</f>
        <v>5922262</v>
      </c>
      <c r="E71" s="176">
        <f>+E47</f>
        <v>6201756</v>
      </c>
    </row>
    <row r="72" spans="1:5" ht="24" customHeight="1">
      <c r="A72" s="17">
        <v>7</v>
      </c>
      <c r="B72" s="45" t="s">
        <v>474</v>
      </c>
      <c r="C72" s="281">
        <f>+C70+C71</f>
        <v>9615614</v>
      </c>
      <c r="D72" s="281">
        <f>+D70+D71</f>
        <v>7113903</v>
      </c>
      <c r="E72" s="281">
        <f>+E70+E71</f>
        <v>6313914</v>
      </c>
    </row>
    <row r="73" spans="1:5" ht="24" customHeight="1">
      <c r="A73" s="17">
        <v>8</v>
      </c>
      <c r="B73" s="45" t="s">
        <v>169</v>
      </c>
      <c r="C73" s="270">
        <f>+C40</f>
        <v>12836060</v>
      </c>
      <c r="D73" s="270">
        <f>+D40</f>
        <v>14769113</v>
      </c>
      <c r="E73" s="270">
        <f>+E40</f>
        <v>16222880</v>
      </c>
    </row>
    <row r="74" spans="1:5" ht="24" customHeight="1">
      <c r="A74" s="17">
        <v>9</v>
      </c>
      <c r="B74" s="45" t="s">
        <v>173</v>
      </c>
      <c r="C74" s="281">
        <v>10322736</v>
      </c>
      <c r="D74" s="281">
        <v>8855354</v>
      </c>
      <c r="E74" s="281">
        <v>7435989</v>
      </c>
    </row>
    <row r="75" spans="1:5" ht="24" customHeight="1">
      <c r="A75" s="17">
        <v>10</v>
      </c>
      <c r="B75" s="285" t="s">
        <v>475</v>
      </c>
      <c r="C75" s="270">
        <f>+C73+C74</f>
        <v>23158796</v>
      </c>
      <c r="D75" s="270">
        <f>+D73+D74</f>
        <v>23624467</v>
      </c>
      <c r="E75" s="270">
        <f>+E73+E74</f>
        <v>23658869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476</v>
      </c>
      <c r="C77" s="286">
        <f>IF(C80=0,0,(C78/C80)*100)</f>
        <v>9.931238819373998</v>
      </c>
      <c r="D77" s="286">
        <f>IF(D80=0,0,(D78/D80)*100)</f>
        <v>9.851607239652845</v>
      </c>
      <c r="E77" s="286">
        <f>IF(E80=0,0,(E78/E80)*100)</f>
        <v>10.994943131914184</v>
      </c>
    </row>
    <row r="78" spans="1:5" ht="24" customHeight="1">
      <c r="A78" s="17">
        <v>12</v>
      </c>
      <c r="B78" s="45" t="s">
        <v>173</v>
      </c>
      <c r="C78" s="270">
        <f>+C74</f>
        <v>10322736</v>
      </c>
      <c r="D78" s="270">
        <f>+D74</f>
        <v>8855354</v>
      </c>
      <c r="E78" s="270">
        <f>+E74</f>
        <v>7435989</v>
      </c>
    </row>
    <row r="79" spans="1:5" ht="24" customHeight="1">
      <c r="A79" s="17">
        <v>13</v>
      </c>
      <c r="B79" s="45" t="s">
        <v>182</v>
      </c>
      <c r="C79" s="270">
        <f>+C32</f>
        <v>93619342</v>
      </c>
      <c r="D79" s="270">
        <f>+D32</f>
        <v>81032050</v>
      </c>
      <c r="E79" s="270">
        <f>+E32</f>
        <v>60195002</v>
      </c>
    </row>
    <row r="80" spans="1:5" ht="24" customHeight="1">
      <c r="A80" s="17">
        <v>14</v>
      </c>
      <c r="B80" s="45" t="s">
        <v>477</v>
      </c>
      <c r="C80" s="270">
        <f>+C78+C79</f>
        <v>103942078</v>
      </c>
      <c r="D80" s="270">
        <f>+D78+D79</f>
        <v>89887404</v>
      </c>
      <c r="E80" s="270">
        <f>+E78+E79</f>
        <v>67630991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FILING&amp;R&amp;8THE CHARLOTTE HUNGERFORD HOSPITAL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115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116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117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609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610</v>
      </c>
      <c r="G7" s="126" t="s">
        <v>610</v>
      </c>
      <c r="H7" s="125"/>
      <c r="I7" s="289"/>
    </row>
    <row r="8" spans="1:9" ht="15.75" customHeight="1">
      <c r="A8" s="287"/>
      <c r="B8" s="126"/>
      <c r="C8" s="126" t="s">
        <v>611</v>
      </c>
      <c r="D8" s="126" t="s">
        <v>612</v>
      </c>
      <c r="E8" s="126" t="s">
        <v>613</v>
      </c>
      <c r="F8" s="126" t="s">
        <v>614</v>
      </c>
      <c r="G8" s="126" t="s">
        <v>615</v>
      </c>
      <c r="H8" s="125"/>
      <c r="I8" s="289"/>
    </row>
    <row r="9" spans="1:9" ht="15.75" customHeight="1">
      <c r="A9" s="290" t="s">
        <v>123</v>
      </c>
      <c r="B9" s="291" t="s">
        <v>124</v>
      </c>
      <c r="C9" s="292" t="s">
        <v>616</v>
      </c>
      <c r="D9" s="292" t="s">
        <v>617</v>
      </c>
      <c r="E9" s="292" t="s">
        <v>618</v>
      </c>
      <c r="F9" s="292" t="s">
        <v>617</v>
      </c>
      <c r="G9" s="292" t="s">
        <v>618</v>
      </c>
      <c r="H9" s="125"/>
      <c r="I9" s="56"/>
    </row>
    <row r="10" spans="1:9" ht="15.75" customHeight="1">
      <c r="A10" s="293" t="s">
        <v>619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620</v>
      </c>
      <c r="C11" s="296">
        <v>18970</v>
      </c>
      <c r="D11" s="297">
        <v>52</v>
      </c>
      <c r="E11" s="297">
        <v>73</v>
      </c>
      <c r="F11" s="298">
        <f>IF(D11=0,0,$C11/(D11*365))</f>
        <v>0.9994731296101159</v>
      </c>
      <c r="G11" s="298">
        <f>IF(E11=0,0,$C11/(E11*365))</f>
        <v>0.7119534621880278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621</v>
      </c>
      <c r="C13" s="296">
        <v>2184</v>
      </c>
      <c r="D13" s="297">
        <v>6</v>
      </c>
      <c r="E13" s="297">
        <v>10</v>
      </c>
      <c r="F13" s="298">
        <f>IF(D13=0,0,$C13/(D13*365))</f>
        <v>0.9972602739726028</v>
      </c>
      <c r="G13" s="298">
        <f>IF(E13=0,0,$C13/(E13*365))</f>
        <v>0.5983561643835617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622</v>
      </c>
      <c r="C15" s="296">
        <v>78</v>
      </c>
      <c r="D15" s="297">
        <v>0</v>
      </c>
      <c r="E15" s="297">
        <v>0</v>
      </c>
      <c r="F15" s="298">
        <f aca="true" t="shared" si="0" ref="F15:G17">IF(D15=0,0,$C15/(D15*365))</f>
        <v>0</v>
      </c>
      <c r="G15" s="298">
        <f t="shared" si="0"/>
        <v>0</v>
      </c>
      <c r="H15" s="125"/>
      <c r="I15" s="299"/>
    </row>
    <row r="16" spans="1:9" ht="15" customHeight="1">
      <c r="A16" s="294">
        <v>4</v>
      </c>
      <c r="B16" s="295" t="s">
        <v>623</v>
      </c>
      <c r="C16" s="296">
        <v>5229</v>
      </c>
      <c r="D16" s="297">
        <v>16</v>
      </c>
      <c r="E16" s="297">
        <v>17</v>
      </c>
      <c r="F16" s="298">
        <f t="shared" si="0"/>
        <v>0.8953767123287671</v>
      </c>
      <c r="G16" s="298">
        <f t="shared" si="0"/>
        <v>0.8427074939564867</v>
      </c>
      <c r="H16" s="125"/>
      <c r="I16" s="299"/>
    </row>
    <row r="17" spans="1:9" ht="15.75" customHeight="1">
      <c r="A17" s="293"/>
      <c r="B17" s="135" t="s">
        <v>624</v>
      </c>
      <c r="C17" s="300">
        <f>SUM(C15:C16)</f>
        <v>5307</v>
      </c>
      <c r="D17" s="300">
        <f>SUM(D15:D16)</f>
        <v>16</v>
      </c>
      <c r="E17" s="300">
        <f>SUM(E15:E16)</f>
        <v>17</v>
      </c>
      <c r="F17" s="301">
        <f t="shared" si="0"/>
        <v>0.9087328767123287</v>
      </c>
      <c r="G17" s="301">
        <f t="shared" si="0"/>
        <v>0.8552780016116035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625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626</v>
      </c>
      <c r="C21" s="296">
        <v>965</v>
      </c>
      <c r="D21" s="297">
        <v>3</v>
      </c>
      <c r="E21" s="297">
        <v>7</v>
      </c>
      <c r="F21" s="298">
        <f>IF(D21=0,0,$C21/(D21*365))</f>
        <v>0.8812785388127854</v>
      </c>
      <c r="G21" s="298">
        <f>IF(E21=0,0,$C21/(E21*365))</f>
        <v>0.3776908023483366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627</v>
      </c>
      <c r="C23" s="296">
        <v>924</v>
      </c>
      <c r="D23" s="297">
        <v>3</v>
      </c>
      <c r="E23" s="297">
        <v>13</v>
      </c>
      <c r="F23" s="298">
        <f>IF(D23=0,0,$C23/(D23*365))</f>
        <v>0.8438356164383561</v>
      </c>
      <c r="G23" s="298">
        <f>IF(E23=0,0,$C23/(E23*365))</f>
        <v>0.1947312961011591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410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628</v>
      </c>
      <c r="C27" s="296">
        <v>231</v>
      </c>
      <c r="D27" s="297">
        <v>1</v>
      </c>
      <c r="E27" s="297">
        <v>2</v>
      </c>
      <c r="F27" s="298">
        <f>IF(D27=0,0,$C27/(D27*365))</f>
        <v>0.6328767123287671</v>
      </c>
      <c r="G27" s="298">
        <f>IF(E27=0,0,$C27/(E27*365))</f>
        <v>0.31643835616438354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629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630</v>
      </c>
      <c r="C31" s="300">
        <f>SUM(C10:C29)-C17-C23</f>
        <v>27657</v>
      </c>
      <c r="D31" s="300">
        <f>SUM(D10:D29)-D17-D23</f>
        <v>78</v>
      </c>
      <c r="E31" s="300">
        <f>SUM(E10:E29)-E17-E23</f>
        <v>109</v>
      </c>
      <c r="F31" s="301">
        <f>IF(D31=0,0,$C31/(D31*365))</f>
        <v>0.9714436248682824</v>
      </c>
      <c r="G31" s="301">
        <f>IF(E31=0,0,$C31/(E31*365))</f>
        <v>0.6951614930250094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631</v>
      </c>
      <c r="C33" s="300">
        <f>SUM(C10:C29)-C17</f>
        <v>28581</v>
      </c>
      <c r="D33" s="300">
        <f>SUM(D10:D29)-D17</f>
        <v>81</v>
      </c>
      <c r="E33" s="300">
        <f>SUM(E10:E29)-E17</f>
        <v>122</v>
      </c>
      <c r="F33" s="301">
        <f>IF(D33=0,0,$C33/(D33*365))</f>
        <v>0.9667174023338407</v>
      </c>
      <c r="G33" s="301">
        <f>IF(E33=0,0,$C33/(E33*365))</f>
        <v>0.6418369638445991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632</v>
      </c>
      <c r="C36" s="300">
        <f>+C33</f>
        <v>28581</v>
      </c>
      <c r="D36" s="300">
        <f>+D33</f>
        <v>81</v>
      </c>
      <c r="E36" s="300">
        <f>+E33</f>
        <v>122</v>
      </c>
      <c r="F36" s="301">
        <f>+F33</f>
        <v>0.9667174023338407</v>
      </c>
      <c r="G36" s="301">
        <f>+G33</f>
        <v>0.6418369638445991</v>
      </c>
      <c r="H36" s="125"/>
      <c r="I36" s="299"/>
    </row>
    <row r="37" spans="1:9" ht="15.75" customHeight="1">
      <c r="A37" s="293"/>
      <c r="B37" s="135" t="s">
        <v>633</v>
      </c>
      <c r="C37" s="300">
        <v>27085</v>
      </c>
      <c r="D37" s="302">
        <v>78</v>
      </c>
      <c r="E37" s="302">
        <v>122</v>
      </c>
      <c r="F37" s="301">
        <f>IF(D37=0,0,$C37/(D37*365))</f>
        <v>0.9513523006673692</v>
      </c>
      <c r="G37" s="301">
        <f>IF(E37=0,0,$C37/(E37*365))</f>
        <v>0.6082416348529082</v>
      </c>
      <c r="H37" s="125"/>
      <c r="I37" s="299"/>
    </row>
    <row r="38" spans="1:9" ht="15.75" customHeight="1">
      <c r="A38" s="293"/>
      <c r="B38" s="135" t="s">
        <v>634</v>
      </c>
      <c r="C38" s="300">
        <f>+C36-C37</f>
        <v>1496</v>
      </c>
      <c r="D38" s="300">
        <f>+D36-D37</f>
        <v>3</v>
      </c>
      <c r="E38" s="300">
        <f>+E36-E37</f>
        <v>0</v>
      </c>
      <c r="F38" s="301">
        <f>+F36-F37</f>
        <v>0.015365101666471537</v>
      </c>
      <c r="G38" s="301">
        <f>+G36-G37</f>
        <v>0.03359532899169093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635</v>
      </c>
      <c r="C40" s="148">
        <f>IF(C37=0,0,C38/C37)</f>
        <v>0.05523352409082518</v>
      </c>
      <c r="D40" s="148">
        <f>IF(D37=0,0,D38/D37)</f>
        <v>0.038461538461538464</v>
      </c>
      <c r="E40" s="148">
        <f>IF(E37=0,0,E38/E37)</f>
        <v>0</v>
      </c>
      <c r="F40" s="148">
        <f>IF(F37=0,0,F38/F37)</f>
        <v>0.01615080097635018</v>
      </c>
      <c r="G40" s="148">
        <f>IF(G37=0,0,G38/G37)</f>
        <v>0.055233524090825076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636</v>
      </c>
      <c r="C42" s="295">
        <v>122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637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619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/>
  <headerFooter alignWithMargins="0">
    <oddHeader>&amp;LOFFICE OF HEALTH CARE ACCESS&amp;CTWELVE MONTHS ACTUAL FILING&amp;RCHARLOTTE HUNGERFORD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115</v>
      </c>
      <c r="B1" s="698"/>
      <c r="C1" s="698"/>
      <c r="D1" s="698"/>
      <c r="E1" s="698"/>
      <c r="F1" s="698"/>
    </row>
    <row r="2" spans="1:6" ht="15.75" customHeight="1">
      <c r="A2" s="698" t="s">
        <v>116</v>
      </c>
      <c r="B2" s="698"/>
      <c r="C2" s="698"/>
      <c r="D2" s="698"/>
      <c r="E2" s="698"/>
      <c r="F2" s="698"/>
    </row>
    <row r="3" spans="1:6" ht="15.75" customHeight="1">
      <c r="A3" s="698" t="s">
        <v>117</v>
      </c>
      <c r="B3" s="698"/>
      <c r="C3" s="698"/>
      <c r="D3" s="698"/>
      <c r="E3" s="698"/>
      <c r="F3" s="698"/>
    </row>
    <row r="4" spans="1:6" ht="15.75" customHeight="1">
      <c r="A4" s="698" t="s">
        <v>638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125</v>
      </c>
      <c r="D8" s="312" t="s">
        <v>125</v>
      </c>
      <c r="E8" s="126" t="s">
        <v>121</v>
      </c>
      <c r="F8" s="126" t="s">
        <v>122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123</v>
      </c>
      <c r="B9" s="291" t="s">
        <v>124</v>
      </c>
      <c r="C9" s="292" t="s">
        <v>119</v>
      </c>
      <c r="D9" s="292" t="s">
        <v>120</v>
      </c>
      <c r="E9" s="315" t="s">
        <v>126</v>
      </c>
      <c r="F9" s="315" t="s">
        <v>126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129</v>
      </c>
      <c r="B11" s="291" t="s">
        <v>639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640</v>
      </c>
      <c r="C12" s="296">
        <v>3170</v>
      </c>
      <c r="D12" s="296">
        <v>3798</v>
      </c>
      <c r="E12" s="296">
        <f>+D12-C12</f>
        <v>628</v>
      </c>
      <c r="F12" s="316">
        <f>IF(C12=0,0,+E12/C12)</f>
        <v>0.19810725552050473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641</v>
      </c>
      <c r="C13" s="296">
        <v>3322</v>
      </c>
      <c r="D13" s="296">
        <v>3193</v>
      </c>
      <c r="E13" s="296">
        <f>+D13-C13</f>
        <v>-129</v>
      </c>
      <c r="F13" s="316">
        <f>IF(C13=0,0,+E13/C13)</f>
        <v>-0.038832028898254066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642</v>
      </c>
      <c r="C14" s="296">
        <v>5484</v>
      </c>
      <c r="D14" s="296">
        <v>6096</v>
      </c>
      <c r="E14" s="296">
        <f>+D14-C14</f>
        <v>612</v>
      </c>
      <c r="F14" s="316">
        <f>IF(C14=0,0,+E14/C14)</f>
        <v>0.11159737417943107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643</v>
      </c>
      <c r="C15" s="296">
        <v>2174</v>
      </c>
      <c r="D15" s="296">
        <v>2037</v>
      </c>
      <c r="E15" s="296">
        <f>+D15-C15</f>
        <v>-137</v>
      </c>
      <c r="F15" s="316">
        <f>IF(C15=0,0,+E15/C15)</f>
        <v>-0.06301747930082796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644</v>
      </c>
      <c r="C16" s="300">
        <f>SUM(C12:C15)</f>
        <v>14150</v>
      </c>
      <c r="D16" s="300">
        <f>SUM(D12:D15)</f>
        <v>15124</v>
      </c>
      <c r="E16" s="300">
        <f>+D16-C16</f>
        <v>974</v>
      </c>
      <c r="F16" s="309">
        <f>IF(C16=0,0,+E16/C16)</f>
        <v>0.0688339222614841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141</v>
      </c>
      <c r="B18" s="291" t="s">
        <v>645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640</v>
      </c>
      <c r="C19" s="296">
        <v>361</v>
      </c>
      <c r="D19" s="296">
        <v>503</v>
      </c>
      <c r="E19" s="296">
        <f>+D19-C19</f>
        <v>142</v>
      </c>
      <c r="F19" s="316">
        <f>IF(C19=0,0,+E19/C19)</f>
        <v>0.39335180055401664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641</v>
      </c>
      <c r="C20" s="296">
        <v>129</v>
      </c>
      <c r="D20" s="296">
        <v>229</v>
      </c>
      <c r="E20" s="296">
        <f>+D20-C20</f>
        <v>100</v>
      </c>
      <c r="F20" s="316">
        <f>IF(C20=0,0,+E20/C20)</f>
        <v>0.7751937984496124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642</v>
      </c>
      <c r="C21" s="296">
        <v>149</v>
      </c>
      <c r="D21" s="296">
        <v>107</v>
      </c>
      <c r="E21" s="296">
        <f>+D21-C21</f>
        <v>-42</v>
      </c>
      <c r="F21" s="316">
        <f>IF(C21=0,0,+E21/C21)</f>
        <v>-0.28187919463087246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643</v>
      </c>
      <c r="C22" s="296">
        <v>6127</v>
      </c>
      <c r="D22" s="296">
        <v>5751</v>
      </c>
      <c r="E22" s="296">
        <f>+D22-C22</f>
        <v>-376</v>
      </c>
      <c r="F22" s="316">
        <f>IF(C22=0,0,+E22/C22)</f>
        <v>-0.06136771666394646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646</v>
      </c>
      <c r="C23" s="300">
        <f>SUM(C19:C22)</f>
        <v>6766</v>
      </c>
      <c r="D23" s="300">
        <f>SUM(D19:D22)</f>
        <v>6590</v>
      </c>
      <c r="E23" s="300">
        <f>+D23-C23</f>
        <v>-176</v>
      </c>
      <c r="F23" s="309">
        <f>IF(C23=0,0,+E23/C23)</f>
        <v>-0.02601241501625776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151</v>
      </c>
      <c r="B25" s="291" t="s">
        <v>647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640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641</v>
      </c>
      <c r="C27" s="296">
        <v>153</v>
      </c>
      <c r="D27" s="296">
        <v>22</v>
      </c>
      <c r="E27" s="296">
        <f>+D27-C27</f>
        <v>-131</v>
      </c>
      <c r="F27" s="316">
        <f>IF(C27=0,0,+E27/C27)</f>
        <v>-0.8562091503267973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642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643</v>
      </c>
      <c r="C29" s="296">
        <v>423</v>
      </c>
      <c r="D29" s="296">
        <v>417</v>
      </c>
      <c r="E29" s="296">
        <f>+D29-C29</f>
        <v>-6</v>
      </c>
      <c r="F29" s="316">
        <f>IF(C29=0,0,+E29/C29)</f>
        <v>-0.014184397163120567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648</v>
      </c>
      <c r="C30" s="300">
        <f>SUM(C26:C29)</f>
        <v>576</v>
      </c>
      <c r="D30" s="300">
        <f>SUM(D26:D29)</f>
        <v>439</v>
      </c>
      <c r="E30" s="300">
        <f>+D30-C30</f>
        <v>-137</v>
      </c>
      <c r="F30" s="309">
        <f>IF(C30=0,0,+E30/C30)</f>
        <v>-0.2378472222222222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436</v>
      </c>
      <c r="B32" s="291" t="s">
        <v>649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640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641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642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643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650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651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652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457</v>
      </c>
      <c r="B42" s="291" t="s">
        <v>653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654</v>
      </c>
      <c r="C43" s="296">
        <v>38</v>
      </c>
      <c r="D43" s="296">
        <v>81</v>
      </c>
      <c r="E43" s="296">
        <f>+D43-C43</f>
        <v>43</v>
      </c>
      <c r="F43" s="316">
        <f>IF(C43=0,0,+E43/C43)</f>
        <v>1.131578947368421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655</v>
      </c>
      <c r="C44" s="296">
        <v>5104</v>
      </c>
      <c r="D44" s="296">
        <v>4951</v>
      </c>
      <c r="E44" s="296">
        <f>+D44-C44</f>
        <v>-153</v>
      </c>
      <c r="F44" s="316">
        <f>IF(C44=0,0,+E44/C44)</f>
        <v>-0.029976489028213166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656</v>
      </c>
      <c r="C45" s="300">
        <f>SUM(C43:C44)</f>
        <v>5142</v>
      </c>
      <c r="D45" s="300">
        <f>SUM(D43:D44)</f>
        <v>5032</v>
      </c>
      <c r="E45" s="300">
        <f>+D45-C45</f>
        <v>-110</v>
      </c>
      <c r="F45" s="309">
        <f>IF(C45=0,0,+E45/C45)</f>
        <v>-0.021392454297938544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469</v>
      </c>
      <c r="B47" s="291" t="s">
        <v>657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654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655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658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481</v>
      </c>
      <c r="B52" s="291" t="s">
        <v>659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660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661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662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485</v>
      </c>
      <c r="B57" s="291" t="s">
        <v>663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664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665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666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127</v>
      </c>
      <c r="B62" s="291" t="s">
        <v>667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668</v>
      </c>
      <c r="C63" s="296">
        <v>1386</v>
      </c>
      <c r="D63" s="296">
        <v>1276</v>
      </c>
      <c r="E63" s="296">
        <f>+D63-C63</f>
        <v>-110</v>
      </c>
      <c r="F63" s="316">
        <f>IF(C63=0,0,+E63/C63)</f>
        <v>-0.07936507936507936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669</v>
      </c>
      <c r="C64" s="296">
        <v>2862</v>
      </c>
      <c r="D64" s="296">
        <v>2787</v>
      </c>
      <c r="E64" s="296">
        <f>+D64-C64</f>
        <v>-75</v>
      </c>
      <c r="F64" s="316">
        <f>IF(C64=0,0,+E64/C64)</f>
        <v>-0.02620545073375262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670</v>
      </c>
      <c r="C65" s="300">
        <f>SUM(C63:C64)</f>
        <v>4248</v>
      </c>
      <c r="D65" s="300">
        <f>SUM(D63:D64)</f>
        <v>4063</v>
      </c>
      <c r="E65" s="300">
        <f>+D65-C65</f>
        <v>-185</v>
      </c>
      <c r="F65" s="309">
        <f>IF(C65=0,0,+E65/C65)</f>
        <v>-0.043549905838041435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511</v>
      </c>
      <c r="B67" s="291" t="s">
        <v>671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672</v>
      </c>
      <c r="C68" s="296">
        <v>365</v>
      </c>
      <c r="D68" s="296">
        <v>412</v>
      </c>
      <c r="E68" s="296">
        <f>+D68-C68</f>
        <v>47</v>
      </c>
      <c r="F68" s="316">
        <f>IF(C68=0,0,+E68/C68)</f>
        <v>0.12876712328767123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673</v>
      </c>
      <c r="C69" s="296">
        <v>668</v>
      </c>
      <c r="D69" s="296">
        <v>661</v>
      </c>
      <c r="E69" s="296">
        <f>+D69-C69</f>
        <v>-7</v>
      </c>
      <c r="F69" s="318">
        <f>IF(C69=0,0,+E69/C69)</f>
        <v>-0.010479041916167664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674</v>
      </c>
      <c r="C70" s="300">
        <f>SUM(C68:C69)</f>
        <v>1033</v>
      </c>
      <c r="D70" s="300">
        <f>SUM(D68:D69)</f>
        <v>1073</v>
      </c>
      <c r="E70" s="300">
        <f>+D70-C70</f>
        <v>40</v>
      </c>
      <c r="F70" s="309">
        <f>IF(C70=0,0,+E70/C70)</f>
        <v>0.03872216844143272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527</v>
      </c>
      <c r="B72" s="291" t="s">
        <v>675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676</v>
      </c>
      <c r="C73" s="319">
        <v>4015</v>
      </c>
      <c r="D73" s="319">
        <v>4476</v>
      </c>
      <c r="E73" s="296">
        <f>+D73-C73</f>
        <v>461</v>
      </c>
      <c r="F73" s="316">
        <f>IF(C73=0,0,+E73/C73)</f>
        <v>0.11481942714819428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677</v>
      </c>
      <c r="C74" s="319">
        <v>34814</v>
      </c>
      <c r="D74" s="319">
        <v>34464</v>
      </c>
      <c r="E74" s="296">
        <f>+D74-C74</f>
        <v>-350</v>
      </c>
      <c r="F74" s="316">
        <f>IF(C74=0,0,+E74/C74)</f>
        <v>-0.010053426782328949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543</v>
      </c>
      <c r="C75" s="300">
        <f>SUM(C73:C74)</f>
        <v>38829</v>
      </c>
      <c r="D75" s="300">
        <f>SUM(D73:D74)</f>
        <v>38940</v>
      </c>
      <c r="E75" s="300">
        <f>SUM(E73:E74)</f>
        <v>111</v>
      </c>
      <c r="F75" s="309">
        <f>IF(C75=0,0,+E75/C75)</f>
        <v>0.002858688093950398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536</v>
      </c>
      <c r="B78" s="291" t="s">
        <v>678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679</v>
      </c>
      <c r="C79" s="319">
        <v>3486</v>
      </c>
      <c r="D79" s="319">
        <v>3710</v>
      </c>
      <c r="E79" s="296">
        <f aca="true" t="shared" si="0" ref="E79:E84">+D79-C79</f>
        <v>224</v>
      </c>
      <c r="F79" s="316">
        <f aca="true" t="shared" si="1" ref="F79:F84">IF(C79=0,0,+E79/C79)</f>
        <v>0.0642570281124498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680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681</v>
      </c>
      <c r="C81" s="319">
        <v>29228</v>
      </c>
      <c r="D81" s="319">
        <v>30835</v>
      </c>
      <c r="E81" s="296">
        <f t="shared" si="0"/>
        <v>1607</v>
      </c>
      <c r="F81" s="316">
        <f t="shared" si="1"/>
        <v>0.05498152456548515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682</v>
      </c>
      <c r="C82" s="319">
        <v>12840</v>
      </c>
      <c r="D82" s="319">
        <v>12657</v>
      </c>
      <c r="E82" s="296">
        <f t="shared" si="0"/>
        <v>-183</v>
      </c>
      <c r="F82" s="316">
        <f t="shared" si="1"/>
        <v>-0.01425233644859813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683</v>
      </c>
      <c r="C83" s="319">
        <v>1603</v>
      </c>
      <c r="D83" s="319">
        <v>1609</v>
      </c>
      <c r="E83" s="296">
        <f t="shared" si="0"/>
        <v>6</v>
      </c>
      <c r="F83" s="316">
        <f t="shared" si="1"/>
        <v>0.0037429819089207735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684</v>
      </c>
      <c r="C84" s="320">
        <f>SUM(C79:C83)</f>
        <v>47157</v>
      </c>
      <c r="D84" s="320">
        <f>SUM(D79:D83)</f>
        <v>48811</v>
      </c>
      <c r="E84" s="300">
        <f t="shared" si="0"/>
        <v>1654</v>
      </c>
      <c r="F84" s="309">
        <f t="shared" si="1"/>
        <v>0.03507432618699239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539</v>
      </c>
      <c r="B86" s="291" t="s">
        <v>685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686</v>
      </c>
      <c r="C87" s="322">
        <v>3649</v>
      </c>
      <c r="D87" s="322">
        <v>3725</v>
      </c>
      <c r="E87" s="323">
        <f aca="true" t="shared" si="2" ref="E87:E92">+D87-C87</f>
        <v>76</v>
      </c>
      <c r="F87" s="318">
        <f aca="true" t="shared" si="3" ref="F87:F92">IF(C87=0,0,+E87/C87)</f>
        <v>0.020827624006577145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378</v>
      </c>
      <c r="C88" s="322">
        <v>3568</v>
      </c>
      <c r="D88" s="322">
        <v>3504</v>
      </c>
      <c r="E88" s="296">
        <f t="shared" si="2"/>
        <v>-64</v>
      </c>
      <c r="F88" s="316">
        <f t="shared" si="3"/>
        <v>-0.017937219730941704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687</v>
      </c>
      <c r="C89" s="322">
        <v>116</v>
      </c>
      <c r="D89" s="322">
        <v>131</v>
      </c>
      <c r="E89" s="296">
        <f t="shared" si="2"/>
        <v>15</v>
      </c>
      <c r="F89" s="316">
        <f t="shared" si="3"/>
        <v>0.12931034482758622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688</v>
      </c>
      <c r="C90" s="322">
        <v>1359</v>
      </c>
      <c r="D90" s="322">
        <v>1286</v>
      </c>
      <c r="E90" s="296">
        <f t="shared" si="2"/>
        <v>-73</v>
      </c>
      <c r="F90" s="316">
        <f t="shared" si="3"/>
        <v>-0.05371596762325239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689</v>
      </c>
      <c r="C91" s="322">
        <v>112281</v>
      </c>
      <c r="D91" s="322">
        <v>113508</v>
      </c>
      <c r="E91" s="296">
        <f t="shared" si="2"/>
        <v>1227</v>
      </c>
      <c r="F91" s="316">
        <f t="shared" si="3"/>
        <v>0.010927939722660112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690</v>
      </c>
      <c r="C92" s="320">
        <f>SUM(C87:C91)</f>
        <v>120973</v>
      </c>
      <c r="D92" s="320">
        <f>SUM(D87:D91)</f>
        <v>122154</v>
      </c>
      <c r="E92" s="300">
        <f t="shared" si="2"/>
        <v>1181</v>
      </c>
      <c r="F92" s="309">
        <f t="shared" si="3"/>
        <v>0.009762508989609252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691</v>
      </c>
      <c r="B95" s="291" t="s">
        <v>692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693</v>
      </c>
      <c r="C96" s="325">
        <v>270.1</v>
      </c>
      <c r="D96" s="325">
        <v>276.8</v>
      </c>
      <c r="E96" s="326">
        <f>+D96-C96</f>
        <v>6.699999999999989</v>
      </c>
      <c r="F96" s="316">
        <f>IF(C96=0,0,+E96/C96)</f>
        <v>0.02480562754535353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694</v>
      </c>
      <c r="C97" s="325">
        <v>13.5</v>
      </c>
      <c r="D97" s="325">
        <v>18</v>
      </c>
      <c r="E97" s="326">
        <f>+D97-C97</f>
        <v>4.5</v>
      </c>
      <c r="F97" s="316">
        <f>IF(C97=0,0,+E97/C97)</f>
        <v>0.3333333333333333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695</v>
      </c>
      <c r="C98" s="325">
        <v>389.3</v>
      </c>
      <c r="D98" s="325">
        <v>390</v>
      </c>
      <c r="E98" s="326">
        <f>+D98-C98</f>
        <v>0.6999999999999886</v>
      </c>
      <c r="F98" s="316">
        <f>IF(C98=0,0,+E98/C98)</f>
        <v>0.001798099152324656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696</v>
      </c>
      <c r="C99" s="327">
        <f>SUM(C96:C98)</f>
        <v>672.9000000000001</v>
      </c>
      <c r="D99" s="327">
        <f>SUM(D96:D98)</f>
        <v>684.8</v>
      </c>
      <c r="E99" s="327">
        <f>+D99-C99</f>
        <v>11.899999999999864</v>
      </c>
      <c r="F99" s="309">
        <f>IF(C99=0,0,+E99/C99)</f>
        <v>0.01768464853618645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 r:id="rId1"/>
  <headerFooter alignWithMargins="0">
    <oddHeader>&amp;LOFFICE OF HEALTH CARE ACCESS&amp;CTWELVE MONTHS ACTUAL FILING&amp;RCHARLOTTE HUNGERFORD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zoomScale="75" zoomScaleNormal="75" zoomScaleSheetLayoutView="90" zoomScalePageLayoutView="0" workbookViewId="0" topLeftCell="A1">
      <selection activeCell="B29" sqref="B29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115</v>
      </c>
      <c r="B1" s="698"/>
      <c r="C1" s="698"/>
      <c r="D1" s="698"/>
      <c r="E1" s="698"/>
      <c r="F1" s="698"/>
    </row>
    <row r="2" spans="1:6" ht="15.75" customHeight="1">
      <c r="A2" s="698" t="s">
        <v>116</v>
      </c>
      <c r="B2" s="698"/>
      <c r="C2" s="698"/>
      <c r="D2" s="698"/>
      <c r="E2" s="698"/>
      <c r="F2" s="698"/>
    </row>
    <row r="3" spans="1:6" ht="15.75" customHeight="1">
      <c r="A3" s="698" t="s">
        <v>117</v>
      </c>
      <c r="B3" s="698"/>
      <c r="C3" s="698"/>
      <c r="D3" s="698"/>
      <c r="E3" s="698"/>
      <c r="F3" s="698"/>
    </row>
    <row r="4" spans="1:6" ht="15.75" customHeight="1">
      <c r="A4" s="698" t="s">
        <v>697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125</v>
      </c>
      <c r="D8" s="312" t="s">
        <v>125</v>
      </c>
      <c r="E8" s="126" t="s">
        <v>121</v>
      </c>
      <c r="F8" s="126" t="s">
        <v>122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123</v>
      </c>
      <c r="B9" s="291" t="s">
        <v>124</v>
      </c>
      <c r="C9" s="292" t="s">
        <v>119</v>
      </c>
      <c r="D9" s="292" t="s">
        <v>120</v>
      </c>
      <c r="E9" s="315" t="s">
        <v>126</v>
      </c>
      <c r="F9" s="315" t="s">
        <v>126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225</v>
      </c>
      <c r="B11" s="291" t="s">
        <v>669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698</v>
      </c>
      <c r="C12" s="296">
        <v>2862</v>
      </c>
      <c r="D12" s="296">
        <v>2787</v>
      </c>
      <c r="E12" s="296">
        <f>+D12-C12</f>
        <v>-75</v>
      </c>
      <c r="F12" s="316">
        <f>IF(C12=0,0,+E12/C12)</f>
        <v>-0.02620545073375262</v>
      </c>
    </row>
    <row r="13" spans="1:6" ht="15.75" customHeight="1">
      <c r="A13" s="294"/>
      <c r="B13" s="135" t="s">
        <v>699</v>
      </c>
      <c r="C13" s="300">
        <f>SUM(C11:C12)</f>
        <v>2862</v>
      </c>
      <c r="D13" s="300">
        <f>SUM(D11:D12)</f>
        <v>2787</v>
      </c>
      <c r="E13" s="300">
        <f>+D13-C13</f>
        <v>-75</v>
      </c>
      <c r="F13" s="309">
        <f>IF(C13=0,0,+E13/C13)</f>
        <v>-0.02620545073375262</v>
      </c>
    </row>
    <row r="14" spans="1:6" ht="15.75" customHeight="1">
      <c r="A14" s="293"/>
      <c r="B14" s="135"/>
      <c r="C14" s="300"/>
      <c r="D14" s="300"/>
      <c r="E14" s="300"/>
      <c r="F14" s="309"/>
    </row>
    <row r="15" spans="1:6" ht="15.75" customHeight="1">
      <c r="A15" s="293" t="s">
        <v>239</v>
      </c>
      <c r="B15" s="291" t="s">
        <v>673</v>
      </c>
      <c r="C15" s="296"/>
      <c r="D15" s="296"/>
      <c r="E15" s="296"/>
      <c r="F15" s="316"/>
    </row>
    <row r="16" spans="1:6" ht="15.75" customHeight="1">
      <c r="A16" s="294">
        <v>1</v>
      </c>
      <c r="B16" s="295" t="s">
        <v>698</v>
      </c>
      <c r="C16" s="296">
        <v>668</v>
      </c>
      <c r="D16" s="296">
        <v>661</v>
      </c>
      <c r="E16" s="296">
        <f>+D16-C16</f>
        <v>-7</v>
      </c>
      <c r="F16" s="316">
        <f>IF(C16=0,0,+E16/C16)</f>
        <v>-0.010479041916167664</v>
      </c>
    </row>
    <row r="17" spans="1:6" ht="15.75" customHeight="1">
      <c r="A17" s="294"/>
      <c r="B17" s="135" t="s">
        <v>700</v>
      </c>
      <c r="C17" s="300">
        <f>SUM(C15:C16)</f>
        <v>668</v>
      </c>
      <c r="D17" s="300">
        <f>SUM(D15:D16)</f>
        <v>661</v>
      </c>
      <c r="E17" s="300">
        <f>+D17-C17</f>
        <v>-7</v>
      </c>
      <c r="F17" s="309">
        <f>IF(C17=0,0,+E17/C17)</f>
        <v>-0.010479041916167664</v>
      </c>
    </row>
    <row r="18" spans="1:6" ht="15.75" customHeight="1">
      <c r="A18" s="293"/>
      <c r="B18" s="135"/>
      <c r="C18" s="300"/>
      <c r="D18" s="300"/>
      <c r="E18" s="300"/>
      <c r="F18" s="309"/>
    </row>
    <row r="19" spans="1:6" ht="15.75" customHeight="1">
      <c r="A19" s="293" t="s">
        <v>256</v>
      </c>
      <c r="B19" s="291" t="s">
        <v>701</v>
      </c>
      <c r="C19" s="296"/>
      <c r="D19" s="296"/>
      <c r="E19" s="296"/>
      <c r="F19" s="316"/>
    </row>
    <row r="20" spans="1:6" ht="15.75" customHeight="1">
      <c r="A20" s="294">
        <v>1</v>
      </c>
      <c r="B20" s="295" t="s">
        <v>698</v>
      </c>
      <c r="C20" s="296">
        <v>27833</v>
      </c>
      <c r="D20" s="296">
        <v>27606</v>
      </c>
      <c r="E20" s="296">
        <f>+D20-C20</f>
        <v>-227</v>
      </c>
      <c r="F20" s="316">
        <f>IF(C20=0,0,+E20/C20)</f>
        <v>-0.00815578629684188</v>
      </c>
    </row>
    <row r="21" spans="1:6" ht="15.75" customHeight="1">
      <c r="A21" s="294">
        <v>2</v>
      </c>
      <c r="B21" s="295" t="s">
        <v>702</v>
      </c>
      <c r="C21" s="296">
        <v>6981</v>
      </c>
      <c r="D21" s="296">
        <v>6858</v>
      </c>
      <c r="E21" s="296">
        <f>+D21-C21</f>
        <v>-123</v>
      </c>
      <c r="F21" s="316">
        <f>IF(C21=0,0,+E21/C21)</f>
        <v>-0.017619252256123763</v>
      </c>
    </row>
    <row r="22" spans="1:6" ht="15.75" customHeight="1">
      <c r="A22" s="294"/>
      <c r="B22" s="135" t="s">
        <v>703</v>
      </c>
      <c r="C22" s="300">
        <f>SUM(C19:C21)</f>
        <v>34814</v>
      </c>
      <c r="D22" s="300">
        <f>SUM(D19:D21)</f>
        <v>34464</v>
      </c>
      <c r="E22" s="300">
        <f>+D22-C22</f>
        <v>-350</v>
      </c>
      <c r="F22" s="309">
        <f>IF(C22=0,0,+E22/C22)</f>
        <v>-0.010053426782328949</v>
      </c>
    </row>
    <row r="23" spans="1:6" ht="15.75" customHeight="1">
      <c r="A23" s="293"/>
      <c r="B23" s="135"/>
      <c r="C23" s="300"/>
      <c r="D23" s="300"/>
      <c r="E23" s="300"/>
      <c r="F23" s="309"/>
    </row>
    <row r="24" spans="2:6" ht="15.75" customHeight="1">
      <c r="B24" s="699" t="s">
        <v>704</v>
      </c>
      <c r="C24" s="700"/>
      <c r="D24" s="700"/>
      <c r="E24" s="700"/>
      <c r="F24" s="701"/>
    </row>
    <row r="25" spans="1:6" ht="15.75" customHeight="1">
      <c r="A25" s="293"/>
      <c r="B25" s="135"/>
      <c r="C25" s="300"/>
      <c r="D25" s="300"/>
      <c r="E25" s="300"/>
      <c r="F25" s="309"/>
    </row>
    <row r="26" spans="2:6" ht="15.75" customHeight="1">
      <c r="B26" s="699" t="s">
        <v>705</v>
      </c>
      <c r="C26" s="700"/>
      <c r="D26" s="700"/>
      <c r="E26" s="700"/>
      <c r="F26" s="701"/>
    </row>
    <row r="27" spans="1:6" ht="15.75" customHeight="1">
      <c r="A27" s="293"/>
      <c r="B27" s="135"/>
      <c r="C27" s="300"/>
      <c r="D27" s="300"/>
      <c r="E27" s="300"/>
      <c r="F27" s="309"/>
    </row>
    <row r="28" spans="2:6" ht="15.75" customHeight="1">
      <c r="B28" s="699" t="s">
        <v>706</v>
      </c>
      <c r="C28" s="700"/>
      <c r="D28" s="700"/>
      <c r="E28" s="700"/>
      <c r="F28" s="701"/>
    </row>
    <row r="29" spans="1:6" ht="15.75" customHeight="1">
      <c r="A29" s="293"/>
      <c r="B29" s="135"/>
      <c r="C29" s="300"/>
      <c r="D29" s="300"/>
      <c r="E29" s="300"/>
      <c r="F29" s="309"/>
    </row>
  </sheetData>
  <sheetProtection/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FILING&amp;RCHARLOTTE HUNGERFORD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307">
      <selection activeCell="B329" sqref="B329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115</v>
      </c>
      <c r="B1" s="705"/>
      <c r="C1" s="705"/>
      <c r="D1" s="705"/>
      <c r="E1" s="705"/>
      <c r="F1" s="705"/>
    </row>
    <row r="2" spans="1:6" ht="15.75" customHeight="1">
      <c r="A2" s="706" t="s">
        <v>707</v>
      </c>
      <c r="B2" s="707"/>
      <c r="C2" s="707"/>
      <c r="D2" s="707"/>
      <c r="E2" s="707"/>
      <c r="F2" s="708"/>
    </row>
    <row r="3" spans="1:6" ht="15.75" customHeight="1">
      <c r="A3" s="706" t="s">
        <v>708</v>
      </c>
      <c r="B3" s="707"/>
      <c r="C3" s="707"/>
      <c r="D3" s="707"/>
      <c r="E3" s="707"/>
      <c r="F3" s="708"/>
    </row>
    <row r="4" spans="1:6" ht="15.75" customHeight="1">
      <c r="A4" s="702" t="s">
        <v>709</v>
      </c>
      <c r="B4" s="703"/>
      <c r="C4" s="703"/>
      <c r="D4" s="703"/>
      <c r="E4" s="703"/>
      <c r="F4" s="704"/>
    </row>
    <row r="5" spans="1:6" ht="15.75" customHeight="1">
      <c r="A5" s="702" t="s">
        <v>710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711</v>
      </c>
      <c r="D7" s="341" t="s">
        <v>711</v>
      </c>
      <c r="E7" s="341" t="s">
        <v>712</v>
      </c>
      <c r="F7" s="341" t="s">
        <v>122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123</v>
      </c>
      <c r="B8" s="343" t="s">
        <v>124</v>
      </c>
      <c r="C8" s="344" t="s">
        <v>713</v>
      </c>
      <c r="D8" s="344" t="s">
        <v>714</v>
      </c>
      <c r="E8" s="344" t="s">
        <v>126</v>
      </c>
      <c r="F8" s="344" t="s">
        <v>126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127</v>
      </c>
      <c r="B10" s="349" t="s">
        <v>715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129</v>
      </c>
      <c r="B12" s="356" t="s">
        <v>716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717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718</v>
      </c>
      <c r="C15" s="361">
        <v>40339876</v>
      </c>
      <c r="D15" s="361">
        <v>49306977</v>
      </c>
      <c r="E15" s="361">
        <f aca="true" t="shared" si="0" ref="E15:E24">D15-C15</f>
        <v>8967101</v>
      </c>
      <c r="F15" s="362">
        <f aca="true" t="shared" si="1" ref="F15:F24">IF(C15=0,0,E15/C15)</f>
        <v>0.22228875963822992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719</v>
      </c>
      <c r="C16" s="361">
        <v>28157514</v>
      </c>
      <c r="D16" s="361">
        <v>32935779</v>
      </c>
      <c r="E16" s="361">
        <f t="shared" si="0"/>
        <v>4778265</v>
      </c>
      <c r="F16" s="362">
        <f t="shared" si="1"/>
        <v>0.1696976870898475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720</v>
      </c>
      <c r="C17" s="366">
        <f>IF(C15=0,0,C16/C15)</f>
        <v>0.6980069547065538</v>
      </c>
      <c r="D17" s="366">
        <f>IF(LN_IA1=0,0,LN_IA2/LN_IA1)</f>
        <v>0.6679740070051344</v>
      </c>
      <c r="E17" s="367">
        <f t="shared" si="0"/>
        <v>-0.0300329477014194</v>
      </c>
      <c r="F17" s="362">
        <f t="shared" si="1"/>
        <v>-0.04302671699602968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252</v>
      </c>
      <c r="C18" s="369">
        <v>3072</v>
      </c>
      <c r="D18" s="369">
        <v>3405</v>
      </c>
      <c r="E18" s="369">
        <f t="shared" si="0"/>
        <v>333</v>
      </c>
      <c r="F18" s="362">
        <f t="shared" si="1"/>
        <v>0.1083984375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721</v>
      </c>
      <c r="C19" s="372">
        <v>1.3977</v>
      </c>
      <c r="D19" s="372">
        <v>1.4336</v>
      </c>
      <c r="E19" s="373">
        <f t="shared" si="0"/>
        <v>0.03590000000000004</v>
      </c>
      <c r="F19" s="362">
        <f t="shared" si="1"/>
        <v>0.02568505401731419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722</v>
      </c>
      <c r="C20" s="376">
        <f>C18*C19</f>
        <v>4293.734399999999</v>
      </c>
      <c r="D20" s="376">
        <f>LN_IA4*LN_IA5</f>
        <v>4881.408</v>
      </c>
      <c r="E20" s="376">
        <f t="shared" si="0"/>
        <v>587.673600000001</v>
      </c>
      <c r="F20" s="362">
        <f t="shared" si="1"/>
        <v>0.13686771123989436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723</v>
      </c>
      <c r="C21" s="378">
        <f>IF(C20=0,0,C16/C20)</f>
        <v>6557.814568129786</v>
      </c>
      <c r="D21" s="378">
        <f>IF(LN_IA6=0,0,LN_IA2/LN_IA6)</f>
        <v>6747.188311241346</v>
      </c>
      <c r="E21" s="378">
        <f t="shared" si="0"/>
        <v>189.37374311156054</v>
      </c>
      <c r="F21" s="362">
        <f t="shared" si="1"/>
        <v>0.0288775690657517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254</v>
      </c>
      <c r="C22" s="369">
        <v>15320</v>
      </c>
      <c r="D22" s="369">
        <v>17327</v>
      </c>
      <c r="E22" s="369">
        <f t="shared" si="0"/>
        <v>2007</v>
      </c>
      <c r="F22" s="362">
        <f t="shared" si="1"/>
        <v>0.1310052219321149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724</v>
      </c>
      <c r="C23" s="378">
        <f>IF(C22=0,0,C16/C22)</f>
        <v>1837.9578328981722</v>
      </c>
      <c r="D23" s="378">
        <f>IF(LN_IA8=0,0,LN_IA2/LN_IA8)</f>
        <v>1900.8356322502452</v>
      </c>
      <c r="E23" s="378">
        <f t="shared" si="0"/>
        <v>62.877799352073</v>
      </c>
      <c r="F23" s="362">
        <f t="shared" si="1"/>
        <v>0.03421068657104311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725</v>
      </c>
      <c r="C24" s="379">
        <f>IF(C18=0,0,C22/C18)</f>
        <v>4.986979166666667</v>
      </c>
      <c r="D24" s="379">
        <f>IF(LN_IA4=0,0,LN_IA8/LN_IA4)</f>
        <v>5.088693098384728</v>
      </c>
      <c r="E24" s="379">
        <f t="shared" si="0"/>
        <v>0.10171393171806109</v>
      </c>
      <c r="F24" s="362">
        <f t="shared" si="1"/>
        <v>0.020395900668269167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726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727</v>
      </c>
      <c r="C27" s="361">
        <v>29440250</v>
      </c>
      <c r="D27" s="361">
        <v>32195042</v>
      </c>
      <c r="E27" s="361">
        <f aca="true" t="shared" si="2" ref="E27:E32">D27-C27</f>
        <v>2754792</v>
      </c>
      <c r="F27" s="362">
        <f aca="true" t="shared" si="3" ref="F27:F32">IF(C27=0,0,E27/C27)</f>
        <v>0.09357230322432723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728</v>
      </c>
      <c r="C28" s="361">
        <v>13199871</v>
      </c>
      <c r="D28" s="361">
        <v>13488536</v>
      </c>
      <c r="E28" s="361">
        <f t="shared" si="2"/>
        <v>288665</v>
      </c>
      <c r="F28" s="362">
        <f t="shared" si="3"/>
        <v>0.02186877432362786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729</v>
      </c>
      <c r="C29" s="366">
        <f>IF(C27=0,0,C28/C27)</f>
        <v>0.4483613760073369</v>
      </c>
      <c r="D29" s="366">
        <f>IF(LN_IA11=0,0,LN_IA12/LN_IA11)</f>
        <v>0.4189631434554426</v>
      </c>
      <c r="E29" s="367">
        <f t="shared" si="2"/>
        <v>-0.029398232551894277</v>
      </c>
      <c r="F29" s="362">
        <f t="shared" si="3"/>
        <v>-0.0655681647105419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730</v>
      </c>
      <c r="C30" s="366">
        <f>IF(C15=0,0,C27/C15)</f>
        <v>0.7298051684640776</v>
      </c>
      <c r="D30" s="366">
        <f>IF(LN_IA1=0,0,LN_IA11/LN_IA1)</f>
        <v>0.6529510417967826</v>
      </c>
      <c r="E30" s="367">
        <f t="shared" si="2"/>
        <v>-0.07685412666729496</v>
      </c>
      <c r="F30" s="362">
        <f t="shared" si="3"/>
        <v>-0.10530773141691976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731</v>
      </c>
      <c r="C31" s="376">
        <f>C30*C18</f>
        <v>2241.9614775216464</v>
      </c>
      <c r="D31" s="376">
        <f>LN_IA14*LN_IA4</f>
        <v>2223.298297318045</v>
      </c>
      <c r="E31" s="376">
        <f t="shared" si="2"/>
        <v>-18.663180203601314</v>
      </c>
      <c r="F31" s="362">
        <f t="shared" si="3"/>
        <v>-0.008324487459183436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732</v>
      </c>
      <c r="C32" s="378">
        <f>IF(C31=0,0,C28/C31)</f>
        <v>5887.6439815512185</v>
      </c>
      <c r="D32" s="378">
        <f>IF(LN_IA15=0,0,LN_IA12/LN_IA15)</f>
        <v>6066.903400353952</v>
      </c>
      <c r="E32" s="378">
        <f t="shared" si="2"/>
        <v>179.2594188027333</v>
      </c>
      <c r="F32" s="362">
        <f t="shared" si="3"/>
        <v>0.030446715080673713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733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734</v>
      </c>
      <c r="C35" s="361">
        <f>C15+C27</f>
        <v>69780126</v>
      </c>
      <c r="D35" s="361">
        <f>LN_IA1+LN_IA11</f>
        <v>81502019</v>
      </c>
      <c r="E35" s="361">
        <f>D35-C35</f>
        <v>11721893</v>
      </c>
      <c r="F35" s="362">
        <f>IF(C35=0,0,E35/C35)</f>
        <v>0.16798325930222596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735</v>
      </c>
      <c r="C36" s="361">
        <f>C16+C28</f>
        <v>41357385</v>
      </c>
      <c r="D36" s="361">
        <f>LN_IA2+LN_IA12</f>
        <v>46424315</v>
      </c>
      <c r="E36" s="361">
        <f>D36-C36</f>
        <v>5066930</v>
      </c>
      <c r="F36" s="362">
        <f>IF(C36=0,0,E36/C36)</f>
        <v>0.1225157248215766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736</v>
      </c>
      <c r="C37" s="361">
        <f>C35-C36</f>
        <v>28422741</v>
      </c>
      <c r="D37" s="361">
        <f>LN_IA17-LN_IA18</f>
        <v>35077704</v>
      </c>
      <c r="E37" s="361">
        <f>D37-C37</f>
        <v>6654963</v>
      </c>
      <c r="F37" s="362">
        <f>IF(C37=0,0,E37/C37)</f>
        <v>0.2341421962083108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141</v>
      </c>
      <c r="B39" s="356" t="s">
        <v>737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738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718</v>
      </c>
      <c r="C42" s="361">
        <v>18720526</v>
      </c>
      <c r="D42" s="361">
        <v>20271304</v>
      </c>
      <c r="E42" s="361">
        <f aca="true" t="shared" si="4" ref="E42:E53">D42-C42</f>
        <v>1550778</v>
      </c>
      <c r="F42" s="362">
        <f aca="true" t="shared" si="5" ref="F42:F53">IF(C42=0,0,E42/C42)</f>
        <v>0.08283837751140112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719</v>
      </c>
      <c r="C43" s="361">
        <v>11840634</v>
      </c>
      <c r="D43" s="361">
        <v>13484961</v>
      </c>
      <c r="E43" s="361">
        <f t="shared" si="4"/>
        <v>1644327</v>
      </c>
      <c r="F43" s="362">
        <f t="shared" si="5"/>
        <v>0.13887153339930952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720</v>
      </c>
      <c r="C44" s="366">
        <f>IF(C42=0,0,C43/C42)</f>
        <v>0.6324947279793314</v>
      </c>
      <c r="D44" s="366">
        <f>IF(LN_IB1=0,0,LN_IB2/LN_IB1)</f>
        <v>0.6652241513422126</v>
      </c>
      <c r="E44" s="367">
        <f t="shared" si="4"/>
        <v>0.032729423362881205</v>
      </c>
      <c r="F44" s="362">
        <f t="shared" si="5"/>
        <v>0.051746555212315914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252</v>
      </c>
      <c r="C45" s="369">
        <v>2016</v>
      </c>
      <c r="D45" s="369">
        <v>1896</v>
      </c>
      <c r="E45" s="369">
        <f t="shared" si="4"/>
        <v>-120</v>
      </c>
      <c r="F45" s="362">
        <f t="shared" si="5"/>
        <v>-0.05952380952380952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721</v>
      </c>
      <c r="C46" s="372">
        <v>1.0165</v>
      </c>
      <c r="D46" s="372">
        <v>1.037</v>
      </c>
      <c r="E46" s="373">
        <f t="shared" si="4"/>
        <v>0.020499999999999963</v>
      </c>
      <c r="F46" s="362">
        <f t="shared" si="5"/>
        <v>0.020167240531234594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722</v>
      </c>
      <c r="C47" s="376">
        <f>C45*C46</f>
        <v>2049.264</v>
      </c>
      <c r="D47" s="376">
        <f>LN_IB4*LN_IB5</f>
        <v>1966.1519999999998</v>
      </c>
      <c r="E47" s="376">
        <f t="shared" si="4"/>
        <v>-83.11200000000031</v>
      </c>
      <c r="F47" s="362">
        <f t="shared" si="5"/>
        <v>-0.04055699997657711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723</v>
      </c>
      <c r="C48" s="378">
        <f>IF(C47=0,0,C43/C47)</f>
        <v>5777.9934649708375</v>
      </c>
      <c r="D48" s="378">
        <f>IF(LN_IB6=0,0,LN_IB2/LN_IB6)</f>
        <v>6858.554679394066</v>
      </c>
      <c r="E48" s="378">
        <f t="shared" si="4"/>
        <v>1080.5612144232282</v>
      </c>
      <c r="F48" s="362">
        <f t="shared" si="5"/>
        <v>0.1870132288958347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739</v>
      </c>
      <c r="C49" s="378">
        <f>C21-C48</f>
        <v>779.8211031589481</v>
      </c>
      <c r="D49" s="378">
        <f>LN_IA7-LN_IB7</f>
        <v>-111.36636815271959</v>
      </c>
      <c r="E49" s="378">
        <f t="shared" si="4"/>
        <v>-891.1874713116677</v>
      </c>
      <c r="F49" s="362">
        <f t="shared" si="5"/>
        <v>-1.1428101492785843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740</v>
      </c>
      <c r="C50" s="391">
        <f>C49*C47</f>
        <v>1598059.3131439185</v>
      </c>
      <c r="D50" s="391">
        <f>LN_IB8*LN_IB6</f>
        <v>-218963.2074762059</v>
      </c>
      <c r="E50" s="391">
        <f t="shared" si="4"/>
        <v>-1817022.5206201244</v>
      </c>
      <c r="F50" s="362">
        <f t="shared" si="5"/>
        <v>-1.1370181980576377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254</v>
      </c>
      <c r="C51" s="369">
        <v>7207</v>
      </c>
      <c r="D51" s="369">
        <v>6787</v>
      </c>
      <c r="E51" s="369">
        <f t="shared" si="4"/>
        <v>-420</v>
      </c>
      <c r="F51" s="362">
        <f t="shared" si="5"/>
        <v>-0.058276675454419315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724</v>
      </c>
      <c r="C52" s="378">
        <f>IF(C51=0,0,C43/C51)</f>
        <v>1642.9352018870543</v>
      </c>
      <c r="D52" s="378">
        <f>IF(LN_IB10=0,0,LN_IB2/LN_IB10)</f>
        <v>1986.8809488728452</v>
      </c>
      <c r="E52" s="378">
        <f t="shared" si="4"/>
        <v>343.94574698579095</v>
      </c>
      <c r="F52" s="362">
        <f t="shared" si="5"/>
        <v>0.20934833375700956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725</v>
      </c>
      <c r="C53" s="379">
        <f>IF(C45=0,0,C51/C45)</f>
        <v>3.5749007936507935</v>
      </c>
      <c r="D53" s="379">
        <f>IF(LN_IB4=0,0,LN_IB10/LN_IB4)</f>
        <v>3.5796413502109705</v>
      </c>
      <c r="E53" s="379">
        <f t="shared" si="4"/>
        <v>0.004740556560177023</v>
      </c>
      <c r="F53" s="362">
        <f t="shared" si="5"/>
        <v>0.0013260666054276228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741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727</v>
      </c>
      <c r="C56" s="361">
        <v>42147816</v>
      </c>
      <c r="D56" s="361">
        <v>46028674</v>
      </c>
      <c r="E56" s="361">
        <f aca="true" t="shared" si="6" ref="E56:E63">D56-C56</f>
        <v>3880858</v>
      </c>
      <c r="F56" s="362">
        <f aca="true" t="shared" si="7" ref="F56:F63">IF(C56=0,0,E56/C56)</f>
        <v>0.09207732139667688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728</v>
      </c>
      <c r="C57" s="361">
        <v>21685982</v>
      </c>
      <c r="D57" s="361">
        <v>22744150</v>
      </c>
      <c r="E57" s="361">
        <f t="shared" si="6"/>
        <v>1058168</v>
      </c>
      <c r="F57" s="362">
        <f t="shared" si="7"/>
        <v>0.0487950234395657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729</v>
      </c>
      <c r="C58" s="366">
        <f>IF(C56=0,0,C57/C56)</f>
        <v>0.5145220810492293</v>
      </c>
      <c r="D58" s="366">
        <f>IF(LN_IB13=0,0,LN_IB14/LN_IB13)</f>
        <v>0.4941300285991293</v>
      </c>
      <c r="E58" s="367">
        <f t="shared" si="6"/>
        <v>-0.02039205245009995</v>
      </c>
      <c r="F58" s="362">
        <f t="shared" si="7"/>
        <v>-0.0396329976908199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730</v>
      </c>
      <c r="C59" s="366">
        <f>IF(C42=0,0,C56/C42)</f>
        <v>2.2514226363084027</v>
      </c>
      <c r="D59" s="366">
        <f>IF(LN_IB1=0,0,LN_IB13/LN_IB1)</f>
        <v>2.270632121150174</v>
      </c>
      <c r="E59" s="367">
        <f t="shared" si="6"/>
        <v>0.019209484841771207</v>
      </c>
      <c r="F59" s="362">
        <f t="shared" si="7"/>
        <v>0.00853215408425869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731</v>
      </c>
      <c r="C60" s="376">
        <f>C59*C45</f>
        <v>4538.86803479774</v>
      </c>
      <c r="D60" s="376">
        <f>LN_IB16*LN_IB4</f>
        <v>4305.11850170073</v>
      </c>
      <c r="E60" s="376">
        <f t="shared" si="6"/>
        <v>-233.7495330970096</v>
      </c>
      <c r="F60" s="362">
        <f t="shared" si="7"/>
        <v>-0.05149952175408993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732</v>
      </c>
      <c r="C61" s="378">
        <f>IF(C60=0,0,C57/C60)</f>
        <v>4777.839283658831</v>
      </c>
      <c r="D61" s="378">
        <f>IF(LN_IB17=0,0,LN_IB14/LN_IB17)</f>
        <v>5283.048536530402</v>
      </c>
      <c r="E61" s="378">
        <f t="shared" si="6"/>
        <v>505.20925287157115</v>
      </c>
      <c r="F61" s="362">
        <f t="shared" si="7"/>
        <v>0.10574011030456554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742</v>
      </c>
      <c r="C62" s="378">
        <f>C32-C61</f>
        <v>1109.8046978923876</v>
      </c>
      <c r="D62" s="378">
        <f>LN_IA16-LN_IB18</f>
        <v>783.8548638235497</v>
      </c>
      <c r="E62" s="378">
        <f t="shared" si="6"/>
        <v>-325.94983406883784</v>
      </c>
      <c r="F62" s="362">
        <f t="shared" si="7"/>
        <v>-0.2937001750739062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743</v>
      </c>
      <c r="C63" s="361">
        <f>C62*C60</f>
        <v>5037257.06813212</v>
      </c>
      <c r="D63" s="361">
        <f>LN_IB19*LN_IB17</f>
        <v>3374588.0768948705</v>
      </c>
      <c r="E63" s="361">
        <f t="shared" si="6"/>
        <v>-1662668.9912372497</v>
      </c>
      <c r="F63" s="362">
        <f t="shared" si="7"/>
        <v>-0.33007427827259744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744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734</v>
      </c>
      <c r="C66" s="361">
        <f>C42+C56</f>
        <v>60868342</v>
      </c>
      <c r="D66" s="361">
        <f>LN_IB1+LN_IB13</f>
        <v>66299978</v>
      </c>
      <c r="E66" s="361">
        <f>D66-C66</f>
        <v>5431636</v>
      </c>
      <c r="F66" s="362">
        <f>IF(C66=0,0,E66/C66)</f>
        <v>0.08923581325740727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735</v>
      </c>
      <c r="C67" s="361">
        <f>C43+C57</f>
        <v>33526616</v>
      </c>
      <c r="D67" s="361">
        <f>LN_IB2+LN_IB14</f>
        <v>36229111</v>
      </c>
      <c r="E67" s="361">
        <f>D67-C67</f>
        <v>2702495</v>
      </c>
      <c r="F67" s="362">
        <f>IF(C67=0,0,E67/C67)</f>
        <v>0.08060744931728273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736</v>
      </c>
      <c r="C68" s="361">
        <f>C66-C67</f>
        <v>27341726</v>
      </c>
      <c r="D68" s="361">
        <f>LN_IB21-LN_IB22</f>
        <v>30070867</v>
      </c>
      <c r="E68" s="361">
        <f>D68-C68</f>
        <v>2729141</v>
      </c>
      <c r="F68" s="362">
        <f>IF(C68=0,0,E68/C68)</f>
        <v>0.09981597357825911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745</v>
      </c>
      <c r="C70" s="353">
        <f>C50+C63</f>
        <v>6635316.3812760385</v>
      </c>
      <c r="D70" s="353">
        <f>LN_IB9+LN_IB20</f>
        <v>3155624.869418665</v>
      </c>
      <c r="E70" s="361">
        <f>D70-C70</f>
        <v>-3479691.5118573736</v>
      </c>
      <c r="F70" s="362">
        <f>IF(C70=0,0,E70/C70)</f>
        <v>-0.5244198334952935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746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747</v>
      </c>
      <c r="C73" s="400">
        <v>58695841</v>
      </c>
      <c r="D73" s="400">
        <v>65804567</v>
      </c>
      <c r="E73" s="400">
        <f>D73-C73</f>
        <v>7108726</v>
      </c>
      <c r="F73" s="401">
        <f>IF(C73=0,0,E73/C73)</f>
        <v>0.1211112385288082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748</v>
      </c>
      <c r="C74" s="400">
        <v>37078622</v>
      </c>
      <c r="D74" s="400">
        <v>39914356</v>
      </c>
      <c r="E74" s="400">
        <f>D74-C74</f>
        <v>2835734</v>
      </c>
      <c r="F74" s="401">
        <f>IF(C74=0,0,E74/C74)</f>
        <v>0.07647894789617586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749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750</v>
      </c>
      <c r="C76" s="353">
        <f>C73-C74</f>
        <v>21617219</v>
      </c>
      <c r="D76" s="353">
        <f>LN_IB32-LN_IB33</f>
        <v>25890211</v>
      </c>
      <c r="E76" s="400">
        <f>D76-C76</f>
        <v>4272992</v>
      </c>
      <c r="F76" s="401">
        <f>IF(C76=0,0,E76/C76)</f>
        <v>0.19766612902427458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751</v>
      </c>
      <c r="C77" s="366">
        <f>IF(C73=0,0,C76/C73)</f>
        <v>0.3682921759311703</v>
      </c>
      <c r="D77" s="366">
        <f>IF(LN_IB1=0,0,LN_IB34/LN_IB32)</f>
        <v>0.39344094460799356</v>
      </c>
      <c r="E77" s="405">
        <f>D77-C77</f>
        <v>0.025148768676823252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151</v>
      </c>
      <c r="B79" s="356" t="s">
        <v>752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753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718</v>
      </c>
      <c r="C83" s="361">
        <v>1553328</v>
      </c>
      <c r="D83" s="361">
        <v>1170201</v>
      </c>
      <c r="E83" s="361">
        <f aca="true" t="shared" si="8" ref="E83:E95">D83-C83</f>
        <v>-383127</v>
      </c>
      <c r="F83" s="362">
        <f aca="true" t="shared" si="9" ref="F83:F95">IF(C83=0,0,E83/C83)</f>
        <v>-0.24664913012576867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719</v>
      </c>
      <c r="C84" s="361">
        <v>286382</v>
      </c>
      <c r="D84" s="361">
        <v>311253</v>
      </c>
      <c r="E84" s="361">
        <f t="shared" si="8"/>
        <v>24871</v>
      </c>
      <c r="F84" s="362">
        <f t="shared" si="9"/>
        <v>0.0868455419684198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720</v>
      </c>
      <c r="C85" s="366">
        <f>IF(C83=0,0,C84/C83)</f>
        <v>0.18436672743940752</v>
      </c>
      <c r="D85" s="366">
        <f>IF(LN_IC1=0,0,LN_IC2/LN_IC1)</f>
        <v>0.2659825106968803</v>
      </c>
      <c r="E85" s="367">
        <f t="shared" si="8"/>
        <v>0.08161578325747276</v>
      </c>
      <c r="F85" s="362">
        <f t="shared" si="9"/>
        <v>0.44268173759441465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252</v>
      </c>
      <c r="C86" s="369">
        <v>165</v>
      </c>
      <c r="D86" s="369">
        <v>123</v>
      </c>
      <c r="E86" s="369">
        <f t="shared" si="8"/>
        <v>-42</v>
      </c>
      <c r="F86" s="362">
        <f t="shared" si="9"/>
        <v>-0.2545454545454545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721</v>
      </c>
      <c r="C87" s="372">
        <v>0.9691</v>
      </c>
      <c r="D87" s="372">
        <v>0.8838</v>
      </c>
      <c r="E87" s="373">
        <f t="shared" si="8"/>
        <v>-0.08529999999999993</v>
      </c>
      <c r="F87" s="362">
        <f t="shared" si="9"/>
        <v>-0.08801981219688364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722</v>
      </c>
      <c r="C88" s="376">
        <f>C86*C87</f>
        <v>159.9015</v>
      </c>
      <c r="D88" s="376">
        <f>LN_IC4*LN_IC5</f>
        <v>108.7074</v>
      </c>
      <c r="E88" s="376">
        <f t="shared" si="8"/>
        <v>-51.19409999999999</v>
      </c>
      <c r="F88" s="362">
        <f t="shared" si="9"/>
        <v>-0.3201602236376769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723</v>
      </c>
      <c r="C89" s="378">
        <f>IF(C88=0,0,C84/C88)</f>
        <v>1790.990078266933</v>
      </c>
      <c r="D89" s="378">
        <f>IF(LN_IC6=0,0,LN_IC2/LN_IC6)</f>
        <v>2863.218143383063</v>
      </c>
      <c r="E89" s="378">
        <f t="shared" si="8"/>
        <v>1072.2280651161298</v>
      </c>
      <c r="F89" s="362">
        <f t="shared" si="9"/>
        <v>0.5986789531261281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754</v>
      </c>
      <c r="C90" s="378">
        <f>C48-C89</f>
        <v>3987.0033867039047</v>
      </c>
      <c r="D90" s="378">
        <f>LN_IB7-LN_IC7</f>
        <v>3995.336536011003</v>
      </c>
      <c r="E90" s="378">
        <f t="shared" si="8"/>
        <v>8.33314930709821</v>
      </c>
      <c r="F90" s="362">
        <f t="shared" si="9"/>
        <v>0.00209007831166838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755</v>
      </c>
      <c r="C91" s="378">
        <f>C21-C89</f>
        <v>4766.824489862853</v>
      </c>
      <c r="D91" s="378">
        <f>LN_IA7-LN_IC7</f>
        <v>3883.9701678582833</v>
      </c>
      <c r="E91" s="378">
        <f t="shared" si="8"/>
        <v>-882.8543220045694</v>
      </c>
      <c r="F91" s="362">
        <f t="shared" si="9"/>
        <v>-0.1852080612328083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740</v>
      </c>
      <c r="C92" s="353">
        <f>C91*C88</f>
        <v>762222.3861658049</v>
      </c>
      <c r="D92" s="353">
        <f>LN_IC9*LN_IC6</f>
        <v>422216.29862543754</v>
      </c>
      <c r="E92" s="353">
        <f t="shared" si="8"/>
        <v>-340006.0875403674</v>
      </c>
      <c r="F92" s="362">
        <f t="shared" si="9"/>
        <v>-0.44607203056668876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254</v>
      </c>
      <c r="C93" s="369">
        <v>773</v>
      </c>
      <c r="D93" s="369">
        <v>576</v>
      </c>
      <c r="E93" s="369">
        <f t="shared" si="8"/>
        <v>-197</v>
      </c>
      <c r="F93" s="362">
        <f t="shared" si="9"/>
        <v>-0.25485122897800777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724</v>
      </c>
      <c r="C94" s="411">
        <f>IF(C93=0,0,C84/C93)</f>
        <v>370.48124191461835</v>
      </c>
      <c r="D94" s="411">
        <f>IF(LN_IC11=0,0,LN_IC2/LN_IC11)</f>
        <v>540.3697916666666</v>
      </c>
      <c r="E94" s="411">
        <f t="shared" si="8"/>
        <v>169.88854975204828</v>
      </c>
      <c r="F94" s="362">
        <f t="shared" si="9"/>
        <v>0.4585618123985911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725</v>
      </c>
      <c r="C95" s="379">
        <f>IF(C86=0,0,C93/C86)</f>
        <v>4.684848484848485</v>
      </c>
      <c r="D95" s="379">
        <f>IF(LN_IC4=0,0,LN_IC11/LN_IC4)</f>
        <v>4.682926829268292</v>
      </c>
      <c r="E95" s="379">
        <f t="shared" si="8"/>
        <v>-0.0019216555801921942</v>
      </c>
      <c r="F95" s="362">
        <f t="shared" si="9"/>
        <v>-0.0004101852144006624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756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727</v>
      </c>
      <c r="C98" s="361">
        <v>3246750</v>
      </c>
      <c r="D98" s="361">
        <v>3638115</v>
      </c>
      <c r="E98" s="361">
        <f aca="true" t="shared" si="10" ref="E98:E106">D98-C98</f>
        <v>391365</v>
      </c>
      <c r="F98" s="362">
        <f aca="true" t="shared" si="11" ref="F98:F106">IF(C98=0,0,E98/C98)</f>
        <v>0.12054054054054054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728</v>
      </c>
      <c r="C99" s="361">
        <v>598592</v>
      </c>
      <c r="D99" s="361">
        <v>967674</v>
      </c>
      <c r="E99" s="361">
        <f t="shared" si="10"/>
        <v>369082</v>
      </c>
      <c r="F99" s="362">
        <f t="shared" si="11"/>
        <v>0.6165835828076554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729</v>
      </c>
      <c r="C100" s="366">
        <f>IF(C98=0,0,C99/C98)</f>
        <v>0.18436652036652038</v>
      </c>
      <c r="D100" s="366">
        <f>IF(LN_IC14=0,0,LN_IC15/LN_IC14)</f>
        <v>0.26598224630062545</v>
      </c>
      <c r="E100" s="367">
        <f t="shared" si="10"/>
        <v>0.08161572593410507</v>
      </c>
      <c r="F100" s="362">
        <f t="shared" si="11"/>
        <v>0.44268192387562083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730</v>
      </c>
      <c r="C101" s="366">
        <f>IF(C83=0,0,C98/C83)</f>
        <v>2.09018958005006</v>
      </c>
      <c r="D101" s="366">
        <f>IF(LN_IC1=0,0,LN_IC14/LN_IC1)</f>
        <v>3.1089658956025503</v>
      </c>
      <c r="E101" s="367">
        <f t="shared" si="10"/>
        <v>1.0187763155524903</v>
      </c>
      <c r="F101" s="362">
        <f t="shared" si="11"/>
        <v>0.4874085706274024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731</v>
      </c>
      <c r="C102" s="376">
        <f>C101*C86</f>
        <v>344.8812807082599</v>
      </c>
      <c r="D102" s="376">
        <f>LN_IC17*LN_IC4</f>
        <v>382.4028051591137</v>
      </c>
      <c r="E102" s="376">
        <f t="shared" si="10"/>
        <v>37.5215244508538</v>
      </c>
      <c r="F102" s="362">
        <f t="shared" si="11"/>
        <v>0.10879547992224549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732</v>
      </c>
      <c r="C103" s="378">
        <f>IF(C102=0,0,C99/C102)</f>
        <v>1735.6465354417355</v>
      </c>
      <c r="D103" s="378">
        <f>IF(LN_IC18=0,0,LN_IC15/LN_IC18)</f>
        <v>2530.509679701124</v>
      </c>
      <c r="E103" s="378">
        <f t="shared" si="10"/>
        <v>794.8631442593883</v>
      </c>
      <c r="F103" s="362">
        <f t="shared" si="11"/>
        <v>0.45796372016327014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757</v>
      </c>
      <c r="C104" s="378">
        <f>C61-C103</f>
        <v>3042.1927482170954</v>
      </c>
      <c r="D104" s="378">
        <f>LN_IB18-LN_IC19</f>
        <v>2752.5388568292783</v>
      </c>
      <c r="E104" s="378">
        <f t="shared" si="10"/>
        <v>-289.6538913878171</v>
      </c>
      <c r="F104" s="362">
        <f t="shared" si="11"/>
        <v>-0.09521220887715658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758</v>
      </c>
      <c r="C105" s="378">
        <f>C32-C103</f>
        <v>4151.997446109483</v>
      </c>
      <c r="D105" s="378">
        <f>LN_IA16-LN_IC19</f>
        <v>3536.393720652828</v>
      </c>
      <c r="E105" s="378">
        <f t="shared" si="10"/>
        <v>-615.6037254566545</v>
      </c>
      <c r="F105" s="362">
        <f t="shared" si="11"/>
        <v>-0.148266884420531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743</v>
      </c>
      <c r="C106" s="361">
        <f>C105*C102</f>
        <v>1431946.1967116627</v>
      </c>
      <c r="D106" s="361">
        <f>LN_IC21*LN_IC18</f>
        <v>1352326.8789247165</v>
      </c>
      <c r="E106" s="361">
        <f t="shared" si="10"/>
        <v>-79619.3177869462</v>
      </c>
      <c r="F106" s="362">
        <f t="shared" si="11"/>
        <v>-0.055602171345393345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759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734</v>
      </c>
      <c r="C109" s="361">
        <f>C83+C98</f>
        <v>4800078</v>
      </c>
      <c r="D109" s="361">
        <f>LN_IC1+LN_IC14</f>
        <v>4808316</v>
      </c>
      <c r="E109" s="361">
        <f>D109-C109</f>
        <v>8238</v>
      </c>
      <c r="F109" s="362">
        <f>IF(C109=0,0,E109/C109)</f>
        <v>0.00171622211139069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735</v>
      </c>
      <c r="C110" s="361">
        <f>C84+C99</f>
        <v>884974</v>
      </c>
      <c r="D110" s="361">
        <f>LN_IC2+LN_IC15</f>
        <v>1278927</v>
      </c>
      <c r="E110" s="361">
        <f>D110-C110</f>
        <v>393953</v>
      </c>
      <c r="F110" s="362">
        <f>IF(C110=0,0,E110/C110)</f>
        <v>0.4451577108480023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736</v>
      </c>
      <c r="C111" s="361">
        <f>C109-C110</f>
        <v>3915104</v>
      </c>
      <c r="D111" s="361">
        <f>LN_IC23-LN_IC24</f>
        <v>3529389</v>
      </c>
      <c r="E111" s="361">
        <f>D111-C111</f>
        <v>-385715</v>
      </c>
      <c r="F111" s="362">
        <f>IF(C111=0,0,E111/C111)</f>
        <v>-0.09851973280914121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745</v>
      </c>
      <c r="C113" s="361">
        <f>C92+C106</f>
        <v>2194168.5828774674</v>
      </c>
      <c r="D113" s="361">
        <f>LN_IC10+LN_IC22</f>
        <v>1774543.177550154</v>
      </c>
      <c r="E113" s="361">
        <f>D113-C113</f>
        <v>-419625.40532731335</v>
      </c>
      <c r="F113" s="362">
        <f>IF(C113=0,0,E113/C113)</f>
        <v>-0.19124574501791924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436</v>
      </c>
      <c r="B115" s="356" t="s">
        <v>760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761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718</v>
      </c>
      <c r="C118" s="361">
        <v>6597759</v>
      </c>
      <c r="D118" s="361">
        <v>5912856</v>
      </c>
      <c r="E118" s="361">
        <f aca="true" t="shared" si="12" ref="E118:E130">D118-C118</f>
        <v>-684903</v>
      </c>
      <c r="F118" s="362">
        <f aca="true" t="shared" si="13" ref="F118:F130">IF(C118=0,0,E118/C118)</f>
        <v>-0.10380842949856156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719</v>
      </c>
      <c r="C119" s="361">
        <v>3149597</v>
      </c>
      <c r="D119" s="361">
        <v>2971140</v>
      </c>
      <c r="E119" s="361">
        <f t="shared" si="12"/>
        <v>-178457</v>
      </c>
      <c r="F119" s="362">
        <f t="shared" si="13"/>
        <v>-0.05666026478943179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720</v>
      </c>
      <c r="C120" s="366">
        <f>IF(C118=0,0,C119/C118)</f>
        <v>0.47737375675589244</v>
      </c>
      <c r="D120" s="366">
        <f>IF(LN_ID1=0,0,LN_1D2/LN_ID1)</f>
        <v>0.502488137712131</v>
      </c>
      <c r="E120" s="367">
        <f t="shared" si="12"/>
        <v>0.025114380956238525</v>
      </c>
      <c r="F120" s="362">
        <f t="shared" si="13"/>
        <v>0.052609471301709815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252</v>
      </c>
      <c r="C121" s="369">
        <v>771</v>
      </c>
      <c r="D121" s="369">
        <v>735</v>
      </c>
      <c r="E121" s="369">
        <f t="shared" si="12"/>
        <v>-36</v>
      </c>
      <c r="F121" s="362">
        <f t="shared" si="13"/>
        <v>-0.04669260700389105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721</v>
      </c>
      <c r="C122" s="372">
        <v>0.8142</v>
      </c>
      <c r="D122" s="372">
        <v>0.7768</v>
      </c>
      <c r="E122" s="373">
        <f t="shared" si="12"/>
        <v>-0.03739999999999999</v>
      </c>
      <c r="F122" s="362">
        <f t="shared" si="13"/>
        <v>-0.04593465978874968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722</v>
      </c>
      <c r="C123" s="376">
        <f>C121*C122</f>
        <v>627.7482</v>
      </c>
      <c r="D123" s="376">
        <f>LN_ID4*LN_ID5</f>
        <v>570.948</v>
      </c>
      <c r="E123" s="376">
        <f t="shared" si="12"/>
        <v>-56.80020000000002</v>
      </c>
      <c r="F123" s="362">
        <f t="shared" si="13"/>
        <v>-0.09048245777526724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723</v>
      </c>
      <c r="C124" s="378">
        <f>IF(C123=0,0,C119/C123)</f>
        <v>5017.293558149589</v>
      </c>
      <c r="D124" s="378">
        <f>IF(LN_ID6=0,0,LN_1D2/LN_ID6)</f>
        <v>5203.8714558944075</v>
      </c>
      <c r="E124" s="378">
        <f t="shared" si="12"/>
        <v>186.57789774481807</v>
      </c>
      <c r="F124" s="362">
        <f t="shared" si="13"/>
        <v>0.037186960575938316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762</v>
      </c>
      <c r="C125" s="378">
        <f>C48-C124</f>
        <v>760.6999068212481</v>
      </c>
      <c r="D125" s="378">
        <f>LN_IB7-LN_ID7</f>
        <v>1654.6832234996582</v>
      </c>
      <c r="E125" s="378">
        <f t="shared" si="12"/>
        <v>893.9833166784101</v>
      </c>
      <c r="F125" s="362">
        <f t="shared" si="13"/>
        <v>1.1752115501290332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763</v>
      </c>
      <c r="C126" s="378">
        <f>C21-C124</f>
        <v>1540.5210099801961</v>
      </c>
      <c r="D126" s="378">
        <f>LN_IA7-LN_ID7</f>
        <v>1543.3168553469386</v>
      </c>
      <c r="E126" s="378">
        <f t="shared" si="12"/>
        <v>2.795845366742469</v>
      </c>
      <c r="F126" s="362">
        <f t="shared" si="13"/>
        <v>0.0018148700008826305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740</v>
      </c>
      <c r="C127" s="391">
        <f>C126*C123</f>
        <v>967059.2910772501</v>
      </c>
      <c r="D127" s="391">
        <f>LN_ID9*LN_ID6</f>
        <v>881153.6719266239</v>
      </c>
      <c r="E127" s="391">
        <f t="shared" si="12"/>
        <v>-85905.61915062624</v>
      </c>
      <c r="F127" s="362">
        <f t="shared" si="13"/>
        <v>-0.08883180167260703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254</v>
      </c>
      <c r="C128" s="369">
        <v>3379</v>
      </c>
      <c r="D128" s="369">
        <v>2800</v>
      </c>
      <c r="E128" s="369">
        <f t="shared" si="12"/>
        <v>-579</v>
      </c>
      <c r="F128" s="362">
        <f t="shared" si="13"/>
        <v>-0.17135247114530927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724</v>
      </c>
      <c r="C129" s="378">
        <f>IF(C128=0,0,C119/C128)</f>
        <v>932.1092039064812</v>
      </c>
      <c r="D129" s="378">
        <f>IF(LN_ID11=0,0,LN_1D2/LN_ID11)</f>
        <v>1061.1214285714286</v>
      </c>
      <c r="E129" s="378">
        <f t="shared" si="12"/>
        <v>129.01222466494744</v>
      </c>
      <c r="F129" s="362">
        <f t="shared" si="13"/>
        <v>0.13840891617018222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725</v>
      </c>
      <c r="C130" s="379">
        <f>IF(C121=0,0,C128/C121)</f>
        <v>4.382619974059663</v>
      </c>
      <c r="D130" s="379">
        <f>IF(LN_ID4=0,0,LN_ID11/LN_ID4)</f>
        <v>3.8095238095238093</v>
      </c>
      <c r="E130" s="379">
        <f t="shared" si="12"/>
        <v>-0.5730961645358539</v>
      </c>
      <c r="F130" s="362">
        <f t="shared" si="13"/>
        <v>-0.13076565340548782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764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727</v>
      </c>
      <c r="C133" s="361">
        <v>12096284</v>
      </c>
      <c r="D133" s="361">
        <v>14090292</v>
      </c>
      <c r="E133" s="361">
        <f aca="true" t="shared" si="14" ref="E133:E141">D133-C133</f>
        <v>1994008</v>
      </c>
      <c r="F133" s="362">
        <f aca="true" t="shared" si="15" ref="F133:F141">IF(C133=0,0,E133/C133)</f>
        <v>0.16484467461246777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728</v>
      </c>
      <c r="C134" s="361">
        <v>4033793</v>
      </c>
      <c r="D134" s="361">
        <v>4924548</v>
      </c>
      <c r="E134" s="361">
        <f t="shared" si="14"/>
        <v>890755</v>
      </c>
      <c r="F134" s="362">
        <f t="shared" si="15"/>
        <v>0.22082318056479347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729</v>
      </c>
      <c r="C135" s="366">
        <f>IF(C133=0,0,C134/C133)</f>
        <v>0.33347373457832175</v>
      </c>
      <c r="D135" s="366">
        <f>IF(LN_ID14=0,0,LN_ID15/LN_ID14)</f>
        <v>0.3494993574299241</v>
      </c>
      <c r="E135" s="367">
        <f t="shared" si="14"/>
        <v>0.01602562285160236</v>
      </c>
      <c r="F135" s="362">
        <f t="shared" si="15"/>
        <v>0.04805662692405684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730</v>
      </c>
      <c r="C136" s="366">
        <f>IF(C118=0,0,C133/C118)</f>
        <v>1.8333928232298269</v>
      </c>
      <c r="D136" s="366">
        <f>IF(LN_ID1=0,0,LN_ID14/LN_ID1)</f>
        <v>2.38299258429429</v>
      </c>
      <c r="E136" s="367">
        <f t="shared" si="14"/>
        <v>0.5495997610644632</v>
      </c>
      <c r="F136" s="362">
        <f t="shared" si="15"/>
        <v>0.29977196054266847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731</v>
      </c>
      <c r="C137" s="376">
        <f>C136*C121</f>
        <v>1413.5458667101966</v>
      </c>
      <c r="D137" s="376">
        <f>LN_ID17*LN_ID4</f>
        <v>1751.4995494563032</v>
      </c>
      <c r="E137" s="376">
        <f t="shared" si="14"/>
        <v>337.95368274610655</v>
      </c>
      <c r="F137" s="362">
        <f t="shared" si="15"/>
        <v>0.23908221919437256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732</v>
      </c>
      <c r="C138" s="378">
        <f>IF(C137=0,0,C134/C137)</f>
        <v>2853.669693356334</v>
      </c>
      <c r="D138" s="378">
        <f>IF(LN_ID18=0,0,LN_ID15/LN_ID18)</f>
        <v>2811.6181939805056</v>
      </c>
      <c r="E138" s="378">
        <f t="shared" si="14"/>
        <v>-42.05149937582837</v>
      </c>
      <c r="F138" s="362">
        <f t="shared" si="15"/>
        <v>-0.014735937895590728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765</v>
      </c>
      <c r="C139" s="378">
        <f>C61-C138</f>
        <v>1924.169590302497</v>
      </c>
      <c r="D139" s="378">
        <f>LN_IB18-LN_ID19</f>
        <v>2471.4303425498965</v>
      </c>
      <c r="E139" s="378">
        <f t="shared" si="14"/>
        <v>547.2607522473995</v>
      </c>
      <c r="F139" s="362">
        <f t="shared" si="15"/>
        <v>0.2844139908485744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766</v>
      </c>
      <c r="C140" s="378">
        <f>C32-C138</f>
        <v>3033.9742881948846</v>
      </c>
      <c r="D140" s="378">
        <f>LN_IA16-LN_ID19</f>
        <v>3255.2852063734463</v>
      </c>
      <c r="E140" s="378">
        <f t="shared" si="14"/>
        <v>221.31091817856168</v>
      </c>
      <c r="F140" s="362">
        <f t="shared" si="15"/>
        <v>0.07294422996255331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743</v>
      </c>
      <c r="C141" s="353">
        <f>C140*C137</f>
        <v>4288661.81478289</v>
      </c>
      <c r="D141" s="353">
        <f>LN_ID21*LN_ID18</f>
        <v>5701630.57231486</v>
      </c>
      <c r="E141" s="353">
        <f t="shared" si="14"/>
        <v>1412968.7575319707</v>
      </c>
      <c r="F141" s="362">
        <f t="shared" si="15"/>
        <v>0.32946611753379795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767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734</v>
      </c>
      <c r="C144" s="361">
        <f>C118+C133</f>
        <v>18694043</v>
      </c>
      <c r="D144" s="361">
        <f>LN_ID1+LN_ID14</f>
        <v>20003148</v>
      </c>
      <c r="E144" s="361">
        <f>D144-C144</f>
        <v>1309105</v>
      </c>
      <c r="F144" s="362">
        <f>IF(C144=0,0,E144/C144)</f>
        <v>0.07002792279872257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735</v>
      </c>
      <c r="C145" s="361">
        <f>C119+C134</f>
        <v>7183390</v>
      </c>
      <c r="D145" s="361">
        <f>LN_1D2+LN_ID15</f>
        <v>7895688</v>
      </c>
      <c r="E145" s="361">
        <f>D145-C145</f>
        <v>712298</v>
      </c>
      <c r="F145" s="362">
        <f>IF(C145=0,0,E145/C145)</f>
        <v>0.09915903215612684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736</v>
      </c>
      <c r="C146" s="361">
        <f>C144-C145</f>
        <v>11510653</v>
      </c>
      <c r="D146" s="361">
        <f>LN_ID23-LN_ID24</f>
        <v>12107460</v>
      </c>
      <c r="E146" s="361">
        <f>D146-C146</f>
        <v>596807</v>
      </c>
      <c r="F146" s="362">
        <f>IF(C146=0,0,E146/C146)</f>
        <v>0.05184823137314625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745</v>
      </c>
      <c r="C148" s="361">
        <f>C127+C141</f>
        <v>5255721.10586014</v>
      </c>
      <c r="D148" s="361">
        <f>LN_ID10+LN_ID22</f>
        <v>6582784.244241484</v>
      </c>
      <c r="E148" s="361">
        <f>D148-C148</f>
        <v>1327063.1383813443</v>
      </c>
      <c r="F148" s="415">
        <f>IF(C148=0,0,E148/C148)</f>
        <v>0.25249877450720626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457</v>
      </c>
      <c r="B150" s="356" t="s">
        <v>768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769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718</v>
      </c>
      <c r="C153" s="361">
        <v>2234398</v>
      </c>
      <c r="D153" s="361">
        <v>3226414</v>
      </c>
      <c r="E153" s="361">
        <f aca="true" t="shared" si="16" ref="E153:E165">D153-C153</f>
        <v>992016</v>
      </c>
      <c r="F153" s="362">
        <f aca="true" t="shared" si="17" ref="F153:F165">IF(C153=0,0,E153/C153)</f>
        <v>0.4439746186668624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719</v>
      </c>
      <c r="C154" s="361">
        <v>671743</v>
      </c>
      <c r="D154" s="361">
        <v>880023</v>
      </c>
      <c r="E154" s="361">
        <f t="shared" si="16"/>
        <v>208280</v>
      </c>
      <c r="F154" s="362">
        <f t="shared" si="17"/>
        <v>0.3100590553232412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720</v>
      </c>
      <c r="C155" s="366">
        <f>IF(C153=0,0,C154/C153)</f>
        <v>0.3006371291059158</v>
      </c>
      <c r="D155" s="366">
        <f>IF(LN_IE1=0,0,LN_IE2/LN_IE1)</f>
        <v>0.27275575918031597</v>
      </c>
      <c r="E155" s="367">
        <f t="shared" si="16"/>
        <v>-0.027881369925599808</v>
      </c>
      <c r="F155" s="362">
        <f t="shared" si="17"/>
        <v>-0.09274093991157387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252</v>
      </c>
      <c r="C156" s="419">
        <v>210</v>
      </c>
      <c r="D156" s="419">
        <v>259</v>
      </c>
      <c r="E156" s="419">
        <f t="shared" si="16"/>
        <v>49</v>
      </c>
      <c r="F156" s="362">
        <f t="shared" si="17"/>
        <v>0.23333333333333334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721</v>
      </c>
      <c r="C157" s="372">
        <v>0.9578</v>
      </c>
      <c r="D157" s="372">
        <v>1.0007</v>
      </c>
      <c r="E157" s="373">
        <f t="shared" si="16"/>
        <v>0.04289999999999994</v>
      </c>
      <c r="F157" s="362">
        <f t="shared" si="17"/>
        <v>0.04479014408018369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722</v>
      </c>
      <c r="C158" s="376">
        <f>C156*C157</f>
        <v>201.138</v>
      </c>
      <c r="D158" s="376">
        <f>LN_IE4*LN_IE5</f>
        <v>259.18129999999996</v>
      </c>
      <c r="E158" s="376">
        <f t="shared" si="16"/>
        <v>58.04329999999996</v>
      </c>
      <c r="F158" s="362">
        <f t="shared" si="17"/>
        <v>0.2885745110322264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723</v>
      </c>
      <c r="C159" s="378">
        <f>IF(C158=0,0,C154/C158)</f>
        <v>3339.71203850093</v>
      </c>
      <c r="D159" s="378">
        <f>IF(LN_IE6=0,0,LN_IE2/LN_IE6)</f>
        <v>3395.3954239754185</v>
      </c>
      <c r="E159" s="378">
        <f t="shared" si="16"/>
        <v>55.68338547448866</v>
      </c>
      <c r="F159" s="362">
        <f t="shared" si="17"/>
        <v>0.016673109786879355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770</v>
      </c>
      <c r="C160" s="378">
        <f>C48-C159</f>
        <v>2438.2814264699077</v>
      </c>
      <c r="D160" s="378">
        <f>LN_IB7-LN_IE7</f>
        <v>3463.1592554186473</v>
      </c>
      <c r="E160" s="378">
        <f t="shared" si="16"/>
        <v>1024.8778289487395</v>
      </c>
      <c r="F160" s="362">
        <f t="shared" si="17"/>
        <v>0.4203279481288327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771</v>
      </c>
      <c r="C161" s="378">
        <f>C21-C159</f>
        <v>3218.102529628856</v>
      </c>
      <c r="D161" s="378">
        <f>LN_IA7-LN_IE7</f>
        <v>3351.7928872659277</v>
      </c>
      <c r="E161" s="378">
        <f t="shared" si="16"/>
        <v>133.69035763707188</v>
      </c>
      <c r="F161" s="362">
        <f t="shared" si="17"/>
        <v>0.041543225054576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740</v>
      </c>
      <c r="C162" s="391">
        <f>C161*C158</f>
        <v>647282.7066044888</v>
      </c>
      <c r="D162" s="391">
        <f>LN_IE9*LN_IE6</f>
        <v>868722.0378523364</v>
      </c>
      <c r="E162" s="391">
        <f t="shared" si="16"/>
        <v>221439.33124784764</v>
      </c>
      <c r="F162" s="362">
        <f t="shared" si="17"/>
        <v>0.3421060519436284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254</v>
      </c>
      <c r="C163" s="369">
        <v>1128</v>
      </c>
      <c r="D163" s="369">
        <v>1534</v>
      </c>
      <c r="E163" s="419">
        <f t="shared" si="16"/>
        <v>406</v>
      </c>
      <c r="F163" s="362">
        <f t="shared" si="17"/>
        <v>0.3599290780141844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724</v>
      </c>
      <c r="C164" s="378">
        <f>IF(C163=0,0,C154/C163)</f>
        <v>595.5168439716313</v>
      </c>
      <c r="D164" s="378">
        <f>IF(LN_IE11=0,0,LN_IE2/LN_IE11)</f>
        <v>573.6786179921774</v>
      </c>
      <c r="E164" s="378">
        <f t="shared" si="16"/>
        <v>-21.83822597945391</v>
      </c>
      <c r="F164" s="362">
        <f t="shared" si="17"/>
        <v>-0.036671046672349404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725</v>
      </c>
      <c r="C165" s="379">
        <f>IF(C156=0,0,C163/C156)</f>
        <v>5.371428571428571</v>
      </c>
      <c r="D165" s="379">
        <f>IF(LN_IE4=0,0,LN_IE11/LN_IE4)</f>
        <v>5.922779922779923</v>
      </c>
      <c r="E165" s="379">
        <f t="shared" si="16"/>
        <v>0.5513513513513519</v>
      </c>
      <c r="F165" s="362">
        <f t="shared" si="17"/>
        <v>0.10264519838987936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772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727</v>
      </c>
      <c r="C168" s="424">
        <v>3743687</v>
      </c>
      <c r="D168" s="424">
        <v>4660463</v>
      </c>
      <c r="E168" s="424">
        <f aca="true" t="shared" si="18" ref="E168:E176">D168-C168</f>
        <v>916776</v>
      </c>
      <c r="F168" s="362">
        <f aca="true" t="shared" si="19" ref="F168:F176">IF(C168=0,0,E168/C168)</f>
        <v>0.24488585717769676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728</v>
      </c>
      <c r="C169" s="424">
        <v>851364</v>
      </c>
      <c r="D169" s="424">
        <v>1039393</v>
      </c>
      <c r="E169" s="424">
        <f t="shared" si="18"/>
        <v>188029</v>
      </c>
      <c r="F169" s="362">
        <f t="shared" si="19"/>
        <v>0.22085617902565766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729</v>
      </c>
      <c r="C170" s="366">
        <f>IF(C168=0,0,C169/C168)</f>
        <v>0.2274132426134984</v>
      </c>
      <c r="D170" s="366">
        <f>IF(LN_IE14=0,0,LN_IE15/LN_IE14)</f>
        <v>0.22302354937696103</v>
      </c>
      <c r="E170" s="367">
        <f t="shared" si="18"/>
        <v>-0.004389693236537373</v>
      </c>
      <c r="F170" s="362">
        <f t="shared" si="19"/>
        <v>-0.019302715998812364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730</v>
      </c>
      <c r="C171" s="366">
        <f>IF(C153=0,0,C168/C153)</f>
        <v>1.6754790328312146</v>
      </c>
      <c r="D171" s="366">
        <f>IF(LN_IE1=0,0,LN_IE14/LN_IE1)</f>
        <v>1.444471478241788</v>
      </c>
      <c r="E171" s="367">
        <f t="shared" si="18"/>
        <v>-0.23100755458942657</v>
      </c>
      <c r="F171" s="362">
        <f t="shared" si="19"/>
        <v>-0.13787552697634858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731</v>
      </c>
      <c r="C172" s="376">
        <f>C171*C156</f>
        <v>351.85059689455505</v>
      </c>
      <c r="D172" s="376">
        <f>LN_IE17*LN_IE4</f>
        <v>374.1181128646231</v>
      </c>
      <c r="E172" s="376">
        <f t="shared" si="18"/>
        <v>22.26751597006802</v>
      </c>
      <c r="F172" s="362">
        <f t="shared" si="19"/>
        <v>0.06328685006250337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732</v>
      </c>
      <c r="C173" s="378">
        <f>IF(C172=0,0,C169/C172)</f>
        <v>2419.674735567217</v>
      </c>
      <c r="D173" s="378">
        <f>IF(LN_IE18=0,0,LN_IE15/LN_IE18)</f>
        <v>2778.248270422851</v>
      </c>
      <c r="E173" s="378">
        <f t="shared" si="18"/>
        <v>358.5735348556341</v>
      </c>
      <c r="F173" s="362">
        <f t="shared" si="19"/>
        <v>0.14819080002154825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773</v>
      </c>
      <c r="C174" s="378">
        <f>C61-C173</f>
        <v>2358.164548091614</v>
      </c>
      <c r="D174" s="378">
        <f>LN_IB18-LN_IE19</f>
        <v>2504.800266107551</v>
      </c>
      <c r="E174" s="378">
        <f t="shared" si="18"/>
        <v>146.63571801593707</v>
      </c>
      <c r="F174" s="362">
        <f t="shared" si="19"/>
        <v>0.062182139976026944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774</v>
      </c>
      <c r="C175" s="378">
        <f>C32-C173</f>
        <v>3467.9692459840016</v>
      </c>
      <c r="D175" s="378">
        <f>LN_IA16-LN_IE19</f>
        <v>3288.655129931101</v>
      </c>
      <c r="E175" s="378">
        <f t="shared" si="18"/>
        <v>-179.31411605290077</v>
      </c>
      <c r="F175" s="362">
        <f t="shared" si="19"/>
        <v>-0.05170579763951228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743</v>
      </c>
      <c r="C176" s="353">
        <f>C175*C172</f>
        <v>1220207.049211431</v>
      </c>
      <c r="D176" s="353">
        <f>LN_IE21*LN_IE18</f>
        <v>1230345.4510723853</v>
      </c>
      <c r="E176" s="353">
        <f t="shared" si="18"/>
        <v>10138.40186095424</v>
      </c>
      <c r="F176" s="362">
        <f t="shared" si="19"/>
        <v>0.008308755360417124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775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734</v>
      </c>
      <c r="C179" s="361">
        <f>C153+C168</f>
        <v>5978085</v>
      </c>
      <c r="D179" s="361">
        <f>LN_IE1+LN_IE14</f>
        <v>7886877</v>
      </c>
      <c r="E179" s="361">
        <f>D179-C179</f>
        <v>1908792</v>
      </c>
      <c r="F179" s="362">
        <f>IF(C179=0,0,E179/C179)</f>
        <v>0.31929823680994834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735</v>
      </c>
      <c r="C180" s="361">
        <f>C154+C169</f>
        <v>1523107</v>
      </c>
      <c r="D180" s="361">
        <f>LN_IE15+LN_IE2</f>
        <v>1919416</v>
      </c>
      <c r="E180" s="361">
        <f>D180-C180</f>
        <v>396309</v>
      </c>
      <c r="F180" s="362">
        <f>IF(C180=0,0,E180/C180)</f>
        <v>0.2601977405395681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736</v>
      </c>
      <c r="C181" s="361">
        <f>C179-C180</f>
        <v>4454978</v>
      </c>
      <c r="D181" s="361">
        <f>LN_IE23-LN_IE24</f>
        <v>5967461</v>
      </c>
      <c r="E181" s="361">
        <f>D181-C181</f>
        <v>1512483</v>
      </c>
      <c r="F181" s="362">
        <f>IF(C181=0,0,E181/C181)</f>
        <v>0.33950403346548513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776</v>
      </c>
      <c r="C183" s="361">
        <f>C162+C176</f>
        <v>1867489.75581592</v>
      </c>
      <c r="D183" s="361">
        <f>LN_IE10+LN_IE22</f>
        <v>2099067.4889247217</v>
      </c>
      <c r="E183" s="353">
        <f>D183-C183</f>
        <v>231577.73310880177</v>
      </c>
      <c r="F183" s="362">
        <f>IF(C183=0,0,E183/C183)</f>
        <v>0.12400482111754543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469</v>
      </c>
      <c r="B185" s="356" t="s">
        <v>777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778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718</v>
      </c>
      <c r="C188" s="361">
        <f>C118+C153</f>
        <v>8832157</v>
      </c>
      <c r="D188" s="361">
        <f>LN_ID1+LN_IE1</f>
        <v>9139270</v>
      </c>
      <c r="E188" s="361">
        <f aca="true" t="shared" si="20" ref="E188:E200">D188-C188</f>
        <v>307113</v>
      </c>
      <c r="F188" s="362">
        <f aca="true" t="shared" si="21" ref="F188:F200">IF(C188=0,0,E188/C188)</f>
        <v>0.03477214003328972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719</v>
      </c>
      <c r="C189" s="361">
        <f>C119+C154</f>
        <v>3821340</v>
      </c>
      <c r="D189" s="361">
        <f>LN_1D2+LN_IE2</f>
        <v>3851163</v>
      </c>
      <c r="E189" s="361">
        <f t="shared" si="20"/>
        <v>29823</v>
      </c>
      <c r="F189" s="362">
        <f t="shared" si="21"/>
        <v>0.007804330418125579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720</v>
      </c>
      <c r="C190" s="366">
        <f>IF(C188=0,0,C189/C188)</f>
        <v>0.4326621458382137</v>
      </c>
      <c r="D190" s="366">
        <f>IF(LN_IF1=0,0,LN_IF2/LN_IF1)</f>
        <v>0.4213862813988426</v>
      </c>
      <c r="E190" s="367">
        <f t="shared" si="20"/>
        <v>-0.01127586443937112</v>
      </c>
      <c r="F190" s="362">
        <f t="shared" si="21"/>
        <v>-0.026061592278949976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252</v>
      </c>
      <c r="C191" s="369">
        <f>C121+C156</f>
        <v>981</v>
      </c>
      <c r="D191" s="369">
        <f>LN_ID4+LN_IE4</f>
        <v>994</v>
      </c>
      <c r="E191" s="369">
        <f t="shared" si="20"/>
        <v>13</v>
      </c>
      <c r="F191" s="362">
        <f t="shared" si="21"/>
        <v>0.013251783893985729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721</v>
      </c>
      <c r="C192" s="372">
        <f>IF((C121+C156)=0,0,(C123+C158)/(C121+C156))</f>
        <v>0.8449400611620795</v>
      </c>
      <c r="D192" s="372">
        <f>IF((LN_ID4+LN_IE4)=0,0,(LN_ID6+LN_IE6)/(LN_ID4+LN_IE4))</f>
        <v>0.8351401408450704</v>
      </c>
      <c r="E192" s="373">
        <f t="shared" si="20"/>
        <v>-0.009799920317009159</v>
      </c>
      <c r="F192" s="362">
        <f t="shared" si="21"/>
        <v>-0.011598361549493747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722</v>
      </c>
      <c r="C193" s="376">
        <f>C123+C158</f>
        <v>828.8862</v>
      </c>
      <c r="D193" s="376">
        <f>LN_IF4*LN_IF5</f>
        <v>830.1293</v>
      </c>
      <c r="E193" s="376">
        <f t="shared" si="20"/>
        <v>1.243099999999913</v>
      </c>
      <c r="F193" s="362">
        <f t="shared" si="21"/>
        <v>0.0014997233637137558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723</v>
      </c>
      <c r="C194" s="378">
        <f>IF(C193=0,0,C189/C193)</f>
        <v>4610.210665830846</v>
      </c>
      <c r="D194" s="378">
        <f>IF(LN_IF6=0,0,LN_IF2/LN_IF6)</f>
        <v>4639.232707483039</v>
      </c>
      <c r="E194" s="378">
        <f t="shared" si="20"/>
        <v>29.022041652193366</v>
      </c>
      <c r="F194" s="362">
        <f t="shared" si="21"/>
        <v>0.006295166046812972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779</v>
      </c>
      <c r="C195" s="378">
        <f>C48-C194</f>
        <v>1167.7827991399918</v>
      </c>
      <c r="D195" s="378">
        <f>LN_IB7-LN_IF7</f>
        <v>2219.3219719110266</v>
      </c>
      <c r="E195" s="378">
        <f t="shared" si="20"/>
        <v>1051.5391727710348</v>
      </c>
      <c r="F195" s="362">
        <f t="shared" si="21"/>
        <v>0.900457836461914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780</v>
      </c>
      <c r="C196" s="378">
        <f>C21-C194</f>
        <v>1947.6039022989398</v>
      </c>
      <c r="D196" s="378">
        <f>LN_IA7-LN_IF7</f>
        <v>2107.955603758307</v>
      </c>
      <c r="E196" s="378">
        <f t="shared" si="20"/>
        <v>160.35170145936718</v>
      </c>
      <c r="F196" s="362">
        <f t="shared" si="21"/>
        <v>0.08233280970021112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740</v>
      </c>
      <c r="C197" s="391">
        <f>C127+C162</f>
        <v>1614341.9976817388</v>
      </c>
      <c r="D197" s="391">
        <f>LN_IF9*LN_IF6</f>
        <v>1749875.7097789606</v>
      </c>
      <c r="E197" s="391">
        <f t="shared" si="20"/>
        <v>135533.71209722175</v>
      </c>
      <c r="F197" s="362">
        <f t="shared" si="21"/>
        <v>0.08395600950223293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254</v>
      </c>
      <c r="C198" s="369">
        <f>C128+C163</f>
        <v>4507</v>
      </c>
      <c r="D198" s="369">
        <f>LN_ID11+LN_IE11</f>
        <v>4334</v>
      </c>
      <c r="E198" s="369">
        <f t="shared" si="20"/>
        <v>-173</v>
      </c>
      <c r="F198" s="362">
        <f t="shared" si="21"/>
        <v>-0.038384734856889285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724</v>
      </c>
      <c r="C199" s="432">
        <f>IF(C198=0,0,C189/C198)</f>
        <v>847.8677612602618</v>
      </c>
      <c r="D199" s="432">
        <f>IF(LN_IF11=0,0,LN_IF2/LN_IF11)</f>
        <v>888.5932164282418</v>
      </c>
      <c r="E199" s="432">
        <f t="shared" si="20"/>
        <v>40.725455167980044</v>
      </c>
      <c r="F199" s="362">
        <f t="shared" si="21"/>
        <v>0.04803279123084731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725</v>
      </c>
      <c r="C200" s="379">
        <f>IF(C191=0,0,C198/C191)</f>
        <v>4.594291539245668</v>
      </c>
      <c r="D200" s="379">
        <f>IF(LN_IF4=0,0,LN_IF11/LN_IF4)</f>
        <v>4.360160965794768</v>
      </c>
      <c r="E200" s="379">
        <f t="shared" si="20"/>
        <v>-0.2341305734508996</v>
      </c>
      <c r="F200" s="362">
        <f t="shared" si="21"/>
        <v>-0.05096119204688984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781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727</v>
      </c>
      <c r="C203" s="361">
        <f>C133+C168</f>
        <v>15839971</v>
      </c>
      <c r="D203" s="361">
        <f>LN_ID14+LN_IE14</f>
        <v>18750755</v>
      </c>
      <c r="E203" s="361">
        <f aca="true" t="shared" si="22" ref="E203:E211">D203-C203</f>
        <v>2910784</v>
      </c>
      <c r="F203" s="362">
        <f aca="true" t="shared" si="23" ref="F203:F211">IF(C203=0,0,E203/C203)</f>
        <v>0.1837619525944839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728</v>
      </c>
      <c r="C204" s="361">
        <f>C134+C169</f>
        <v>4885157</v>
      </c>
      <c r="D204" s="361">
        <f>LN_ID15+LN_IE15</f>
        <v>5963941</v>
      </c>
      <c r="E204" s="361">
        <f t="shared" si="22"/>
        <v>1078784</v>
      </c>
      <c r="F204" s="362">
        <f t="shared" si="23"/>
        <v>0.2208289313936072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729</v>
      </c>
      <c r="C205" s="366">
        <f>IF(C203=0,0,C204/C203)</f>
        <v>0.30840694089654586</v>
      </c>
      <c r="D205" s="366">
        <f>IF(LN_IF14=0,0,LN_IF15/LN_IF14)</f>
        <v>0.31806404595441623</v>
      </c>
      <c r="E205" s="367">
        <f t="shared" si="22"/>
        <v>0.009657105057870374</v>
      </c>
      <c r="F205" s="362">
        <f t="shared" si="23"/>
        <v>0.031312865494521475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730</v>
      </c>
      <c r="C206" s="366">
        <f>IF(C188=0,0,C203/C188)</f>
        <v>1.793443096629736</v>
      </c>
      <c r="D206" s="366">
        <f>IF(LN_IF1=0,0,LN_IF14/LN_IF1)</f>
        <v>2.0516687875508657</v>
      </c>
      <c r="E206" s="367">
        <f t="shared" si="22"/>
        <v>0.25822569092112957</v>
      </c>
      <c r="F206" s="362">
        <f t="shared" si="23"/>
        <v>0.14398320828042493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731</v>
      </c>
      <c r="C207" s="376">
        <f>C137+C172</f>
        <v>1765.3964636047517</v>
      </c>
      <c r="D207" s="376">
        <f>LN_ID18+LN_IE18</f>
        <v>2125.6176623209262</v>
      </c>
      <c r="E207" s="376">
        <f t="shared" si="22"/>
        <v>360.2211987161745</v>
      </c>
      <c r="F207" s="362">
        <f t="shared" si="23"/>
        <v>0.20404549694216628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732</v>
      </c>
      <c r="C208" s="378">
        <f>IF(C207=0,0,C204/C207)</f>
        <v>2767.1727573448456</v>
      </c>
      <c r="D208" s="378">
        <f>IF(LN_IF18=0,0,LN_IF15/LN_IF18)</f>
        <v>2805.7449397969685</v>
      </c>
      <c r="E208" s="378">
        <f t="shared" si="22"/>
        <v>38.57218245212289</v>
      </c>
      <c r="F208" s="362">
        <f t="shared" si="23"/>
        <v>0.01393920287403148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782</v>
      </c>
      <c r="C209" s="378">
        <f>C61-C208</f>
        <v>2010.6665263139853</v>
      </c>
      <c r="D209" s="378">
        <f>LN_IB18-LN_IF19</f>
        <v>2477.3035967334336</v>
      </c>
      <c r="E209" s="378">
        <f t="shared" si="22"/>
        <v>466.63707041944826</v>
      </c>
      <c r="F209" s="362">
        <f t="shared" si="23"/>
        <v>0.23208078729738515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783</v>
      </c>
      <c r="C210" s="378">
        <f>C32-C208</f>
        <v>3120.471224206373</v>
      </c>
      <c r="D210" s="378">
        <f>LN_IA16-LN_IF19</f>
        <v>3261.1584605569833</v>
      </c>
      <c r="E210" s="378">
        <f t="shared" si="22"/>
        <v>140.68723635061042</v>
      </c>
      <c r="F210" s="362">
        <f t="shared" si="23"/>
        <v>0.04508525355377738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743</v>
      </c>
      <c r="C211" s="391">
        <f>C141+C176</f>
        <v>5508868.863994321</v>
      </c>
      <c r="D211" s="353">
        <f>LN_IF21*LN_IF18</f>
        <v>6931976.023387245</v>
      </c>
      <c r="E211" s="353">
        <f t="shared" si="22"/>
        <v>1423107.159392924</v>
      </c>
      <c r="F211" s="362">
        <f t="shared" si="23"/>
        <v>0.2583301934620877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784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734</v>
      </c>
      <c r="C214" s="361">
        <f>C188+C203</f>
        <v>24672128</v>
      </c>
      <c r="D214" s="361">
        <f>LN_IF1+LN_IF14</f>
        <v>27890025</v>
      </c>
      <c r="E214" s="361">
        <f>D214-C214</f>
        <v>3217897</v>
      </c>
      <c r="F214" s="362">
        <f>IF(C214=0,0,E214/C214)</f>
        <v>0.13042640667233893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735</v>
      </c>
      <c r="C215" s="361">
        <f>C189+C204</f>
        <v>8706497</v>
      </c>
      <c r="D215" s="361">
        <f>LN_IF2+LN_IF15</f>
        <v>9815104</v>
      </c>
      <c r="E215" s="361">
        <f>D215-C215</f>
        <v>1108607</v>
      </c>
      <c r="F215" s="362">
        <f>IF(C215=0,0,E215/C215)</f>
        <v>0.12733100350232707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736</v>
      </c>
      <c r="C216" s="361">
        <f>C214-C215</f>
        <v>15965631</v>
      </c>
      <c r="D216" s="361">
        <f>LN_IF23-LN_IF24</f>
        <v>18074921</v>
      </c>
      <c r="E216" s="361">
        <f>D216-C216</f>
        <v>2109290</v>
      </c>
      <c r="F216" s="362">
        <f>IF(C216=0,0,E216/C216)</f>
        <v>0.13211441502061522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481</v>
      </c>
      <c r="B218" s="356" t="s">
        <v>785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786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718</v>
      </c>
      <c r="C221" s="361">
        <v>148437</v>
      </c>
      <c r="D221" s="361">
        <v>360931</v>
      </c>
      <c r="E221" s="361">
        <f aca="true" t="shared" si="24" ref="E221:E230">D221-C221</f>
        <v>212494</v>
      </c>
      <c r="F221" s="362">
        <f aca="true" t="shared" si="25" ref="F221:F230">IF(C221=0,0,E221/C221)</f>
        <v>1.4315433483565418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719</v>
      </c>
      <c r="C222" s="361">
        <v>97732</v>
      </c>
      <c r="D222" s="361">
        <v>167102</v>
      </c>
      <c r="E222" s="361">
        <f t="shared" si="24"/>
        <v>69370</v>
      </c>
      <c r="F222" s="362">
        <f t="shared" si="25"/>
        <v>0.7097982237138296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720</v>
      </c>
      <c r="C223" s="366">
        <f>IF(C221=0,0,C222/C221)</f>
        <v>0.6584072704244899</v>
      </c>
      <c r="D223" s="366">
        <f>IF(LN_IG1=0,0,LN_IG2/LN_IG1)</f>
        <v>0.46297491764353854</v>
      </c>
      <c r="E223" s="367">
        <f t="shared" si="24"/>
        <v>-0.19543235278095134</v>
      </c>
      <c r="F223" s="362">
        <f t="shared" si="25"/>
        <v>-0.2968259336731682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252</v>
      </c>
      <c r="C224" s="369">
        <v>15</v>
      </c>
      <c r="D224" s="369">
        <v>25</v>
      </c>
      <c r="E224" s="369">
        <f t="shared" si="24"/>
        <v>10</v>
      </c>
      <c r="F224" s="362">
        <f t="shared" si="25"/>
        <v>0.6666666666666666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721</v>
      </c>
      <c r="C225" s="372">
        <v>1.0899</v>
      </c>
      <c r="D225" s="372">
        <v>1.2313</v>
      </c>
      <c r="E225" s="373">
        <f t="shared" si="24"/>
        <v>0.14139999999999997</v>
      </c>
      <c r="F225" s="362">
        <f t="shared" si="25"/>
        <v>0.1297366730892742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722</v>
      </c>
      <c r="C226" s="376">
        <f>C224*C225</f>
        <v>16.3485</v>
      </c>
      <c r="D226" s="376">
        <f>LN_IG3*LN_IG4</f>
        <v>30.782500000000002</v>
      </c>
      <c r="E226" s="376">
        <f t="shared" si="24"/>
        <v>14.434000000000001</v>
      </c>
      <c r="F226" s="362">
        <f t="shared" si="25"/>
        <v>0.8828944551487904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723</v>
      </c>
      <c r="C227" s="378">
        <f>IF(C226=0,0,C222/C226)</f>
        <v>5978.0407988500465</v>
      </c>
      <c r="D227" s="378">
        <f>IF(LN_IG5=0,0,LN_IG2/LN_IG5)</f>
        <v>5428.473970600178</v>
      </c>
      <c r="E227" s="378">
        <f t="shared" si="24"/>
        <v>-549.5668282498682</v>
      </c>
      <c r="F227" s="362">
        <f t="shared" si="25"/>
        <v>-0.09193092632549187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254</v>
      </c>
      <c r="C228" s="369">
        <v>51</v>
      </c>
      <c r="D228" s="369">
        <v>133</v>
      </c>
      <c r="E228" s="369">
        <f t="shared" si="24"/>
        <v>82</v>
      </c>
      <c r="F228" s="362">
        <f t="shared" si="25"/>
        <v>1.607843137254902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724</v>
      </c>
      <c r="C229" s="378">
        <f>IF(C228=0,0,C222/C228)</f>
        <v>1916.313725490196</v>
      </c>
      <c r="D229" s="378">
        <f>IF(LN_IG6=0,0,LN_IG2/LN_IG6)</f>
        <v>1256.406015037594</v>
      </c>
      <c r="E229" s="378">
        <f t="shared" si="24"/>
        <v>-659.907710452602</v>
      </c>
      <c r="F229" s="362">
        <f t="shared" si="25"/>
        <v>-0.34436308714732844</v>
      </c>
      <c r="Q229" s="330"/>
      <c r="U229" s="375"/>
    </row>
    <row r="230" spans="1:21" ht="11.25" customHeight="1">
      <c r="A230" s="364">
        <v>10</v>
      </c>
      <c r="B230" s="360" t="s">
        <v>725</v>
      </c>
      <c r="C230" s="379">
        <f>IF(C224=0,0,C228/C224)</f>
        <v>3.4</v>
      </c>
      <c r="D230" s="379">
        <f>IF(LN_IG3=0,0,LN_IG6/LN_IG3)</f>
        <v>5.32</v>
      </c>
      <c r="E230" s="379">
        <f t="shared" si="24"/>
        <v>1.9200000000000004</v>
      </c>
      <c r="F230" s="362">
        <f t="shared" si="25"/>
        <v>0.5647058823529413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787</v>
      </c>
      <c r="C232" s="330"/>
      <c r="Q232" s="330"/>
      <c r="U232" s="399"/>
    </row>
    <row r="233" spans="1:21" ht="11.25" customHeight="1">
      <c r="A233" s="364">
        <v>11</v>
      </c>
      <c r="B233" s="360" t="s">
        <v>727</v>
      </c>
      <c r="C233" s="361">
        <v>253856</v>
      </c>
      <c r="D233" s="361">
        <v>338852</v>
      </c>
      <c r="E233" s="361">
        <f>D233-C233</f>
        <v>84996</v>
      </c>
      <c r="F233" s="362">
        <f>IF(C233=0,0,E233/C233)</f>
        <v>0.33481974032522377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728</v>
      </c>
      <c r="C234" s="361">
        <v>147649</v>
      </c>
      <c r="D234" s="361">
        <v>153650</v>
      </c>
      <c r="E234" s="361">
        <f>D234-C234</f>
        <v>6001</v>
      </c>
      <c r="F234" s="362">
        <f>IF(C234=0,0,E234/C234)</f>
        <v>0.04064368874831526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788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734</v>
      </c>
      <c r="C237" s="361">
        <f>C221+C233</f>
        <v>402293</v>
      </c>
      <c r="D237" s="361">
        <f>LN_IG1+LN_IG9</f>
        <v>699783</v>
      </c>
      <c r="E237" s="361">
        <f>D237-C237</f>
        <v>297490</v>
      </c>
      <c r="F237" s="362">
        <f>IF(C237=0,0,E237/C237)</f>
        <v>0.7394858970949034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735</v>
      </c>
      <c r="C238" s="361">
        <f>C222+C234</f>
        <v>245381</v>
      </c>
      <c r="D238" s="361">
        <f>LN_IG2+LN_IG10</f>
        <v>320752</v>
      </c>
      <c r="E238" s="361">
        <f>D238-C238</f>
        <v>75371</v>
      </c>
      <c r="F238" s="362">
        <f>IF(C238=0,0,E238/C238)</f>
        <v>0.3071590709957169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736</v>
      </c>
      <c r="C239" s="361">
        <f>C237-C238</f>
        <v>156912</v>
      </c>
      <c r="D239" s="361">
        <f>LN_IG13-LN_IG14</f>
        <v>379031</v>
      </c>
      <c r="E239" s="361">
        <f>D239-C239</f>
        <v>222119</v>
      </c>
      <c r="F239" s="362">
        <f>IF(C239=0,0,E239/C239)</f>
        <v>1.4155641378607118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485</v>
      </c>
      <c r="B241" s="356" t="s">
        <v>789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790</v>
      </c>
      <c r="C243" s="361">
        <v>5802825</v>
      </c>
      <c r="D243" s="361">
        <v>5573529</v>
      </c>
      <c r="E243" s="353">
        <f>D243-C243</f>
        <v>-229296</v>
      </c>
      <c r="F243" s="415">
        <f>IF(C243=0,0,E243/C243)</f>
        <v>-0.03951454679401843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791</v>
      </c>
      <c r="C244" s="361">
        <v>93504863</v>
      </c>
      <c r="D244" s="361">
        <v>100402359</v>
      </c>
      <c r="E244" s="353">
        <f>D244-C244</f>
        <v>6897496</v>
      </c>
      <c r="F244" s="415">
        <f>IF(C244=0,0,E244/C244)</f>
        <v>0.07376617406519274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792</v>
      </c>
      <c r="C245" s="400">
        <v>718549</v>
      </c>
      <c r="D245" s="400">
        <v>641511</v>
      </c>
      <c r="E245" s="400">
        <f>D245-C245</f>
        <v>-77038</v>
      </c>
      <c r="F245" s="401">
        <f>IF(C245=0,0,E245/C245)</f>
        <v>-0.10721328677654551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793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794</v>
      </c>
      <c r="C248" s="353">
        <v>1110508</v>
      </c>
      <c r="D248" s="353">
        <v>1438204</v>
      </c>
      <c r="E248" s="353">
        <f>D248-C248</f>
        <v>327696</v>
      </c>
      <c r="F248" s="362">
        <f>IF(C248=0,0,E248/C248)</f>
        <v>0.29508657299181995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795</v>
      </c>
      <c r="C249" s="353">
        <v>2441497</v>
      </c>
      <c r="D249" s="353">
        <v>2247042</v>
      </c>
      <c r="E249" s="353">
        <f>D249-C249</f>
        <v>-194455</v>
      </c>
      <c r="F249" s="362">
        <f>IF(C249=0,0,E249/C249)</f>
        <v>-0.07964580746976138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796</v>
      </c>
      <c r="C250" s="353">
        <f>C248+C249</f>
        <v>3552005</v>
      </c>
      <c r="D250" s="353">
        <f>LN_IH4+LN_IH5</f>
        <v>3685246</v>
      </c>
      <c r="E250" s="353">
        <f>D250-C250</f>
        <v>133241</v>
      </c>
      <c r="F250" s="362">
        <f>IF(C250=0,0,E250/C250)</f>
        <v>0.03751148998945666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797</v>
      </c>
      <c r="C251" s="353">
        <f>C250*C313</f>
        <v>1957638.6681770012</v>
      </c>
      <c r="D251" s="353">
        <f>LN_IH6*LN_III10</f>
        <v>1955584.6833037508</v>
      </c>
      <c r="E251" s="353">
        <f>D251-C251</f>
        <v>-2053.9848732503597</v>
      </c>
      <c r="F251" s="362">
        <f>IF(C251=0,0,E251/C251)</f>
        <v>-0.0010492155200239675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798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734</v>
      </c>
      <c r="C254" s="353">
        <f>C188+C203</f>
        <v>24672128</v>
      </c>
      <c r="D254" s="353">
        <f>LN_IF23</f>
        <v>27890025</v>
      </c>
      <c r="E254" s="353">
        <f>D254-C254</f>
        <v>3217897</v>
      </c>
      <c r="F254" s="362">
        <f>IF(C254=0,0,E254/C254)</f>
        <v>0.13042640667233893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735</v>
      </c>
      <c r="C255" s="353">
        <f>C189+C204</f>
        <v>8706497</v>
      </c>
      <c r="D255" s="353">
        <f>LN_IF24</f>
        <v>9815104</v>
      </c>
      <c r="E255" s="353">
        <f>D255-C255</f>
        <v>1108607</v>
      </c>
      <c r="F255" s="362">
        <f>IF(C255=0,0,E255/C255)</f>
        <v>0.12733100350232707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799</v>
      </c>
      <c r="C256" s="353">
        <f>C254*C313</f>
        <v>13597703.775476808</v>
      </c>
      <c r="D256" s="353">
        <f>LN_IH8*LN_III10</f>
        <v>14799909.071730541</v>
      </c>
      <c r="E256" s="353">
        <f>D256-C256</f>
        <v>1202205.2962537333</v>
      </c>
      <c r="F256" s="362">
        <f>IF(C256=0,0,E256/C256)</f>
        <v>0.08841237580288276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800</v>
      </c>
      <c r="C257" s="353">
        <f>C256-C255</f>
        <v>4891206.775476808</v>
      </c>
      <c r="D257" s="353">
        <f>LN_IH10-LN_IH9</f>
        <v>4984805.071730541</v>
      </c>
      <c r="E257" s="353">
        <f>D257-C257</f>
        <v>93598.29625373334</v>
      </c>
      <c r="F257" s="362">
        <f>IF(C257=0,0,E257/C257)</f>
        <v>0.01913603340652249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159</v>
      </c>
      <c r="B258" s="349" t="s">
        <v>801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129</v>
      </c>
      <c r="B260" s="359" t="s">
        <v>802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803</v>
      </c>
      <c r="C261" s="361">
        <f>C15+C42+C188+C221</f>
        <v>68040996</v>
      </c>
      <c r="D261" s="361">
        <f>LN_IA1+LN_IB1+LN_IF1+LN_IG1</f>
        <v>79078482</v>
      </c>
      <c r="E261" s="361">
        <f aca="true" t="shared" si="26" ref="E261:E274">D261-C261</f>
        <v>11037486</v>
      </c>
      <c r="F261" s="415">
        <f aca="true" t="shared" si="27" ref="F261:F274">IF(C261=0,0,E261/C261)</f>
        <v>0.16221817211494083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804</v>
      </c>
      <c r="C262" s="361">
        <f>C16+C43+C189+C222</f>
        <v>43917220</v>
      </c>
      <c r="D262" s="361">
        <f>+LN_IA2+LN_IB2+LN_IF2+LN_IG2</f>
        <v>50439005</v>
      </c>
      <c r="E262" s="361">
        <f t="shared" si="26"/>
        <v>6521785</v>
      </c>
      <c r="F262" s="415">
        <f t="shared" si="27"/>
        <v>0.14850177219778482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805</v>
      </c>
      <c r="C263" s="366">
        <f>IF(C261=0,0,C262/C261)</f>
        <v>0.6454523387635301</v>
      </c>
      <c r="D263" s="366">
        <f>IF(LN_IIA1=0,0,LN_IIA2/LN_IIA1)</f>
        <v>0.6378347652146383</v>
      </c>
      <c r="E263" s="367">
        <f t="shared" si="26"/>
        <v>-0.0076175735488918095</v>
      </c>
      <c r="F263" s="371">
        <f t="shared" si="27"/>
        <v>-0.01180191486095553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806</v>
      </c>
      <c r="C264" s="369">
        <f>C18+C45+C191+C224</f>
        <v>6084</v>
      </c>
      <c r="D264" s="369">
        <f>LN_IA4+LN_IB4+LN_IF4+LN_IG3</f>
        <v>6320</v>
      </c>
      <c r="E264" s="369">
        <f t="shared" si="26"/>
        <v>236</v>
      </c>
      <c r="F264" s="415">
        <f t="shared" si="27"/>
        <v>0.03879026955950033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807</v>
      </c>
      <c r="C265" s="439">
        <f>IF(C264=0,0,C266/C264)</f>
        <v>1.181497879684418</v>
      </c>
      <c r="D265" s="439">
        <f>IF(LN_IIA4=0,0,LN_IIA6/LN_IIA4)</f>
        <v>1.2196949050632913</v>
      </c>
      <c r="E265" s="439">
        <f t="shared" si="26"/>
        <v>0.03819702537887326</v>
      </c>
      <c r="F265" s="415">
        <f t="shared" si="27"/>
        <v>0.03232932198665969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808</v>
      </c>
      <c r="C266" s="376">
        <f>C20+C47+C193+C226</f>
        <v>7188.2330999999995</v>
      </c>
      <c r="D266" s="376">
        <f>LN_IA6+LN_IB6+LN_IF6+LN_IG5</f>
        <v>7708.4718</v>
      </c>
      <c r="E266" s="376">
        <f t="shared" si="26"/>
        <v>520.2387000000008</v>
      </c>
      <c r="F266" s="415">
        <f t="shared" si="27"/>
        <v>0.07237365466069831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809</v>
      </c>
      <c r="C267" s="361">
        <f>C27+C56+C203+C233</f>
        <v>87681893</v>
      </c>
      <c r="D267" s="361">
        <f>LN_IA11+LN_IB13+LN_IF14+LN_IG9</f>
        <v>97313323</v>
      </c>
      <c r="E267" s="361">
        <f t="shared" si="26"/>
        <v>9631430</v>
      </c>
      <c r="F267" s="415">
        <f t="shared" si="27"/>
        <v>0.10984514214354382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730</v>
      </c>
      <c r="C268" s="366">
        <f>IF(C261=0,0,C267/C261)</f>
        <v>1.2886626909459116</v>
      </c>
      <c r="D268" s="366">
        <f>IF(LN_IIA1=0,0,LN_IIA7/LN_IIA1)</f>
        <v>1.230591692440429</v>
      </c>
      <c r="E268" s="367">
        <f t="shared" si="26"/>
        <v>-0.058070998505482585</v>
      </c>
      <c r="F268" s="371">
        <f t="shared" si="27"/>
        <v>-0.045062993530802835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810</v>
      </c>
      <c r="C269" s="361">
        <f>C28+C57+C204+C234</f>
        <v>39918659</v>
      </c>
      <c r="D269" s="361">
        <f>LN_IA12+LN_IB14+LN_IF15+LN_IG10</f>
        <v>42350277</v>
      </c>
      <c r="E269" s="361">
        <f t="shared" si="26"/>
        <v>2431618</v>
      </c>
      <c r="F269" s="415">
        <f t="shared" si="27"/>
        <v>0.06091432079419301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729</v>
      </c>
      <c r="C270" s="366">
        <f>IF(C267=0,0,C269/C267)</f>
        <v>0.4552668473980141</v>
      </c>
      <c r="D270" s="366">
        <f>IF(LN_IIA7=0,0,LN_IIA9/LN_IIA7)</f>
        <v>0.43519505546018605</v>
      </c>
      <c r="E270" s="367">
        <f t="shared" si="26"/>
        <v>-0.020071791937828043</v>
      </c>
      <c r="F270" s="371">
        <f t="shared" si="27"/>
        <v>-0.04408797181816406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811</v>
      </c>
      <c r="C271" s="353">
        <f>C261+C267</f>
        <v>155722889</v>
      </c>
      <c r="D271" s="353">
        <f>LN_IIA1+LN_IIA7</f>
        <v>176391805</v>
      </c>
      <c r="E271" s="353">
        <f t="shared" si="26"/>
        <v>20668916</v>
      </c>
      <c r="F271" s="415">
        <f t="shared" si="27"/>
        <v>0.1327288244697284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812</v>
      </c>
      <c r="C272" s="353">
        <f>C262+C269</f>
        <v>83835879</v>
      </c>
      <c r="D272" s="353">
        <f>LN_IIA2+LN_IIA9</f>
        <v>92789282</v>
      </c>
      <c r="E272" s="353">
        <f t="shared" si="26"/>
        <v>8953403</v>
      </c>
      <c r="F272" s="415">
        <f t="shared" si="27"/>
        <v>0.10679679281468499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813</v>
      </c>
      <c r="C273" s="366">
        <f>IF(C271=0,0,C272/C271)</f>
        <v>0.5383658082531464</v>
      </c>
      <c r="D273" s="366">
        <f>IF(LN_IIA11=0,0,LN_IIA12/LN_IIA11)</f>
        <v>0.5260407761006811</v>
      </c>
      <c r="E273" s="367">
        <f t="shared" si="26"/>
        <v>-0.012325032152465276</v>
      </c>
      <c r="F273" s="371">
        <f t="shared" si="27"/>
        <v>-0.022893415524393574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254</v>
      </c>
      <c r="C274" s="421">
        <f>C22+C51+C198+C228</f>
        <v>27085</v>
      </c>
      <c r="D274" s="421">
        <f>LN_IA8+LN_IB10+LN_IF11+LN_IG6</f>
        <v>28581</v>
      </c>
      <c r="E274" s="442">
        <f t="shared" si="26"/>
        <v>1496</v>
      </c>
      <c r="F274" s="371">
        <f t="shared" si="27"/>
        <v>0.05523352409082518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141</v>
      </c>
      <c r="B276" s="359" t="s">
        <v>814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815</v>
      </c>
      <c r="C277" s="361">
        <f>C15+C188+C221</f>
        <v>49320470</v>
      </c>
      <c r="D277" s="361">
        <f>LN_IA1+LN_IF1+LN_IG1</f>
        <v>58807178</v>
      </c>
      <c r="E277" s="361">
        <f aca="true" t="shared" si="28" ref="E277:E291">D277-C277</f>
        <v>9486708</v>
      </c>
      <c r="F277" s="415">
        <f aca="true" t="shared" si="29" ref="F277:F291">IF(C277=0,0,E277/C277)</f>
        <v>0.1923482886517505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816</v>
      </c>
      <c r="C278" s="361">
        <f>C16+C189+C222</f>
        <v>32076586</v>
      </c>
      <c r="D278" s="361">
        <f>LN_IA2+LN_IF2+LN_IG2</f>
        <v>36954044</v>
      </c>
      <c r="E278" s="361">
        <f t="shared" si="28"/>
        <v>4877458</v>
      </c>
      <c r="F278" s="415">
        <f t="shared" si="29"/>
        <v>0.15205664343456002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817</v>
      </c>
      <c r="C279" s="366">
        <f>IF(C277=0,0,C278/C277)</f>
        <v>0.6503706473194598</v>
      </c>
      <c r="D279" s="366">
        <f>IF(D277=0,0,LN_IIB2/D277)</f>
        <v>0.6283934250339304</v>
      </c>
      <c r="E279" s="367">
        <f t="shared" si="28"/>
        <v>-0.021977222285529452</v>
      </c>
      <c r="F279" s="371">
        <f t="shared" si="29"/>
        <v>-0.033791842199690045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818</v>
      </c>
      <c r="C280" s="369">
        <f>C18+C191+C224</f>
        <v>4068</v>
      </c>
      <c r="D280" s="369">
        <f>LN_IA4+LN_IF4+LN_IG3</f>
        <v>4424</v>
      </c>
      <c r="E280" s="369">
        <f t="shared" si="28"/>
        <v>356</v>
      </c>
      <c r="F280" s="415">
        <f t="shared" si="29"/>
        <v>0.08751229105211406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819</v>
      </c>
      <c r="C281" s="439">
        <f>IF(C280=0,0,C282/C280)</f>
        <v>1.2632667404129791</v>
      </c>
      <c r="D281" s="439">
        <f>IF(LN_IIB4=0,0,LN_IIB6/LN_IIB4)</f>
        <v>1.2979927215189875</v>
      </c>
      <c r="E281" s="439">
        <f t="shared" si="28"/>
        <v>0.03472598110600833</v>
      </c>
      <c r="F281" s="415">
        <f t="shared" si="29"/>
        <v>0.027489032992870477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820</v>
      </c>
      <c r="C282" s="376">
        <f>C20+C193+C226</f>
        <v>5138.969099999999</v>
      </c>
      <c r="D282" s="376">
        <f>LN_IA6+LN_IF6+LN_IG5</f>
        <v>5742.3198</v>
      </c>
      <c r="E282" s="376">
        <f t="shared" si="28"/>
        <v>603.3507000000009</v>
      </c>
      <c r="F282" s="415">
        <f t="shared" si="29"/>
        <v>0.11740695230099768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821</v>
      </c>
      <c r="C283" s="361">
        <f>C27+C203+C233</f>
        <v>45534077</v>
      </c>
      <c r="D283" s="361">
        <f>LN_IA11+LN_IF14+LN_IG9</f>
        <v>51284649</v>
      </c>
      <c r="E283" s="361">
        <f t="shared" si="28"/>
        <v>5750572</v>
      </c>
      <c r="F283" s="415">
        <f t="shared" si="29"/>
        <v>0.12629161232366695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822</v>
      </c>
      <c r="C284" s="366">
        <f>IF(C277=0,0,C283/C277)</f>
        <v>0.9232287729618148</v>
      </c>
      <c r="D284" s="366">
        <f>IF(D277=0,0,LN_IIB7/D277)</f>
        <v>0.8720814489686957</v>
      </c>
      <c r="E284" s="367">
        <f t="shared" si="28"/>
        <v>-0.051147323993119165</v>
      </c>
      <c r="F284" s="371">
        <f t="shared" si="29"/>
        <v>-0.05540048738844347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823</v>
      </c>
      <c r="C285" s="361">
        <f>C28+C204+C234</f>
        <v>18232677</v>
      </c>
      <c r="D285" s="361">
        <f>LN_IA12+LN_IF15+LN_IG10</f>
        <v>19606127</v>
      </c>
      <c r="E285" s="361">
        <f t="shared" si="28"/>
        <v>1373450</v>
      </c>
      <c r="F285" s="415">
        <f t="shared" si="29"/>
        <v>0.07532903698123979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824</v>
      </c>
      <c r="C286" s="366">
        <f>IF(C283=0,0,C285/C283)</f>
        <v>0.40041828453006745</v>
      </c>
      <c r="D286" s="366">
        <f>IF(LN_IIB7=0,0,LN_IIB9/LN_IIB7)</f>
        <v>0.3823001108967325</v>
      </c>
      <c r="E286" s="367">
        <f t="shared" si="28"/>
        <v>-0.018118173633334955</v>
      </c>
      <c r="F286" s="371">
        <f t="shared" si="29"/>
        <v>-0.04524811761430555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825</v>
      </c>
      <c r="C287" s="353">
        <f>C277+C283</f>
        <v>94854547</v>
      </c>
      <c r="D287" s="353">
        <f>D277+LN_IIB7</f>
        <v>110091827</v>
      </c>
      <c r="E287" s="353">
        <f t="shared" si="28"/>
        <v>15237280</v>
      </c>
      <c r="F287" s="415">
        <f t="shared" si="29"/>
        <v>0.16063837192749442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826</v>
      </c>
      <c r="C288" s="353">
        <f>C278+C285</f>
        <v>50309263</v>
      </c>
      <c r="D288" s="353">
        <f>LN_IIB2+LN_IIB9</f>
        <v>56560171</v>
      </c>
      <c r="E288" s="353">
        <f t="shared" si="28"/>
        <v>6250908</v>
      </c>
      <c r="F288" s="415">
        <f t="shared" si="29"/>
        <v>0.12424964364912283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827</v>
      </c>
      <c r="C289" s="366">
        <f>IF(C287=0,0,C288/C287)</f>
        <v>0.5303832508946567</v>
      </c>
      <c r="D289" s="366">
        <f>IF(LN_IIB11=0,0,LN_IIB12/LN_IIB11)</f>
        <v>0.5137544951452209</v>
      </c>
      <c r="E289" s="367">
        <f t="shared" si="28"/>
        <v>-0.016628755749435786</v>
      </c>
      <c r="F289" s="371">
        <f t="shared" si="29"/>
        <v>-0.031352339504285266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254</v>
      </c>
      <c r="C290" s="421">
        <f>C22+C198+C228</f>
        <v>19878</v>
      </c>
      <c r="D290" s="421">
        <f>LN_IA8+LN_IF11+LN_IG6</f>
        <v>21794</v>
      </c>
      <c r="E290" s="442">
        <f t="shared" si="28"/>
        <v>1916</v>
      </c>
      <c r="F290" s="371">
        <f t="shared" si="29"/>
        <v>0.09638796659623705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828</v>
      </c>
      <c r="C291" s="361">
        <f>C287-C288</f>
        <v>44545284</v>
      </c>
      <c r="D291" s="429">
        <f>LN_IIB11-LN_IIB12</f>
        <v>53531656</v>
      </c>
      <c r="E291" s="353">
        <f t="shared" si="28"/>
        <v>8986372</v>
      </c>
      <c r="F291" s="415">
        <f t="shared" si="29"/>
        <v>0.20173565399201407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151</v>
      </c>
      <c r="B293" s="358" t="s">
        <v>725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716</v>
      </c>
      <c r="C294" s="379">
        <f>IF(C18=0,0,C22/C18)</f>
        <v>4.986979166666667</v>
      </c>
      <c r="D294" s="379">
        <f>IF(LN_IA4=0,0,LN_IA8/LN_IA4)</f>
        <v>5.088693098384728</v>
      </c>
      <c r="E294" s="379">
        <f aca="true" t="shared" si="30" ref="E294:E300">D294-C294</f>
        <v>0.10171393171806109</v>
      </c>
      <c r="F294" s="415">
        <f aca="true" t="shared" si="31" ref="F294:F300">IF(C294=0,0,E294/C294)</f>
        <v>0.020395900668269167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737</v>
      </c>
      <c r="C295" s="379">
        <f>IF(C45=0,0,C51/C45)</f>
        <v>3.5749007936507935</v>
      </c>
      <c r="D295" s="379">
        <f>IF(LN_IB4=0,0,(LN_IB10)/(LN_IB4))</f>
        <v>3.5796413502109705</v>
      </c>
      <c r="E295" s="379">
        <f t="shared" si="30"/>
        <v>0.004740556560177023</v>
      </c>
      <c r="F295" s="415">
        <f t="shared" si="31"/>
        <v>0.0013260666054276228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752</v>
      </c>
      <c r="C296" s="379">
        <f>IF(C86=0,0,C93/C86)</f>
        <v>4.684848484848485</v>
      </c>
      <c r="D296" s="379">
        <f>IF(LN_IC4=0,0,LN_IC11/LN_IC4)</f>
        <v>4.682926829268292</v>
      </c>
      <c r="E296" s="379">
        <f t="shared" si="30"/>
        <v>-0.0019216555801921942</v>
      </c>
      <c r="F296" s="415">
        <f t="shared" si="31"/>
        <v>-0.0004101852144006624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229</v>
      </c>
      <c r="C297" s="379">
        <f>IF(C121=0,0,C128/C121)</f>
        <v>4.382619974059663</v>
      </c>
      <c r="D297" s="379">
        <f>IF(LN_ID4=0,0,LN_ID11/LN_ID4)</f>
        <v>3.8095238095238093</v>
      </c>
      <c r="E297" s="379">
        <f t="shared" si="30"/>
        <v>-0.5730961645358539</v>
      </c>
      <c r="F297" s="415">
        <f t="shared" si="31"/>
        <v>-0.13076565340548782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829</v>
      </c>
      <c r="C298" s="379">
        <f>IF(C156=0,0,C163/C156)</f>
        <v>5.371428571428571</v>
      </c>
      <c r="D298" s="379">
        <f>IF(LN_IE4=0,0,LN_IE11/LN_IE4)</f>
        <v>5.922779922779923</v>
      </c>
      <c r="E298" s="379">
        <f t="shared" si="30"/>
        <v>0.5513513513513519</v>
      </c>
      <c r="F298" s="415">
        <f t="shared" si="31"/>
        <v>0.10264519838987936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533</v>
      </c>
      <c r="C299" s="379">
        <f>IF(C224=0,0,C228/C224)</f>
        <v>3.4</v>
      </c>
      <c r="D299" s="379">
        <f>IF(LN_IG3=0,0,LN_IG6/LN_IG3)</f>
        <v>5.32</v>
      </c>
      <c r="E299" s="379">
        <f t="shared" si="30"/>
        <v>1.9200000000000004</v>
      </c>
      <c r="F299" s="415">
        <f t="shared" si="31"/>
        <v>0.5647058823529413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830</v>
      </c>
      <c r="C300" s="379">
        <f>IF(C264=0,0,C274/C264)</f>
        <v>4.451840894148586</v>
      </c>
      <c r="D300" s="379">
        <f>IF(LN_IIA4=0,0,LN_IIA14/LN_IIA4)</f>
        <v>4.522310126582278</v>
      </c>
      <c r="E300" s="379">
        <f t="shared" si="30"/>
        <v>0.07046923243369196</v>
      </c>
      <c r="F300" s="415">
        <f t="shared" si="31"/>
        <v>0.01582923426718043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250</v>
      </c>
      <c r="B302" s="446" t="s">
        <v>831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825</v>
      </c>
      <c r="C304" s="353">
        <f>C35+C66+C214+C221+C233</f>
        <v>155722889</v>
      </c>
      <c r="D304" s="353">
        <f>LN_IIA11</f>
        <v>176391805</v>
      </c>
      <c r="E304" s="353">
        <f aca="true" t="shared" si="32" ref="E304:E316">D304-C304</f>
        <v>20668916</v>
      </c>
      <c r="F304" s="362">
        <f>IF(C304=0,0,E304/C304)</f>
        <v>0.1327288244697284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828</v>
      </c>
      <c r="C305" s="353">
        <f>C291</f>
        <v>44545284</v>
      </c>
      <c r="D305" s="353">
        <f>LN_IIB14</f>
        <v>53531656</v>
      </c>
      <c r="E305" s="353">
        <f t="shared" si="32"/>
        <v>8986372</v>
      </c>
      <c r="F305" s="362">
        <f>IF(C305=0,0,E305/C305)</f>
        <v>0.20173565399201407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832</v>
      </c>
      <c r="C306" s="353">
        <f>C250</f>
        <v>3552005</v>
      </c>
      <c r="D306" s="353">
        <f>LN_IH6</f>
        <v>3685246</v>
      </c>
      <c r="E306" s="353">
        <f t="shared" si="32"/>
        <v>133241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833</v>
      </c>
      <c r="C307" s="353">
        <f>C73-C74</f>
        <v>21617219</v>
      </c>
      <c r="D307" s="353">
        <f>LN_IB32-LN_IB33</f>
        <v>25890211</v>
      </c>
      <c r="E307" s="353">
        <f t="shared" si="32"/>
        <v>4272992</v>
      </c>
      <c r="F307" s="362">
        <f aca="true" t="shared" si="33" ref="F307:F316">IF(C307=0,0,E307/C307)</f>
        <v>0.19766612902427458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834</v>
      </c>
      <c r="C308" s="353">
        <v>902403</v>
      </c>
      <c r="D308" s="353">
        <v>323466</v>
      </c>
      <c r="E308" s="353">
        <f t="shared" si="32"/>
        <v>-578937</v>
      </c>
      <c r="F308" s="362">
        <f t="shared" si="33"/>
        <v>-0.6415503937819356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835</v>
      </c>
      <c r="C309" s="353">
        <f>C305+C307+C308+C306</f>
        <v>70616911</v>
      </c>
      <c r="D309" s="353">
        <f>LN_III2+LN_III3+LN_III4+LN_III5</f>
        <v>83430579</v>
      </c>
      <c r="E309" s="353">
        <f t="shared" si="32"/>
        <v>12813668</v>
      </c>
      <c r="F309" s="362">
        <f t="shared" si="33"/>
        <v>0.18145324991629838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836</v>
      </c>
      <c r="C310" s="353">
        <f>C304-C309</f>
        <v>85105978</v>
      </c>
      <c r="D310" s="353">
        <f>LN_III1-LN_III6</f>
        <v>92961226</v>
      </c>
      <c r="E310" s="353">
        <f t="shared" si="32"/>
        <v>7855248</v>
      </c>
      <c r="F310" s="362">
        <f t="shared" si="33"/>
        <v>0.09229960320766187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837</v>
      </c>
      <c r="C311" s="353">
        <f>C245</f>
        <v>718549</v>
      </c>
      <c r="D311" s="353">
        <f>LN_IH3</f>
        <v>641511</v>
      </c>
      <c r="E311" s="353">
        <f t="shared" si="32"/>
        <v>-77038</v>
      </c>
      <c r="F311" s="362">
        <f t="shared" si="33"/>
        <v>-0.10721328677654551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838</v>
      </c>
      <c r="C312" s="353">
        <f>C310+C311</f>
        <v>85824527</v>
      </c>
      <c r="D312" s="353">
        <f>LN_III7+LN_III8</f>
        <v>93602737</v>
      </c>
      <c r="E312" s="353">
        <f t="shared" si="32"/>
        <v>7778210</v>
      </c>
      <c r="F312" s="362">
        <f t="shared" si="33"/>
        <v>0.09062922071216309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839</v>
      </c>
      <c r="C313" s="448">
        <f>IF(C304=0,0,C312/C304)</f>
        <v>0.5511362366260749</v>
      </c>
      <c r="D313" s="448">
        <f>IF(LN_III1=0,0,LN_III9/LN_III1)</f>
        <v>0.5306524132456153</v>
      </c>
      <c r="E313" s="448">
        <f t="shared" si="32"/>
        <v>-0.02048382338045962</v>
      </c>
      <c r="F313" s="362">
        <f t="shared" si="33"/>
        <v>-0.03716653346159331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797</v>
      </c>
      <c r="C314" s="353">
        <f>C306*C313</f>
        <v>1957638.6681770012</v>
      </c>
      <c r="D314" s="353">
        <f>D313*LN_III5</f>
        <v>1955584.6833037508</v>
      </c>
      <c r="E314" s="353">
        <f t="shared" si="32"/>
        <v>-2053.9848732503597</v>
      </c>
      <c r="F314" s="362">
        <f t="shared" si="33"/>
        <v>-0.0010492155200239675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800</v>
      </c>
      <c r="C315" s="353">
        <f>(C214*C313)-C215</f>
        <v>4891206.775476808</v>
      </c>
      <c r="D315" s="353">
        <f>D313*LN_IH8-LN_IH9</f>
        <v>4984805.071730541</v>
      </c>
      <c r="E315" s="353">
        <f t="shared" si="32"/>
        <v>93598.29625373334</v>
      </c>
      <c r="F315" s="362">
        <f t="shared" si="33"/>
        <v>0.01913603340652249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840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>
      <c r="A317" s="338">
        <v>14</v>
      </c>
      <c r="B317" s="360" t="s">
        <v>841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842</v>
      </c>
      <c r="C318" s="353">
        <f>C314+C315+C316</f>
        <v>6848845.443653809</v>
      </c>
      <c r="D318" s="353">
        <f>D314+D315+D316</f>
        <v>6940389.755034292</v>
      </c>
      <c r="E318" s="353">
        <f>D318-C318</f>
        <v>91544.31138048321</v>
      </c>
      <c r="F318" s="362">
        <f>IF(C318=0,0,E318/C318)</f>
        <v>0.013366385930829968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259</v>
      </c>
      <c r="B320" s="445" t="s">
        <v>843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229</v>
      </c>
      <c r="C322" s="353">
        <f>C141</f>
        <v>4288661.81478289</v>
      </c>
      <c r="D322" s="353">
        <f>LN_ID22</f>
        <v>5701630.57231486</v>
      </c>
      <c r="E322" s="353">
        <f>LN_IV2-C322</f>
        <v>1412968.7575319707</v>
      </c>
      <c r="F322" s="362">
        <f>IF(C322=0,0,E322/C322)</f>
        <v>0.32946611753379795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829</v>
      </c>
      <c r="C323" s="353">
        <f>C162+C176</f>
        <v>1867489.75581592</v>
      </c>
      <c r="D323" s="353">
        <f>LN_IE10+LN_IE22</f>
        <v>2099067.4889247217</v>
      </c>
      <c r="E323" s="353">
        <f>LN_IV3-C323</f>
        <v>231577.73310880177</v>
      </c>
      <c r="F323" s="362">
        <f>IF(C323=0,0,E323/C323)</f>
        <v>0.12400482111754543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844</v>
      </c>
      <c r="C324" s="353">
        <f>C92+C106</f>
        <v>2194168.5828774674</v>
      </c>
      <c r="D324" s="353">
        <f>LN_IC10+LN_IC22</f>
        <v>1774543.177550154</v>
      </c>
      <c r="E324" s="353">
        <f>LN_IV1-C324</f>
        <v>-419625.40532731335</v>
      </c>
      <c r="F324" s="362">
        <f>IF(C324=0,0,E324/C324)</f>
        <v>-0.19124574501791924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845</v>
      </c>
      <c r="C325" s="429">
        <f>C324+C322+C323</f>
        <v>8350320.153476277</v>
      </c>
      <c r="D325" s="429">
        <f>LN_IV1+LN_IV2+LN_IV3</f>
        <v>9575241.238789735</v>
      </c>
      <c r="E325" s="353">
        <f>LN_IV4-C325</f>
        <v>1224921.085313458</v>
      </c>
      <c r="F325" s="362">
        <f>IF(C325=0,0,E325/C325)</f>
        <v>0.1466915115588134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846</v>
      </c>
      <c r="B327" s="446" t="s">
        <v>847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848</v>
      </c>
      <c r="C329" s="431">
        <v>2172501</v>
      </c>
      <c r="D329" s="431">
        <v>495412</v>
      </c>
      <c r="E329" s="431">
        <f aca="true" t="shared" si="34" ref="E329:E335">D329-C329</f>
        <v>-1677089</v>
      </c>
      <c r="F329" s="462">
        <f aca="true" t="shared" si="35" ref="F329:F335">IF(C329=0,0,E329/C329)</f>
        <v>-0.7719623604315947</v>
      </c>
    </row>
    <row r="330" spans="1:6" s="333" customFormat="1" ht="11.25" customHeight="1">
      <c r="A330" s="364">
        <v>2</v>
      </c>
      <c r="B330" s="360" t="s">
        <v>849</v>
      </c>
      <c r="C330" s="429">
        <v>3384680</v>
      </c>
      <c r="D330" s="429">
        <v>2247797</v>
      </c>
      <c r="E330" s="431">
        <f t="shared" si="34"/>
        <v>-1136883</v>
      </c>
      <c r="F330" s="463">
        <f t="shared" si="35"/>
        <v>-0.3358908375385561</v>
      </c>
    </row>
    <row r="331" spans="1:6" s="333" customFormat="1" ht="11.25" customHeight="1">
      <c r="A331" s="339">
        <v>3</v>
      </c>
      <c r="B331" s="360" t="s">
        <v>850</v>
      </c>
      <c r="C331" s="429">
        <v>87939108</v>
      </c>
      <c r="D331" s="429">
        <v>95678590</v>
      </c>
      <c r="E331" s="431">
        <f t="shared" si="34"/>
        <v>7739482</v>
      </c>
      <c r="F331" s="462">
        <f t="shared" si="35"/>
        <v>0.0880095577044061</v>
      </c>
    </row>
    <row r="332" spans="1:6" s="333" customFormat="1" ht="11.25" customHeight="1">
      <c r="A332" s="364">
        <v>4</v>
      </c>
      <c r="B332" s="360" t="s">
        <v>851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6" s="333" customFormat="1" ht="11.25" customHeight="1">
      <c r="A333" s="364">
        <v>5</v>
      </c>
      <c r="B333" s="360" t="s">
        <v>852</v>
      </c>
      <c r="C333" s="429">
        <v>155722889</v>
      </c>
      <c r="D333" s="429">
        <v>176391807</v>
      </c>
      <c r="E333" s="431">
        <f t="shared" si="34"/>
        <v>20668918</v>
      </c>
      <c r="F333" s="462">
        <f t="shared" si="35"/>
        <v>0.13272883731305551</v>
      </c>
    </row>
    <row r="334" spans="1:6" s="333" customFormat="1" ht="11.25" customHeight="1">
      <c r="A334" s="339">
        <v>6</v>
      </c>
      <c r="B334" s="360" t="s">
        <v>853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6" s="333" customFormat="1" ht="11.25" customHeight="1">
      <c r="A335" s="364">
        <v>7</v>
      </c>
      <c r="B335" s="360" t="s">
        <v>854</v>
      </c>
      <c r="C335" s="429">
        <v>3552005</v>
      </c>
      <c r="D335" s="429">
        <v>3685246</v>
      </c>
      <c r="E335" s="429">
        <f t="shared" si="34"/>
        <v>133241</v>
      </c>
      <c r="F335" s="462">
        <f t="shared" si="35"/>
        <v>0.03751148998945666</v>
      </c>
    </row>
    <row r="336" spans="1:6" s="453" customFormat="1" ht="14.25" customHeight="1">
      <c r="A336" s="464"/>
      <c r="B336" s="458"/>
      <c r="C336" s="465"/>
      <c r="F336" s="459"/>
    </row>
    <row r="337" spans="1:17" ht="12.75" customHeight="1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2:17" ht="11.25" customHeight="1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2:17" ht="11.25" customHeight="1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4"/>
      <c r="D388" s="369"/>
      <c r="E388" s="369"/>
      <c r="F388" s="369"/>
    </row>
    <row r="389" spans="2:6" ht="11.25" customHeight="1">
      <c r="B389" s="360"/>
      <c r="C389" s="471"/>
      <c r="D389" s="472"/>
      <c r="E389" s="472"/>
      <c r="F389" s="472"/>
    </row>
    <row r="390" spans="2:17" ht="11.25" customHeight="1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4"/>
      <c r="D394" s="369"/>
      <c r="E394" s="369"/>
      <c r="F394" s="369"/>
    </row>
    <row r="395" spans="2:17" ht="11.25" customHeight="1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5"/>
      <c r="D396" s="486"/>
      <c r="E396" s="486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8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7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5"/>
      <c r="D403" s="486"/>
      <c r="E403" s="486"/>
      <c r="F403" s="486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2"/>
      <c r="D414" s="386"/>
      <c r="E414" s="386"/>
      <c r="F414" s="386"/>
    </row>
    <row r="415" spans="2:6" ht="11.25" customHeight="1">
      <c r="B415" s="360"/>
      <c r="C415" s="482"/>
      <c r="D415" s="386"/>
      <c r="E415" s="386"/>
      <c r="F415" s="386"/>
    </row>
    <row r="416" spans="2:6" ht="11.25" customHeight="1">
      <c r="B416" s="360"/>
      <c r="C416" s="482"/>
      <c r="D416" s="386"/>
      <c r="E416" s="386"/>
      <c r="F416" s="386"/>
    </row>
    <row r="417" spans="2:6" ht="11.25" customHeight="1">
      <c r="B417" s="360"/>
      <c r="C417" s="482"/>
      <c r="D417" s="386"/>
      <c r="E417" s="386"/>
      <c r="F417" s="386"/>
    </row>
    <row r="418" spans="2:6" ht="11.25" customHeight="1">
      <c r="B418" s="360"/>
      <c r="C418" s="482"/>
      <c r="D418" s="386"/>
      <c r="E418" s="386"/>
      <c r="F418" s="386"/>
    </row>
    <row r="419" spans="2:6" ht="11.25" customHeight="1">
      <c r="B419" s="360"/>
      <c r="C419" s="482"/>
      <c r="D419" s="386"/>
      <c r="E419" s="386"/>
      <c r="F419" s="386"/>
    </row>
    <row r="420" spans="2:6" ht="11.25" customHeight="1">
      <c r="B420" s="360"/>
      <c r="C420" s="482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2"/>
      <c r="D423" s="386"/>
      <c r="E423" s="386"/>
      <c r="F423" s="386"/>
    </row>
    <row r="424" spans="2:6" ht="15" customHeight="1">
      <c r="B424" s="407"/>
      <c r="C424" s="482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FILING&amp;RCHARLOTTE HUNGERFORD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297">
      <selection activeCell="B16" sqref="B16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8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115</v>
      </c>
      <c r="B2" s="710"/>
      <c r="C2" s="710"/>
      <c r="D2" s="710"/>
      <c r="E2" s="710"/>
    </row>
    <row r="3" spans="1:5" s="338" customFormat="1" ht="15.75" customHeight="1">
      <c r="A3" s="709" t="s">
        <v>707</v>
      </c>
      <c r="B3" s="709"/>
      <c r="C3" s="709"/>
      <c r="D3" s="709"/>
      <c r="E3" s="709"/>
    </row>
    <row r="4" spans="1:5" s="338" customFormat="1" ht="15.75" customHeight="1">
      <c r="A4" s="709" t="s">
        <v>117</v>
      </c>
      <c r="B4" s="709"/>
      <c r="C4" s="709"/>
      <c r="D4" s="709"/>
      <c r="E4" s="709"/>
    </row>
    <row r="5" spans="1:5" s="338" customFormat="1" ht="15.75" customHeight="1">
      <c r="A5" s="709" t="s">
        <v>855</v>
      </c>
      <c r="B5" s="709"/>
      <c r="C5" s="709"/>
      <c r="D5" s="709"/>
      <c r="E5" s="709"/>
    </row>
    <row r="6" spans="1:5" s="338" customFormat="1" ht="15.75" customHeight="1">
      <c r="A6" s="709" t="s">
        <v>856</v>
      </c>
      <c r="B6" s="709"/>
      <c r="C6" s="709"/>
      <c r="D6" s="709"/>
      <c r="E6" s="709"/>
    </row>
    <row r="7" spans="1:5" s="338" customFormat="1" ht="15.75" customHeight="1">
      <c r="A7" s="489"/>
      <c r="B7" s="123"/>
      <c r="C7" s="490"/>
      <c r="D7" s="489"/>
      <c r="E7" s="345"/>
    </row>
    <row r="8" spans="1:5" s="338" customFormat="1" ht="12.75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25" customHeight="1">
      <c r="A9" s="492" t="s">
        <v>123</v>
      </c>
      <c r="B9" s="493" t="s">
        <v>124</v>
      </c>
      <c r="C9" s="494" t="s">
        <v>857</v>
      </c>
      <c r="D9" s="494" t="s">
        <v>858</v>
      </c>
      <c r="E9" s="495" t="s">
        <v>859</v>
      </c>
    </row>
    <row r="10" spans="1:5" s="338" customFormat="1" ht="12.75">
      <c r="A10" s="496"/>
      <c r="B10" s="497"/>
      <c r="C10" s="498"/>
      <c r="D10" s="498"/>
      <c r="E10" s="499"/>
    </row>
    <row r="11" spans="1:5" s="338" customFormat="1" ht="15.75" customHeight="1">
      <c r="A11" s="500" t="s">
        <v>127</v>
      </c>
      <c r="B11" s="501" t="s">
        <v>860</v>
      </c>
      <c r="C11" s="502"/>
      <c r="D11" s="491"/>
      <c r="E11" s="499"/>
    </row>
    <row r="12" spans="1:5" s="503" customFormat="1" ht="12.75">
      <c r="A12" s="504"/>
      <c r="B12" s="499"/>
      <c r="C12" s="505"/>
      <c r="D12" s="340"/>
      <c r="E12" s="499"/>
    </row>
    <row r="13" spans="1:5" s="506" customFormat="1" ht="12.75">
      <c r="A13" s="508" t="s">
        <v>129</v>
      </c>
      <c r="B13" s="509" t="s">
        <v>861</v>
      </c>
      <c r="C13" s="510"/>
      <c r="D13" s="340"/>
      <c r="E13" s="511"/>
    </row>
    <row r="14" spans="1:5" s="506" customFormat="1" ht="12.75">
      <c r="A14" s="512">
        <v>1</v>
      </c>
      <c r="B14" s="511" t="s">
        <v>737</v>
      </c>
      <c r="C14" s="513">
        <v>18720526</v>
      </c>
      <c r="D14" s="513">
        <v>20271304</v>
      </c>
      <c r="E14" s="514">
        <f aca="true" t="shared" si="0" ref="E14:E22">D14-C14</f>
        <v>1550778</v>
      </c>
    </row>
    <row r="15" spans="1:5" s="506" customFormat="1" ht="12.75">
      <c r="A15" s="512">
        <v>2</v>
      </c>
      <c r="B15" s="511" t="s">
        <v>716</v>
      </c>
      <c r="C15" s="513">
        <v>40339876</v>
      </c>
      <c r="D15" s="515">
        <v>49306977</v>
      </c>
      <c r="E15" s="514">
        <f t="shared" si="0"/>
        <v>8967101</v>
      </c>
    </row>
    <row r="16" spans="1:5" s="506" customFormat="1" ht="12.75">
      <c r="A16" s="512">
        <v>3</v>
      </c>
      <c r="B16" s="511" t="s">
        <v>862</v>
      </c>
      <c r="C16" s="513">
        <v>8832157</v>
      </c>
      <c r="D16" s="515">
        <v>9139270</v>
      </c>
      <c r="E16" s="514">
        <f t="shared" si="0"/>
        <v>307113</v>
      </c>
    </row>
    <row r="17" spans="1:5" s="506" customFormat="1" ht="12.75">
      <c r="A17" s="512">
        <v>4</v>
      </c>
      <c r="B17" s="511" t="s">
        <v>229</v>
      </c>
      <c r="C17" s="513">
        <v>6597759</v>
      </c>
      <c r="D17" s="515">
        <v>5912856</v>
      </c>
      <c r="E17" s="514">
        <f t="shared" si="0"/>
        <v>-684903</v>
      </c>
    </row>
    <row r="18" spans="1:5" s="506" customFormat="1" ht="12.75">
      <c r="A18" s="512">
        <v>5</v>
      </c>
      <c r="B18" s="511" t="s">
        <v>829</v>
      </c>
      <c r="C18" s="513">
        <v>2234398</v>
      </c>
      <c r="D18" s="515">
        <v>3226414</v>
      </c>
      <c r="E18" s="514">
        <f t="shared" si="0"/>
        <v>992016</v>
      </c>
    </row>
    <row r="19" spans="1:5" s="506" customFormat="1" ht="12.75">
      <c r="A19" s="512">
        <v>6</v>
      </c>
      <c r="B19" s="511" t="s">
        <v>533</v>
      </c>
      <c r="C19" s="513">
        <v>148437</v>
      </c>
      <c r="D19" s="515">
        <v>360931</v>
      </c>
      <c r="E19" s="514">
        <f t="shared" si="0"/>
        <v>212494</v>
      </c>
    </row>
    <row r="20" spans="1:5" s="506" customFormat="1" ht="12.75">
      <c r="A20" s="512">
        <v>7</v>
      </c>
      <c r="B20" s="511" t="s">
        <v>844</v>
      </c>
      <c r="C20" s="513">
        <v>1553328</v>
      </c>
      <c r="D20" s="515">
        <v>1170201</v>
      </c>
      <c r="E20" s="514">
        <f t="shared" si="0"/>
        <v>-383127</v>
      </c>
    </row>
    <row r="21" spans="1:5" s="506" customFormat="1" ht="12.75">
      <c r="A21" s="512"/>
      <c r="B21" s="516" t="s">
        <v>863</v>
      </c>
      <c r="C21" s="517">
        <f>SUM(C15+C16+C19)</f>
        <v>49320470</v>
      </c>
      <c r="D21" s="517">
        <f>SUM(D15+D16+D19)</f>
        <v>58807178</v>
      </c>
      <c r="E21" s="517">
        <f t="shared" si="0"/>
        <v>9486708</v>
      </c>
    </row>
    <row r="22" spans="1:5" s="506" customFormat="1" ht="12.75">
      <c r="A22" s="512"/>
      <c r="B22" s="516" t="s">
        <v>803</v>
      </c>
      <c r="C22" s="517">
        <f>SUM(C14+C21)</f>
        <v>68040996</v>
      </c>
      <c r="D22" s="517">
        <f>SUM(D14+D21)</f>
        <v>79078482</v>
      </c>
      <c r="E22" s="517">
        <f t="shared" si="0"/>
        <v>11037486</v>
      </c>
    </row>
    <row r="23" spans="1:5" s="506" customFormat="1" ht="12.75">
      <c r="A23" s="512"/>
      <c r="B23" s="511"/>
      <c r="C23" s="511"/>
      <c r="D23" s="511"/>
      <c r="E23" s="511"/>
    </row>
    <row r="24" spans="1:5" s="506" customFormat="1" ht="12.75">
      <c r="A24" s="508" t="s">
        <v>141</v>
      </c>
      <c r="B24" s="509" t="s">
        <v>864</v>
      </c>
      <c r="C24" s="511"/>
      <c r="D24" s="511"/>
      <c r="E24" s="511"/>
    </row>
    <row r="25" spans="1:5" s="506" customFormat="1" ht="12.75">
      <c r="A25" s="512">
        <v>1</v>
      </c>
      <c r="B25" s="511" t="s">
        <v>737</v>
      </c>
      <c r="C25" s="513">
        <v>42147816</v>
      </c>
      <c r="D25" s="513">
        <v>46028674</v>
      </c>
      <c r="E25" s="514">
        <f aca="true" t="shared" si="1" ref="E25:E33">D25-C25</f>
        <v>3880858</v>
      </c>
    </row>
    <row r="26" spans="1:5" s="506" customFormat="1" ht="12.75">
      <c r="A26" s="512">
        <v>2</v>
      </c>
      <c r="B26" s="511" t="s">
        <v>716</v>
      </c>
      <c r="C26" s="513">
        <v>29440250</v>
      </c>
      <c r="D26" s="515">
        <v>32195042</v>
      </c>
      <c r="E26" s="514">
        <f t="shared" si="1"/>
        <v>2754792</v>
      </c>
    </row>
    <row r="27" spans="1:5" s="506" customFormat="1" ht="12.75">
      <c r="A27" s="512">
        <v>3</v>
      </c>
      <c r="B27" s="511" t="s">
        <v>862</v>
      </c>
      <c r="C27" s="513">
        <v>15839971</v>
      </c>
      <c r="D27" s="515">
        <v>18750755</v>
      </c>
      <c r="E27" s="514">
        <f t="shared" si="1"/>
        <v>2910784</v>
      </c>
    </row>
    <row r="28" spans="1:5" s="506" customFormat="1" ht="12.75">
      <c r="A28" s="512">
        <v>4</v>
      </c>
      <c r="B28" s="511" t="s">
        <v>229</v>
      </c>
      <c r="C28" s="513">
        <v>12096284</v>
      </c>
      <c r="D28" s="515">
        <v>14090292</v>
      </c>
      <c r="E28" s="514">
        <f t="shared" si="1"/>
        <v>1994008</v>
      </c>
    </row>
    <row r="29" spans="1:5" s="506" customFormat="1" ht="12.75">
      <c r="A29" s="512">
        <v>5</v>
      </c>
      <c r="B29" s="511" t="s">
        <v>829</v>
      </c>
      <c r="C29" s="513">
        <v>3743687</v>
      </c>
      <c r="D29" s="515">
        <v>4660463</v>
      </c>
      <c r="E29" s="514">
        <f t="shared" si="1"/>
        <v>916776</v>
      </c>
    </row>
    <row r="30" spans="1:5" s="506" customFormat="1" ht="12.75">
      <c r="A30" s="512">
        <v>6</v>
      </c>
      <c r="B30" s="511" t="s">
        <v>533</v>
      </c>
      <c r="C30" s="513">
        <v>253856</v>
      </c>
      <c r="D30" s="515">
        <v>338852</v>
      </c>
      <c r="E30" s="514">
        <f t="shared" si="1"/>
        <v>84996</v>
      </c>
    </row>
    <row r="31" spans="1:5" s="506" customFormat="1" ht="12.75">
      <c r="A31" s="512">
        <v>7</v>
      </c>
      <c r="B31" s="511" t="s">
        <v>844</v>
      </c>
      <c r="C31" s="514">
        <v>3246750</v>
      </c>
      <c r="D31" s="518">
        <v>3638115</v>
      </c>
      <c r="E31" s="514">
        <f t="shared" si="1"/>
        <v>391365</v>
      </c>
    </row>
    <row r="32" spans="1:5" s="506" customFormat="1" ht="12.75">
      <c r="A32" s="512"/>
      <c r="B32" s="516" t="s">
        <v>865</v>
      </c>
      <c r="C32" s="517">
        <f>SUM(C26+C27+C30)</f>
        <v>45534077</v>
      </c>
      <c r="D32" s="517">
        <f>SUM(D26+D27+D30)</f>
        <v>51284649</v>
      </c>
      <c r="E32" s="517">
        <f t="shared" si="1"/>
        <v>5750572</v>
      </c>
    </row>
    <row r="33" spans="1:5" s="506" customFormat="1" ht="12.75">
      <c r="A33" s="512"/>
      <c r="B33" s="516" t="s">
        <v>809</v>
      </c>
      <c r="C33" s="517">
        <f>SUM(C25+C32)</f>
        <v>87681893</v>
      </c>
      <c r="D33" s="517">
        <f>SUM(D25+D32)</f>
        <v>97313323</v>
      </c>
      <c r="E33" s="517">
        <f t="shared" si="1"/>
        <v>9631430</v>
      </c>
    </row>
    <row r="34" spans="1:5" s="506" customFormat="1" ht="12.75">
      <c r="A34" s="512"/>
      <c r="B34" s="511"/>
      <c r="C34" s="511"/>
      <c r="D34" s="511"/>
      <c r="E34" s="511"/>
    </row>
    <row r="35" spans="1:5" s="506" customFormat="1" ht="12.75">
      <c r="A35" s="508" t="s">
        <v>151</v>
      </c>
      <c r="B35" s="509" t="s">
        <v>734</v>
      </c>
      <c r="C35" s="514"/>
      <c r="D35" s="514"/>
      <c r="E35" s="511"/>
    </row>
    <row r="36" spans="1:5" s="506" customFormat="1" ht="12.75">
      <c r="A36" s="512">
        <v>1</v>
      </c>
      <c r="B36" s="511" t="s">
        <v>866</v>
      </c>
      <c r="C36" s="514">
        <f aca="true" t="shared" si="2" ref="C36:D42">C14+C25</f>
        <v>60868342</v>
      </c>
      <c r="D36" s="514">
        <f t="shared" si="2"/>
        <v>66299978</v>
      </c>
      <c r="E36" s="514">
        <f aca="true" t="shared" si="3" ref="E36:E44">D36-C36</f>
        <v>5431636</v>
      </c>
    </row>
    <row r="37" spans="1:5" s="506" customFormat="1" ht="12.75">
      <c r="A37" s="512">
        <v>2</v>
      </c>
      <c r="B37" s="511" t="s">
        <v>867</v>
      </c>
      <c r="C37" s="514">
        <f t="shared" si="2"/>
        <v>69780126</v>
      </c>
      <c r="D37" s="514">
        <f t="shared" si="2"/>
        <v>81502019</v>
      </c>
      <c r="E37" s="514">
        <f t="shared" si="3"/>
        <v>11721893</v>
      </c>
    </row>
    <row r="38" spans="1:5" s="506" customFormat="1" ht="12.75">
      <c r="A38" s="512">
        <v>3</v>
      </c>
      <c r="B38" s="511" t="s">
        <v>868</v>
      </c>
      <c r="C38" s="514">
        <f t="shared" si="2"/>
        <v>24672128</v>
      </c>
      <c r="D38" s="514">
        <f t="shared" si="2"/>
        <v>27890025</v>
      </c>
      <c r="E38" s="514">
        <f t="shared" si="3"/>
        <v>3217897</v>
      </c>
    </row>
    <row r="39" spans="1:5" s="506" customFormat="1" ht="12.75">
      <c r="A39" s="512">
        <v>4</v>
      </c>
      <c r="B39" s="511" t="s">
        <v>869</v>
      </c>
      <c r="C39" s="514">
        <f t="shared" si="2"/>
        <v>18694043</v>
      </c>
      <c r="D39" s="514">
        <f t="shared" si="2"/>
        <v>20003148</v>
      </c>
      <c r="E39" s="514">
        <f t="shared" si="3"/>
        <v>1309105</v>
      </c>
    </row>
    <row r="40" spans="1:5" s="506" customFormat="1" ht="12.75">
      <c r="A40" s="512">
        <v>5</v>
      </c>
      <c r="B40" s="511" t="s">
        <v>870</v>
      </c>
      <c r="C40" s="514">
        <f t="shared" si="2"/>
        <v>5978085</v>
      </c>
      <c r="D40" s="514">
        <f t="shared" si="2"/>
        <v>7886877</v>
      </c>
      <c r="E40" s="514">
        <f t="shared" si="3"/>
        <v>1908792</v>
      </c>
    </row>
    <row r="41" spans="1:5" s="506" customFormat="1" ht="12.75">
      <c r="A41" s="512">
        <v>6</v>
      </c>
      <c r="B41" s="511" t="s">
        <v>871</v>
      </c>
      <c r="C41" s="514">
        <f t="shared" si="2"/>
        <v>402293</v>
      </c>
      <c r="D41" s="514">
        <f t="shared" si="2"/>
        <v>699783</v>
      </c>
      <c r="E41" s="514">
        <f t="shared" si="3"/>
        <v>297490</v>
      </c>
    </row>
    <row r="42" spans="1:5" s="506" customFormat="1" ht="12.75">
      <c r="A42" s="512">
        <v>7</v>
      </c>
      <c r="B42" s="511" t="s">
        <v>872</v>
      </c>
      <c r="C42" s="514">
        <f t="shared" si="2"/>
        <v>4800078</v>
      </c>
      <c r="D42" s="514">
        <f t="shared" si="2"/>
        <v>4808316</v>
      </c>
      <c r="E42" s="514">
        <f t="shared" si="3"/>
        <v>8238</v>
      </c>
    </row>
    <row r="43" spans="1:5" s="506" customFormat="1" ht="12.75">
      <c r="A43" s="512"/>
      <c r="B43" s="516" t="s">
        <v>873</v>
      </c>
      <c r="C43" s="517">
        <f>SUM(C37+C38+C41)</f>
        <v>94854547</v>
      </c>
      <c r="D43" s="517">
        <f>SUM(D37+D38+D41)</f>
        <v>110091827</v>
      </c>
      <c r="E43" s="517">
        <f t="shared" si="3"/>
        <v>15237280</v>
      </c>
    </row>
    <row r="44" spans="1:5" s="506" customFormat="1" ht="12.75">
      <c r="A44" s="512"/>
      <c r="B44" s="516" t="s">
        <v>811</v>
      </c>
      <c r="C44" s="517">
        <f>SUM(C36+C43)</f>
        <v>155722889</v>
      </c>
      <c r="D44" s="517">
        <f>SUM(D36+D43)</f>
        <v>176391805</v>
      </c>
      <c r="E44" s="517">
        <f t="shared" si="3"/>
        <v>20668916</v>
      </c>
    </row>
    <row r="45" spans="1:5" s="506" customFormat="1" ht="12.75">
      <c r="A45" s="512"/>
      <c r="B45" s="511"/>
      <c r="C45" s="514"/>
      <c r="D45" s="515"/>
      <c r="E45" s="511"/>
    </row>
    <row r="46" spans="1:5" s="506" customFormat="1" ht="12.75">
      <c r="A46" s="508" t="s">
        <v>436</v>
      </c>
      <c r="B46" s="509" t="s">
        <v>874</v>
      </c>
      <c r="C46" s="499"/>
      <c r="D46" s="515"/>
      <c r="E46" s="511"/>
    </row>
    <row r="47" spans="1:5" s="506" customFormat="1" ht="12" customHeight="1">
      <c r="A47" s="512">
        <v>1</v>
      </c>
      <c r="B47" s="511" t="s">
        <v>737</v>
      </c>
      <c r="C47" s="513">
        <v>11840634</v>
      </c>
      <c r="D47" s="513">
        <v>13484961</v>
      </c>
      <c r="E47" s="514">
        <f aca="true" t="shared" si="4" ref="E47:E55">D47-C47</f>
        <v>1644327</v>
      </c>
    </row>
    <row r="48" spans="1:5" s="506" customFormat="1" ht="12.75">
      <c r="A48" s="512">
        <v>2</v>
      </c>
      <c r="B48" s="511" t="s">
        <v>716</v>
      </c>
      <c r="C48" s="513">
        <v>28157514</v>
      </c>
      <c r="D48" s="515">
        <v>32935779</v>
      </c>
      <c r="E48" s="514">
        <f t="shared" si="4"/>
        <v>4778265</v>
      </c>
    </row>
    <row r="49" spans="1:5" s="506" customFormat="1" ht="12.75">
      <c r="A49" s="512">
        <v>3</v>
      </c>
      <c r="B49" s="511" t="s">
        <v>862</v>
      </c>
      <c r="C49" s="513">
        <v>3821340</v>
      </c>
      <c r="D49" s="515">
        <v>3851163</v>
      </c>
      <c r="E49" s="514">
        <f t="shared" si="4"/>
        <v>29823</v>
      </c>
    </row>
    <row r="50" spans="1:5" s="506" customFormat="1" ht="12.75">
      <c r="A50" s="512">
        <v>4</v>
      </c>
      <c r="B50" s="511" t="s">
        <v>229</v>
      </c>
      <c r="C50" s="513">
        <v>3149597</v>
      </c>
      <c r="D50" s="515">
        <v>2971140</v>
      </c>
      <c r="E50" s="514">
        <f t="shared" si="4"/>
        <v>-178457</v>
      </c>
    </row>
    <row r="51" spans="1:5" s="506" customFormat="1" ht="12.75">
      <c r="A51" s="512">
        <v>5</v>
      </c>
      <c r="B51" s="511" t="s">
        <v>829</v>
      </c>
      <c r="C51" s="513">
        <v>671743</v>
      </c>
      <c r="D51" s="515">
        <v>880023</v>
      </c>
      <c r="E51" s="514">
        <f t="shared" si="4"/>
        <v>208280</v>
      </c>
    </row>
    <row r="52" spans="1:5" s="506" customFormat="1" ht="12.75">
      <c r="A52" s="512">
        <v>6</v>
      </c>
      <c r="B52" s="511" t="s">
        <v>533</v>
      </c>
      <c r="C52" s="513">
        <v>97732</v>
      </c>
      <c r="D52" s="515">
        <v>167102</v>
      </c>
      <c r="E52" s="514">
        <f t="shared" si="4"/>
        <v>69370</v>
      </c>
    </row>
    <row r="53" spans="1:5" s="506" customFormat="1" ht="12.75">
      <c r="A53" s="512">
        <v>7</v>
      </c>
      <c r="B53" s="511" t="s">
        <v>844</v>
      </c>
      <c r="C53" s="513">
        <v>286382</v>
      </c>
      <c r="D53" s="515">
        <v>311253</v>
      </c>
      <c r="E53" s="514">
        <f t="shared" si="4"/>
        <v>24871</v>
      </c>
    </row>
    <row r="54" spans="1:5" s="506" customFormat="1" ht="12.75">
      <c r="A54" s="512"/>
      <c r="B54" s="516" t="s">
        <v>875</v>
      </c>
      <c r="C54" s="517">
        <f>SUM(C48+C49+C52)</f>
        <v>32076586</v>
      </c>
      <c r="D54" s="517">
        <f>SUM(D48+D49+D52)</f>
        <v>36954044</v>
      </c>
      <c r="E54" s="517">
        <f t="shared" si="4"/>
        <v>4877458</v>
      </c>
    </row>
    <row r="55" spans="1:5" s="506" customFormat="1" ht="12.75">
      <c r="A55" s="512"/>
      <c r="B55" s="516" t="s">
        <v>804</v>
      </c>
      <c r="C55" s="517">
        <f>SUM(C47+C54)</f>
        <v>43917220</v>
      </c>
      <c r="D55" s="517">
        <f>SUM(D47+D54)</f>
        <v>50439005</v>
      </c>
      <c r="E55" s="517">
        <f t="shared" si="4"/>
        <v>6521785</v>
      </c>
    </row>
    <row r="56" spans="1:5" s="506" customFormat="1" ht="12.75">
      <c r="A56" s="512"/>
      <c r="B56" s="511"/>
      <c r="C56" s="511"/>
      <c r="D56" s="515"/>
      <c r="E56" s="511"/>
    </row>
    <row r="57" spans="1:5" s="506" customFormat="1" ht="12.75">
      <c r="A57" s="508" t="s">
        <v>457</v>
      </c>
      <c r="B57" s="509" t="s">
        <v>876</v>
      </c>
      <c r="C57" s="499"/>
      <c r="D57" s="515"/>
      <c r="E57" s="511"/>
    </row>
    <row r="58" spans="1:5" s="506" customFormat="1" ht="12.75">
      <c r="A58" s="512">
        <v>1</v>
      </c>
      <c r="B58" s="511" t="s">
        <v>737</v>
      </c>
      <c r="C58" s="513">
        <v>21685982</v>
      </c>
      <c r="D58" s="513">
        <v>22744150</v>
      </c>
      <c r="E58" s="514">
        <f aca="true" t="shared" si="5" ref="E58:E66">D58-C58</f>
        <v>1058168</v>
      </c>
    </row>
    <row r="59" spans="1:5" s="506" customFormat="1" ht="12.75">
      <c r="A59" s="512">
        <v>2</v>
      </c>
      <c r="B59" s="511" t="s">
        <v>716</v>
      </c>
      <c r="C59" s="513">
        <v>13199871</v>
      </c>
      <c r="D59" s="515">
        <v>13488536</v>
      </c>
      <c r="E59" s="514">
        <f t="shared" si="5"/>
        <v>288665</v>
      </c>
    </row>
    <row r="60" spans="1:5" s="506" customFormat="1" ht="12.75">
      <c r="A60" s="512">
        <v>3</v>
      </c>
      <c r="B60" s="511" t="s">
        <v>862</v>
      </c>
      <c r="C60" s="513">
        <f>C61+C62</f>
        <v>4885157</v>
      </c>
      <c r="D60" s="515">
        <f>D61+D62</f>
        <v>5963941</v>
      </c>
      <c r="E60" s="514">
        <f t="shared" si="5"/>
        <v>1078784</v>
      </c>
    </row>
    <row r="61" spans="1:5" s="506" customFormat="1" ht="12.75">
      <c r="A61" s="512">
        <v>4</v>
      </c>
      <c r="B61" s="511" t="s">
        <v>229</v>
      </c>
      <c r="C61" s="513">
        <v>4033793</v>
      </c>
      <c r="D61" s="515">
        <v>4924548</v>
      </c>
      <c r="E61" s="514">
        <f t="shared" si="5"/>
        <v>890755</v>
      </c>
    </row>
    <row r="62" spans="1:5" s="506" customFormat="1" ht="12.75">
      <c r="A62" s="512">
        <v>5</v>
      </c>
      <c r="B62" s="511" t="s">
        <v>829</v>
      </c>
      <c r="C62" s="513">
        <v>851364</v>
      </c>
      <c r="D62" s="515">
        <v>1039393</v>
      </c>
      <c r="E62" s="514">
        <f t="shared" si="5"/>
        <v>188029</v>
      </c>
    </row>
    <row r="63" spans="1:5" s="506" customFormat="1" ht="12.75">
      <c r="A63" s="512">
        <v>6</v>
      </c>
      <c r="B63" s="511" t="s">
        <v>533</v>
      </c>
      <c r="C63" s="513">
        <v>147649</v>
      </c>
      <c r="D63" s="515">
        <v>153650</v>
      </c>
      <c r="E63" s="514">
        <f t="shared" si="5"/>
        <v>6001</v>
      </c>
    </row>
    <row r="64" spans="1:5" s="506" customFormat="1" ht="12.75">
      <c r="A64" s="512">
        <v>7</v>
      </c>
      <c r="B64" s="511" t="s">
        <v>844</v>
      </c>
      <c r="C64" s="513">
        <v>598592</v>
      </c>
      <c r="D64" s="515">
        <v>967674</v>
      </c>
      <c r="E64" s="514">
        <f t="shared" si="5"/>
        <v>369082</v>
      </c>
    </row>
    <row r="65" spans="1:5" s="506" customFormat="1" ht="12.75">
      <c r="A65" s="512"/>
      <c r="B65" s="516" t="s">
        <v>877</v>
      </c>
      <c r="C65" s="517">
        <f>SUM(C59+C60+C63)</f>
        <v>18232677</v>
      </c>
      <c r="D65" s="517">
        <f>SUM(D59+D60+D63)</f>
        <v>19606127</v>
      </c>
      <c r="E65" s="517">
        <f t="shared" si="5"/>
        <v>1373450</v>
      </c>
    </row>
    <row r="66" spans="1:5" s="506" customFormat="1" ht="12.75">
      <c r="A66" s="512"/>
      <c r="B66" s="516" t="s">
        <v>810</v>
      </c>
      <c r="C66" s="517">
        <f>SUM(C58+C65)</f>
        <v>39918659</v>
      </c>
      <c r="D66" s="517">
        <f>SUM(D58+D65)</f>
        <v>42350277</v>
      </c>
      <c r="E66" s="517">
        <f t="shared" si="5"/>
        <v>2431618</v>
      </c>
    </row>
    <row r="67" spans="1:5" ht="11.25" customHeight="1">
      <c r="A67" s="502"/>
      <c r="B67" s="519"/>
      <c r="C67" s="520"/>
      <c r="D67" s="520"/>
      <c r="E67" s="520"/>
    </row>
    <row r="68" spans="1:5" s="506" customFormat="1" ht="12.75">
      <c r="A68" s="508" t="s">
        <v>469</v>
      </c>
      <c r="B68" s="521" t="s">
        <v>735</v>
      </c>
      <c r="C68" s="511"/>
      <c r="D68" s="511"/>
      <c r="E68" s="511"/>
    </row>
    <row r="69" spans="1:5" s="506" customFormat="1" ht="12.75">
      <c r="A69" s="512">
        <v>1</v>
      </c>
      <c r="B69" s="511" t="s">
        <v>866</v>
      </c>
      <c r="C69" s="514">
        <f aca="true" t="shared" si="6" ref="C69:D75">C47+C58</f>
        <v>33526616</v>
      </c>
      <c r="D69" s="514">
        <f t="shared" si="6"/>
        <v>36229111</v>
      </c>
      <c r="E69" s="514">
        <f aca="true" t="shared" si="7" ref="E69:E77">D69-C69</f>
        <v>2702495</v>
      </c>
    </row>
    <row r="70" spans="1:5" s="506" customFormat="1" ht="12.75">
      <c r="A70" s="512">
        <v>2</v>
      </c>
      <c r="B70" s="511" t="s">
        <v>867</v>
      </c>
      <c r="C70" s="514">
        <f t="shared" si="6"/>
        <v>41357385</v>
      </c>
      <c r="D70" s="514">
        <f t="shared" si="6"/>
        <v>46424315</v>
      </c>
      <c r="E70" s="514">
        <f t="shared" si="7"/>
        <v>5066930</v>
      </c>
    </row>
    <row r="71" spans="1:5" s="506" customFormat="1" ht="12.75">
      <c r="A71" s="512">
        <v>3</v>
      </c>
      <c r="B71" s="511" t="s">
        <v>868</v>
      </c>
      <c r="C71" s="514">
        <f t="shared" si="6"/>
        <v>8706497</v>
      </c>
      <c r="D71" s="514">
        <f t="shared" si="6"/>
        <v>9815104</v>
      </c>
      <c r="E71" s="514">
        <f t="shared" si="7"/>
        <v>1108607</v>
      </c>
    </row>
    <row r="72" spans="1:5" s="506" customFormat="1" ht="12.75">
      <c r="A72" s="512">
        <v>4</v>
      </c>
      <c r="B72" s="511" t="s">
        <v>869</v>
      </c>
      <c r="C72" s="514">
        <f t="shared" si="6"/>
        <v>7183390</v>
      </c>
      <c r="D72" s="514">
        <f t="shared" si="6"/>
        <v>7895688</v>
      </c>
      <c r="E72" s="514">
        <f t="shared" si="7"/>
        <v>712298</v>
      </c>
    </row>
    <row r="73" spans="1:5" s="506" customFormat="1" ht="12.75">
      <c r="A73" s="512">
        <v>5</v>
      </c>
      <c r="B73" s="511" t="s">
        <v>870</v>
      </c>
      <c r="C73" s="514">
        <f t="shared" si="6"/>
        <v>1523107</v>
      </c>
      <c r="D73" s="514">
        <f t="shared" si="6"/>
        <v>1919416</v>
      </c>
      <c r="E73" s="514">
        <f t="shared" si="7"/>
        <v>396309</v>
      </c>
    </row>
    <row r="74" spans="1:5" s="506" customFormat="1" ht="12.75">
      <c r="A74" s="512">
        <v>6</v>
      </c>
      <c r="B74" s="511" t="s">
        <v>871</v>
      </c>
      <c r="C74" s="514">
        <f t="shared" si="6"/>
        <v>245381</v>
      </c>
      <c r="D74" s="514">
        <f t="shared" si="6"/>
        <v>320752</v>
      </c>
      <c r="E74" s="514">
        <f t="shared" si="7"/>
        <v>75371</v>
      </c>
    </row>
    <row r="75" spans="1:5" s="506" customFormat="1" ht="12.75">
      <c r="A75" s="512">
        <v>7</v>
      </c>
      <c r="B75" s="511" t="s">
        <v>872</v>
      </c>
      <c r="C75" s="514">
        <f t="shared" si="6"/>
        <v>884974</v>
      </c>
      <c r="D75" s="514">
        <f t="shared" si="6"/>
        <v>1278927</v>
      </c>
      <c r="E75" s="514">
        <f t="shared" si="7"/>
        <v>393953</v>
      </c>
    </row>
    <row r="76" spans="1:5" s="506" customFormat="1" ht="12.75">
      <c r="A76" s="512"/>
      <c r="B76" s="516" t="s">
        <v>878</v>
      </c>
      <c r="C76" s="517">
        <f>SUM(C70+C71+C74)</f>
        <v>50309263</v>
      </c>
      <c r="D76" s="517">
        <f>SUM(D70+D71+D74)</f>
        <v>56560171</v>
      </c>
      <c r="E76" s="517">
        <f t="shared" si="7"/>
        <v>6250908</v>
      </c>
    </row>
    <row r="77" spans="1:5" s="506" customFormat="1" ht="12.75">
      <c r="A77" s="512"/>
      <c r="B77" s="516" t="s">
        <v>812</v>
      </c>
      <c r="C77" s="517">
        <f>SUM(C69+C76)</f>
        <v>83835879</v>
      </c>
      <c r="D77" s="517">
        <f>SUM(D69+D76)</f>
        <v>92789282</v>
      </c>
      <c r="E77" s="517">
        <f t="shared" si="7"/>
        <v>8953403</v>
      </c>
    </row>
    <row r="78" spans="1:5" s="506" customFormat="1" ht="12.75">
      <c r="A78" s="505"/>
      <c r="B78" s="510"/>
      <c r="C78" s="491"/>
      <c r="D78" s="491"/>
      <c r="E78" s="511"/>
    </row>
    <row r="79" spans="1:5" s="506" customFormat="1" ht="15.75" customHeight="1">
      <c r="A79" s="500" t="s">
        <v>159</v>
      </c>
      <c r="B79" s="501" t="s">
        <v>879</v>
      </c>
      <c r="C79" s="340"/>
      <c r="D79" s="340"/>
      <c r="E79" s="511"/>
    </row>
    <row r="80" spans="1:5" s="506" customFormat="1" ht="12.75">
      <c r="A80" s="505"/>
      <c r="B80" s="510"/>
      <c r="C80" s="340"/>
      <c r="D80" s="340"/>
      <c r="E80" s="511"/>
    </row>
    <row r="81" spans="1:5" s="506" customFormat="1" ht="12.75">
      <c r="A81" s="508" t="s">
        <v>129</v>
      </c>
      <c r="B81" s="522" t="s">
        <v>880</v>
      </c>
      <c r="C81" s="510"/>
      <c r="D81" s="510"/>
      <c r="E81" s="511"/>
    </row>
    <row r="82" spans="1:5" s="506" customFormat="1" ht="12.75">
      <c r="A82" s="512"/>
      <c r="B82" s="511"/>
      <c r="C82" s="514"/>
      <c r="D82" s="514"/>
      <c r="E82" s="511"/>
    </row>
    <row r="83" spans="1:5" s="506" customFormat="1" ht="12.75">
      <c r="A83" s="512">
        <v>1</v>
      </c>
      <c r="B83" s="511" t="s">
        <v>737</v>
      </c>
      <c r="C83" s="523">
        <f aca="true" t="shared" si="8" ref="C83:D89">IF(C$44=0,0,C14/C$44)</f>
        <v>0.12021691942794614</v>
      </c>
      <c r="D83" s="523">
        <f t="shared" si="8"/>
        <v>0.11492202826542877</v>
      </c>
      <c r="E83" s="523">
        <f aca="true" t="shared" si="9" ref="E83:E91">D83-C83</f>
        <v>-0.005294891162517371</v>
      </c>
    </row>
    <row r="84" spans="1:5" s="506" customFormat="1" ht="12.75">
      <c r="A84" s="512">
        <v>2</v>
      </c>
      <c r="B84" s="511" t="s">
        <v>716</v>
      </c>
      <c r="C84" s="523">
        <f t="shared" si="8"/>
        <v>0.2590491112709834</v>
      </c>
      <c r="D84" s="523">
        <f t="shared" si="8"/>
        <v>0.27953099635212647</v>
      </c>
      <c r="E84" s="523">
        <f t="shared" si="9"/>
        <v>0.02048188508114307</v>
      </c>
    </row>
    <row r="85" spans="1:5" s="506" customFormat="1" ht="12.75">
      <c r="A85" s="512">
        <v>3</v>
      </c>
      <c r="B85" s="511" t="s">
        <v>862</v>
      </c>
      <c r="C85" s="523">
        <f t="shared" si="8"/>
        <v>0.05671714066388789</v>
      </c>
      <c r="D85" s="523">
        <f t="shared" si="8"/>
        <v>0.051812327675880405</v>
      </c>
      <c r="E85" s="523">
        <f t="shared" si="9"/>
        <v>-0.004904812988007483</v>
      </c>
    </row>
    <row r="86" spans="1:5" s="506" customFormat="1" ht="12.75">
      <c r="A86" s="512">
        <v>4</v>
      </c>
      <c r="B86" s="511" t="s">
        <v>229</v>
      </c>
      <c r="C86" s="523">
        <f t="shared" si="8"/>
        <v>0.042368588473849854</v>
      </c>
      <c r="D86" s="523">
        <f t="shared" si="8"/>
        <v>0.033521149125947204</v>
      </c>
      <c r="E86" s="523">
        <f t="shared" si="9"/>
        <v>-0.00884743934790265</v>
      </c>
    </row>
    <row r="87" spans="1:5" s="506" customFormat="1" ht="12.75">
      <c r="A87" s="512">
        <v>5</v>
      </c>
      <c r="B87" s="511" t="s">
        <v>829</v>
      </c>
      <c r="C87" s="523">
        <f t="shared" si="8"/>
        <v>0.014348552190038036</v>
      </c>
      <c r="D87" s="523">
        <f t="shared" si="8"/>
        <v>0.0182911785499332</v>
      </c>
      <c r="E87" s="523">
        <f t="shared" si="9"/>
        <v>0.003942626359895165</v>
      </c>
    </row>
    <row r="88" spans="1:5" s="506" customFormat="1" ht="12.75">
      <c r="A88" s="512">
        <v>6</v>
      </c>
      <c r="B88" s="511" t="s">
        <v>533</v>
      </c>
      <c r="C88" s="523">
        <f t="shared" si="8"/>
        <v>0.0009532124721883371</v>
      </c>
      <c r="D88" s="523">
        <f t="shared" si="8"/>
        <v>0.0020461891639467038</v>
      </c>
      <c r="E88" s="523">
        <f t="shared" si="9"/>
        <v>0.0010929766917583666</v>
      </c>
    </row>
    <row r="89" spans="1:5" s="506" customFormat="1" ht="12.75">
      <c r="A89" s="512">
        <v>7</v>
      </c>
      <c r="B89" s="511" t="s">
        <v>844</v>
      </c>
      <c r="C89" s="523">
        <f t="shared" si="8"/>
        <v>0.00997494979687925</v>
      </c>
      <c r="D89" s="523">
        <f t="shared" si="8"/>
        <v>0.006634100716867204</v>
      </c>
      <c r="E89" s="523">
        <f t="shared" si="9"/>
        <v>-0.0033408490800120464</v>
      </c>
    </row>
    <row r="90" spans="1:5" s="506" customFormat="1" ht="12.75">
      <c r="A90" s="512"/>
      <c r="B90" s="516" t="s">
        <v>881</v>
      </c>
      <c r="C90" s="524">
        <f>SUM(C84+C85+C88)</f>
        <v>0.3167194644070596</v>
      </c>
      <c r="D90" s="524">
        <f>SUM(D84+D85+D88)</f>
        <v>0.3333895131919536</v>
      </c>
      <c r="E90" s="525">
        <f t="shared" si="9"/>
        <v>0.016670048784893976</v>
      </c>
    </row>
    <row r="91" spans="1:5" s="506" customFormat="1" ht="12.75">
      <c r="A91" s="512"/>
      <c r="B91" s="516" t="s">
        <v>882</v>
      </c>
      <c r="C91" s="524">
        <f>SUM(C83+C90)</f>
        <v>0.43693638383500577</v>
      </c>
      <c r="D91" s="524">
        <f>SUM(D83+D90)</f>
        <v>0.4483115414573824</v>
      </c>
      <c r="E91" s="525">
        <f t="shared" si="9"/>
        <v>0.01137515762237662</v>
      </c>
    </row>
    <row r="92" spans="1:5" s="506" customFormat="1" ht="12.75">
      <c r="A92" s="512"/>
      <c r="B92" s="499"/>
      <c r="C92" s="526"/>
      <c r="D92" s="526"/>
      <c r="E92" s="516"/>
    </row>
    <row r="93" spans="1:5" s="506" customFormat="1" ht="12.75">
      <c r="A93" s="508" t="s">
        <v>141</v>
      </c>
      <c r="B93" s="522" t="s">
        <v>883</v>
      </c>
      <c r="C93" s="526"/>
      <c r="D93" s="526"/>
      <c r="E93" s="516"/>
    </row>
    <row r="94" spans="1:5" s="506" customFormat="1" ht="12.75">
      <c r="A94" s="512"/>
      <c r="B94" s="511"/>
      <c r="C94" s="526"/>
      <c r="D94" s="526"/>
      <c r="E94" s="516"/>
    </row>
    <row r="95" spans="1:5" s="506" customFormat="1" ht="12.75">
      <c r="A95" s="512">
        <v>1</v>
      </c>
      <c r="B95" s="511" t="s">
        <v>737</v>
      </c>
      <c r="C95" s="523">
        <f aca="true" t="shared" si="10" ref="C95:D101">IF(C$44=0,0,C25/C$44)</f>
        <v>0.27065909366734137</v>
      </c>
      <c r="D95" s="523">
        <f t="shared" si="10"/>
        <v>0.2609456488072107</v>
      </c>
      <c r="E95" s="523">
        <f aca="true" t="shared" si="11" ref="E95:E103">D95-C95</f>
        <v>-0.009713444860130649</v>
      </c>
    </row>
    <row r="96" spans="1:5" s="506" customFormat="1" ht="12.75">
      <c r="A96" s="512">
        <v>2</v>
      </c>
      <c r="B96" s="511" t="s">
        <v>716</v>
      </c>
      <c r="C96" s="523">
        <f t="shared" si="10"/>
        <v>0.18905538029158964</v>
      </c>
      <c r="D96" s="523">
        <f t="shared" si="10"/>
        <v>0.1825200552826136</v>
      </c>
      <c r="E96" s="523">
        <f t="shared" si="11"/>
        <v>-0.006535325008976023</v>
      </c>
    </row>
    <row r="97" spans="1:5" s="506" customFormat="1" ht="12.75">
      <c r="A97" s="512">
        <v>3</v>
      </c>
      <c r="B97" s="511" t="s">
        <v>862</v>
      </c>
      <c r="C97" s="523">
        <f t="shared" si="10"/>
        <v>0.10171896438422742</v>
      </c>
      <c r="D97" s="523">
        <f t="shared" si="10"/>
        <v>0.10630173550296172</v>
      </c>
      <c r="E97" s="523">
        <f t="shared" si="11"/>
        <v>0.0045827711187342995</v>
      </c>
    </row>
    <row r="98" spans="1:5" s="506" customFormat="1" ht="12.75">
      <c r="A98" s="512">
        <v>4</v>
      </c>
      <c r="B98" s="511" t="s">
        <v>229</v>
      </c>
      <c r="C98" s="523">
        <f t="shared" si="10"/>
        <v>0.07767826603833429</v>
      </c>
      <c r="D98" s="523">
        <f t="shared" si="10"/>
        <v>0.07988064978415522</v>
      </c>
      <c r="E98" s="523">
        <f t="shared" si="11"/>
        <v>0.002202383745820935</v>
      </c>
    </row>
    <row r="99" spans="1:5" s="506" customFormat="1" ht="12.75">
      <c r="A99" s="512">
        <v>5</v>
      </c>
      <c r="B99" s="511" t="s">
        <v>829</v>
      </c>
      <c r="C99" s="523">
        <f t="shared" si="10"/>
        <v>0.024040698345893133</v>
      </c>
      <c r="D99" s="523">
        <f t="shared" si="10"/>
        <v>0.026421085718806494</v>
      </c>
      <c r="E99" s="523">
        <f t="shared" si="11"/>
        <v>0.002380387372913361</v>
      </c>
    </row>
    <row r="100" spans="1:5" s="506" customFormat="1" ht="12.75">
      <c r="A100" s="512">
        <v>6</v>
      </c>
      <c r="B100" s="511" t="s">
        <v>533</v>
      </c>
      <c r="C100" s="523">
        <f t="shared" si="10"/>
        <v>0.0016301778218358125</v>
      </c>
      <c r="D100" s="523">
        <f t="shared" si="10"/>
        <v>0.001921018949831598</v>
      </c>
      <c r="E100" s="523">
        <f t="shared" si="11"/>
        <v>0.00029084112799578543</v>
      </c>
    </row>
    <row r="101" spans="1:5" s="506" customFormat="1" ht="12.75">
      <c r="A101" s="512">
        <v>7</v>
      </c>
      <c r="B101" s="511" t="s">
        <v>844</v>
      </c>
      <c r="C101" s="523">
        <f t="shared" si="10"/>
        <v>0.020849536126959473</v>
      </c>
      <c r="D101" s="523">
        <f t="shared" si="10"/>
        <v>0.020625192876732566</v>
      </c>
      <c r="E101" s="523">
        <f t="shared" si="11"/>
        <v>-0.00022434325022690702</v>
      </c>
    </row>
    <row r="102" spans="1:5" s="506" customFormat="1" ht="12.75">
      <c r="A102" s="512"/>
      <c r="B102" s="516" t="s">
        <v>884</v>
      </c>
      <c r="C102" s="524">
        <f>SUM(C96+C97+C100)</f>
        <v>0.2924045224976529</v>
      </c>
      <c r="D102" s="524">
        <f>SUM(D96+D97+D100)</f>
        <v>0.29074280973540695</v>
      </c>
      <c r="E102" s="525">
        <f t="shared" si="11"/>
        <v>-0.0016617127622459704</v>
      </c>
    </row>
    <row r="103" spans="1:5" s="506" customFormat="1" ht="12.75">
      <c r="A103" s="512"/>
      <c r="B103" s="516" t="s">
        <v>885</v>
      </c>
      <c r="C103" s="524">
        <f>SUM(C95+C102)</f>
        <v>0.5630636161649942</v>
      </c>
      <c r="D103" s="524">
        <f>SUM(D95+D102)</f>
        <v>0.5516884585426176</v>
      </c>
      <c r="E103" s="525">
        <f t="shared" si="11"/>
        <v>-0.01137515762237662</v>
      </c>
    </row>
    <row r="104" spans="1:5" s="506" customFormat="1" ht="12.75">
      <c r="A104" s="505"/>
      <c r="B104" s="527"/>
      <c r="C104" s="525"/>
      <c r="D104" s="523"/>
      <c r="E104" s="524"/>
    </row>
    <row r="105" spans="1:5" s="506" customFormat="1" ht="12.75">
      <c r="A105" s="505"/>
      <c r="B105" s="527" t="s">
        <v>886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ht="12.75">
      <c r="A106" s="508"/>
      <c r="B106" s="510"/>
      <c r="C106" s="528"/>
      <c r="D106" s="528"/>
      <c r="E106" s="524"/>
    </row>
    <row r="107" spans="1:5" s="506" customFormat="1" ht="12.75">
      <c r="A107" s="508" t="s">
        <v>151</v>
      </c>
      <c r="B107" s="522" t="s">
        <v>887</v>
      </c>
      <c r="C107" s="528"/>
      <c r="D107" s="528"/>
      <c r="E107" s="524"/>
    </row>
    <row r="108" spans="1:5" s="506" customFormat="1" ht="12.75">
      <c r="A108" s="508"/>
      <c r="B108" s="510"/>
      <c r="C108" s="528"/>
      <c r="D108" s="528"/>
      <c r="E108" s="524"/>
    </row>
    <row r="109" spans="1:5" s="506" customFormat="1" ht="12.75">
      <c r="A109" s="512">
        <v>1</v>
      </c>
      <c r="B109" s="511" t="s">
        <v>737</v>
      </c>
      <c r="C109" s="523">
        <f aca="true" t="shared" si="12" ref="C109:D115">IF(C$77=0,0,C47/C$77)</f>
        <v>0.1412358782568499</v>
      </c>
      <c r="D109" s="523">
        <f t="shared" si="12"/>
        <v>0.14532886459882297</v>
      </c>
      <c r="E109" s="523">
        <f aca="true" t="shared" si="13" ref="E109:E117">D109-C109</f>
        <v>0.004092986341973054</v>
      </c>
    </row>
    <row r="110" spans="1:5" s="506" customFormat="1" ht="12.75">
      <c r="A110" s="512">
        <v>2</v>
      </c>
      <c r="B110" s="511" t="s">
        <v>716</v>
      </c>
      <c r="C110" s="523">
        <f t="shared" si="12"/>
        <v>0.33586471968642445</v>
      </c>
      <c r="D110" s="523">
        <f t="shared" si="12"/>
        <v>0.3549524071109851</v>
      </c>
      <c r="E110" s="523">
        <f t="shared" si="13"/>
        <v>0.01908768742456063</v>
      </c>
    </row>
    <row r="111" spans="1:5" s="506" customFormat="1" ht="12.75">
      <c r="A111" s="512">
        <v>3</v>
      </c>
      <c r="B111" s="511" t="s">
        <v>862</v>
      </c>
      <c r="C111" s="523">
        <f t="shared" si="12"/>
        <v>0.04558120038319154</v>
      </c>
      <c r="D111" s="523">
        <f t="shared" si="12"/>
        <v>0.041504394871812886</v>
      </c>
      <c r="E111" s="523">
        <f t="shared" si="13"/>
        <v>-0.0040768055113786575</v>
      </c>
    </row>
    <row r="112" spans="1:5" s="506" customFormat="1" ht="12.75">
      <c r="A112" s="512">
        <v>4</v>
      </c>
      <c r="B112" s="511" t="s">
        <v>229</v>
      </c>
      <c r="C112" s="523">
        <f t="shared" si="12"/>
        <v>0.03756860472590739</v>
      </c>
      <c r="D112" s="523">
        <f t="shared" si="12"/>
        <v>0.03202029303341306</v>
      </c>
      <c r="E112" s="523">
        <f t="shared" si="13"/>
        <v>-0.005548311692494326</v>
      </c>
    </row>
    <row r="113" spans="1:5" s="506" customFormat="1" ht="12.75">
      <c r="A113" s="512">
        <v>5</v>
      </c>
      <c r="B113" s="511" t="s">
        <v>829</v>
      </c>
      <c r="C113" s="523">
        <f t="shared" si="12"/>
        <v>0.008012595657284157</v>
      </c>
      <c r="D113" s="523">
        <f t="shared" si="12"/>
        <v>0.009484101838399827</v>
      </c>
      <c r="E113" s="523">
        <f t="shared" si="13"/>
        <v>0.0014715061811156702</v>
      </c>
    </row>
    <row r="114" spans="1:5" s="506" customFormat="1" ht="12.75">
      <c r="A114" s="512">
        <v>6</v>
      </c>
      <c r="B114" s="511" t="s">
        <v>533</v>
      </c>
      <c r="C114" s="523">
        <f t="shared" si="12"/>
        <v>0.0011657538653587684</v>
      </c>
      <c r="D114" s="523">
        <f t="shared" si="12"/>
        <v>0.001800876096875068</v>
      </c>
      <c r="E114" s="523">
        <f t="shared" si="13"/>
        <v>0.0006351222315162995</v>
      </c>
    </row>
    <row r="115" spans="1:5" s="506" customFormat="1" ht="12.75">
      <c r="A115" s="512">
        <v>7</v>
      </c>
      <c r="B115" s="511" t="s">
        <v>844</v>
      </c>
      <c r="C115" s="523">
        <f t="shared" si="12"/>
        <v>0.0034159837460522122</v>
      </c>
      <c r="D115" s="523">
        <f t="shared" si="12"/>
        <v>0.0033544068160803312</v>
      </c>
      <c r="E115" s="523">
        <f t="shared" si="13"/>
        <v>-6.1576929971881E-05</v>
      </c>
    </row>
    <row r="116" spans="1:5" s="506" customFormat="1" ht="12.75">
      <c r="A116" s="512"/>
      <c r="B116" s="516" t="s">
        <v>881</v>
      </c>
      <c r="C116" s="524">
        <f>SUM(C110+C111+C114)</f>
        <v>0.38261167393497475</v>
      </c>
      <c r="D116" s="524">
        <f>SUM(D110+D111+D114)</f>
        <v>0.39825767807967305</v>
      </c>
      <c r="E116" s="525">
        <f t="shared" si="13"/>
        <v>0.0156460041446983</v>
      </c>
    </row>
    <row r="117" spans="1:5" s="506" customFormat="1" ht="12.75">
      <c r="A117" s="512"/>
      <c r="B117" s="516" t="s">
        <v>882</v>
      </c>
      <c r="C117" s="524">
        <f>SUM(C109+C116)</f>
        <v>0.5238475521918247</v>
      </c>
      <c r="D117" s="524">
        <f>SUM(D109+D116)</f>
        <v>0.543586542678496</v>
      </c>
      <c r="E117" s="525">
        <f t="shared" si="13"/>
        <v>0.01973899048667138</v>
      </c>
    </row>
    <row r="118" spans="1:5" s="506" customFormat="1" ht="12.75">
      <c r="A118" s="508"/>
      <c r="B118" s="510"/>
      <c r="C118" s="526"/>
      <c r="D118" s="526"/>
      <c r="E118" s="524"/>
    </row>
    <row r="119" spans="1:5" s="506" customFormat="1" ht="12.75">
      <c r="A119" s="508" t="s">
        <v>436</v>
      </c>
      <c r="B119" s="522" t="s">
        <v>888</v>
      </c>
      <c r="C119" s="526"/>
      <c r="D119" s="526"/>
      <c r="E119" s="524"/>
    </row>
    <row r="120" spans="1:5" s="506" customFormat="1" ht="12.75">
      <c r="A120" s="508"/>
      <c r="B120" s="510"/>
      <c r="C120" s="526"/>
      <c r="D120" s="526"/>
      <c r="E120" s="524"/>
    </row>
    <row r="121" spans="1:5" s="506" customFormat="1" ht="12.75">
      <c r="A121" s="512">
        <v>1</v>
      </c>
      <c r="B121" s="511" t="s">
        <v>737</v>
      </c>
      <c r="C121" s="523">
        <f aca="true" t="shared" si="14" ref="C121:D127">IF(C$77=0,0,C58/C$77)</f>
        <v>0.2586718509863778</v>
      </c>
      <c r="D121" s="523">
        <f t="shared" si="14"/>
        <v>0.24511613313270383</v>
      </c>
      <c r="E121" s="523">
        <f aca="true" t="shared" si="15" ref="E121:E129">D121-C121</f>
        <v>-0.01355571785367396</v>
      </c>
    </row>
    <row r="122" spans="1:5" s="506" customFormat="1" ht="12.75">
      <c r="A122" s="512">
        <v>2</v>
      </c>
      <c r="B122" s="511" t="s">
        <v>716</v>
      </c>
      <c r="C122" s="523">
        <f t="shared" si="14"/>
        <v>0.15744894855817043</v>
      </c>
      <c r="D122" s="523">
        <f t="shared" si="14"/>
        <v>0.14536739275555555</v>
      </c>
      <c r="E122" s="523">
        <f t="shared" si="15"/>
        <v>-0.012081555802614885</v>
      </c>
    </row>
    <row r="123" spans="1:5" s="506" customFormat="1" ht="12.75">
      <c r="A123" s="512">
        <v>3</v>
      </c>
      <c r="B123" s="511" t="s">
        <v>862</v>
      </c>
      <c r="C123" s="523">
        <f t="shared" si="14"/>
        <v>0.058270481066942714</v>
      </c>
      <c r="D123" s="523">
        <f t="shared" si="14"/>
        <v>0.06427402897675186</v>
      </c>
      <c r="E123" s="523">
        <f t="shared" si="15"/>
        <v>0.006003547909809143</v>
      </c>
    </row>
    <row r="124" spans="1:5" s="506" customFormat="1" ht="12.75">
      <c r="A124" s="512">
        <v>4</v>
      </c>
      <c r="B124" s="511" t="s">
        <v>229</v>
      </c>
      <c r="C124" s="523">
        <f t="shared" si="14"/>
        <v>0.048115354047877285</v>
      </c>
      <c r="D124" s="523">
        <f t="shared" si="14"/>
        <v>0.05307237963108714</v>
      </c>
      <c r="E124" s="523">
        <f t="shared" si="15"/>
        <v>0.004957025583209852</v>
      </c>
    </row>
    <row r="125" spans="1:5" s="506" customFormat="1" ht="12.75">
      <c r="A125" s="512">
        <v>5</v>
      </c>
      <c r="B125" s="511" t="s">
        <v>829</v>
      </c>
      <c r="C125" s="523">
        <f t="shared" si="14"/>
        <v>0.01015512701906543</v>
      </c>
      <c r="D125" s="523">
        <f t="shared" si="14"/>
        <v>0.011201649345664729</v>
      </c>
      <c r="E125" s="523">
        <f t="shared" si="15"/>
        <v>0.001046522326599299</v>
      </c>
    </row>
    <row r="126" spans="1:5" s="506" customFormat="1" ht="12.75">
      <c r="A126" s="512">
        <v>6</v>
      </c>
      <c r="B126" s="511" t="s">
        <v>533</v>
      </c>
      <c r="C126" s="523">
        <f t="shared" si="14"/>
        <v>0.0017611671966843694</v>
      </c>
      <c r="D126" s="523">
        <f t="shared" si="14"/>
        <v>0.001655902456492766</v>
      </c>
      <c r="E126" s="523">
        <f t="shared" si="15"/>
        <v>-0.00010526474019160342</v>
      </c>
    </row>
    <row r="127" spans="1:5" s="506" customFormat="1" ht="12.75">
      <c r="A127" s="512">
        <v>7</v>
      </c>
      <c r="B127" s="511" t="s">
        <v>844</v>
      </c>
      <c r="C127" s="523">
        <f t="shared" si="14"/>
        <v>0.007140045612213358</v>
      </c>
      <c r="D127" s="523">
        <f t="shared" si="14"/>
        <v>0.010428726024628578</v>
      </c>
      <c r="E127" s="523">
        <f t="shared" si="15"/>
        <v>0.0032886804124152196</v>
      </c>
    </row>
    <row r="128" spans="1:5" s="506" customFormat="1" ht="12.75">
      <c r="A128" s="512"/>
      <c r="B128" s="516" t="s">
        <v>884</v>
      </c>
      <c r="C128" s="524">
        <f>SUM(C122+C123+C126)</f>
        <v>0.21748059682179752</v>
      </c>
      <c r="D128" s="524">
        <f>SUM(D122+D123+D126)</f>
        <v>0.21129732418880018</v>
      </c>
      <c r="E128" s="525">
        <f t="shared" si="15"/>
        <v>-0.006183272632997339</v>
      </c>
    </row>
    <row r="129" spans="1:5" s="506" customFormat="1" ht="12.75">
      <c r="A129" s="512"/>
      <c r="B129" s="516" t="s">
        <v>885</v>
      </c>
      <c r="C129" s="524">
        <f>SUM(C121+C128)</f>
        <v>0.47615244780817534</v>
      </c>
      <c r="D129" s="524">
        <f>SUM(D121+D128)</f>
        <v>0.456413457321504</v>
      </c>
      <c r="E129" s="525">
        <f t="shared" si="15"/>
        <v>-0.019738990486671326</v>
      </c>
    </row>
    <row r="130" spans="1:5" s="506" customFormat="1" ht="12.75">
      <c r="A130" s="512"/>
      <c r="B130" s="516"/>
      <c r="C130" s="525"/>
      <c r="D130" s="523"/>
      <c r="E130" s="524"/>
    </row>
    <row r="131" spans="1:5" s="506" customFormat="1" ht="12.75">
      <c r="A131" s="512"/>
      <c r="B131" s="527" t="s">
        <v>889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ht="12.75">
      <c r="A132" s="512"/>
      <c r="B132" s="511"/>
      <c r="C132" s="514"/>
      <c r="D132" s="514"/>
      <c r="E132" s="511"/>
    </row>
    <row r="133" spans="1:5" s="506" customFormat="1" ht="15.75" customHeight="1">
      <c r="A133" s="529" t="s">
        <v>250</v>
      </c>
      <c r="B133" s="501" t="s">
        <v>890</v>
      </c>
      <c r="C133" s="491"/>
      <c r="D133" s="491"/>
      <c r="E133" s="516"/>
    </row>
    <row r="134" spans="1:5" s="506" customFormat="1" ht="12.75">
      <c r="A134" s="512"/>
      <c r="B134" s="511"/>
      <c r="C134" s="340"/>
      <c r="D134" s="340"/>
      <c r="E134" s="511"/>
    </row>
    <row r="135" spans="1:5" s="506" customFormat="1" ht="12.75">
      <c r="A135" s="508" t="s">
        <v>129</v>
      </c>
      <c r="B135" s="509" t="s">
        <v>891</v>
      </c>
      <c r="C135" s="340"/>
      <c r="D135" s="340"/>
      <c r="E135" s="511"/>
    </row>
    <row r="136" spans="1:5" s="506" customFormat="1" ht="12.75">
      <c r="A136" s="512"/>
      <c r="B136" s="511"/>
      <c r="C136" s="511"/>
      <c r="D136" s="511"/>
      <c r="E136" s="511"/>
    </row>
    <row r="137" spans="1:5" s="506" customFormat="1" ht="12.75">
      <c r="A137" s="512">
        <v>1</v>
      </c>
      <c r="B137" s="511" t="s">
        <v>737</v>
      </c>
      <c r="C137" s="530">
        <v>2016</v>
      </c>
      <c r="D137" s="530">
        <v>1896</v>
      </c>
      <c r="E137" s="531">
        <f aca="true" t="shared" si="16" ref="E137:E145">D137-C137</f>
        <v>-120</v>
      </c>
    </row>
    <row r="138" spans="1:5" s="506" customFormat="1" ht="12.75">
      <c r="A138" s="512">
        <v>2</v>
      </c>
      <c r="B138" s="511" t="s">
        <v>716</v>
      </c>
      <c r="C138" s="530">
        <v>3072</v>
      </c>
      <c r="D138" s="530">
        <v>3405</v>
      </c>
      <c r="E138" s="531">
        <f t="shared" si="16"/>
        <v>333</v>
      </c>
    </row>
    <row r="139" spans="1:5" s="506" customFormat="1" ht="12.75">
      <c r="A139" s="512">
        <v>3</v>
      </c>
      <c r="B139" s="511" t="s">
        <v>862</v>
      </c>
      <c r="C139" s="530">
        <f>C140+C141</f>
        <v>981</v>
      </c>
      <c r="D139" s="530">
        <f>D140+D141</f>
        <v>994</v>
      </c>
      <c r="E139" s="531">
        <f t="shared" si="16"/>
        <v>13</v>
      </c>
    </row>
    <row r="140" spans="1:5" s="506" customFormat="1" ht="12.75">
      <c r="A140" s="512">
        <v>4</v>
      </c>
      <c r="B140" s="511" t="s">
        <v>229</v>
      </c>
      <c r="C140" s="530">
        <v>771</v>
      </c>
      <c r="D140" s="530">
        <v>735</v>
      </c>
      <c r="E140" s="531">
        <f t="shared" si="16"/>
        <v>-36</v>
      </c>
    </row>
    <row r="141" spans="1:5" s="506" customFormat="1" ht="12.75">
      <c r="A141" s="512">
        <v>5</v>
      </c>
      <c r="B141" s="511" t="s">
        <v>829</v>
      </c>
      <c r="C141" s="530">
        <v>210</v>
      </c>
      <c r="D141" s="530">
        <v>259</v>
      </c>
      <c r="E141" s="531">
        <f t="shared" si="16"/>
        <v>49</v>
      </c>
    </row>
    <row r="142" spans="1:5" s="506" customFormat="1" ht="12.75">
      <c r="A142" s="512">
        <v>6</v>
      </c>
      <c r="B142" s="511" t="s">
        <v>533</v>
      </c>
      <c r="C142" s="530">
        <v>15</v>
      </c>
      <c r="D142" s="530">
        <v>25</v>
      </c>
      <c r="E142" s="531">
        <f t="shared" si="16"/>
        <v>10</v>
      </c>
    </row>
    <row r="143" spans="1:5" s="506" customFormat="1" ht="12.75">
      <c r="A143" s="512">
        <v>7</v>
      </c>
      <c r="B143" s="511" t="s">
        <v>844</v>
      </c>
      <c r="C143" s="530">
        <v>165</v>
      </c>
      <c r="D143" s="530">
        <v>123</v>
      </c>
      <c r="E143" s="531">
        <f t="shared" si="16"/>
        <v>-42</v>
      </c>
    </row>
    <row r="144" spans="1:5" s="506" customFormat="1" ht="12.75">
      <c r="A144" s="512"/>
      <c r="B144" s="516" t="s">
        <v>892</v>
      </c>
      <c r="C144" s="532">
        <f>SUM(C138+C139+C142)</f>
        <v>4068</v>
      </c>
      <c r="D144" s="532">
        <f>SUM(D138+D139+D142)</f>
        <v>4424</v>
      </c>
      <c r="E144" s="533">
        <f t="shared" si="16"/>
        <v>356</v>
      </c>
    </row>
    <row r="145" spans="1:5" s="506" customFormat="1" ht="12.75">
      <c r="A145" s="512"/>
      <c r="B145" s="516" t="s">
        <v>806</v>
      </c>
      <c r="C145" s="532">
        <f>SUM(C137+C144)</f>
        <v>6084</v>
      </c>
      <c r="D145" s="532">
        <f>SUM(D137+D144)</f>
        <v>6320</v>
      </c>
      <c r="E145" s="533">
        <f t="shared" si="16"/>
        <v>236</v>
      </c>
    </row>
    <row r="146" spans="1:5" s="506" customFormat="1" ht="12.75">
      <c r="A146" s="512"/>
      <c r="B146" s="511"/>
      <c r="C146" s="534"/>
      <c r="D146" s="534"/>
      <c r="E146" s="511"/>
    </row>
    <row r="147" spans="1:5" s="506" customFormat="1" ht="12.75">
      <c r="A147" s="508" t="s">
        <v>141</v>
      </c>
      <c r="B147" s="509" t="s">
        <v>254</v>
      </c>
      <c r="C147" s="534"/>
      <c r="D147" s="534"/>
      <c r="E147" s="511"/>
    </row>
    <row r="148" spans="1:5" s="506" customFormat="1" ht="12.75">
      <c r="A148" s="512"/>
      <c r="B148" s="511"/>
      <c r="C148" s="534"/>
      <c r="D148" s="534"/>
      <c r="E148" s="511"/>
    </row>
    <row r="149" spans="1:5" s="506" customFormat="1" ht="12.75">
      <c r="A149" s="512">
        <v>1</v>
      </c>
      <c r="B149" s="511" t="s">
        <v>737</v>
      </c>
      <c r="C149" s="534">
        <v>7207</v>
      </c>
      <c r="D149" s="534">
        <v>6787</v>
      </c>
      <c r="E149" s="531">
        <f aca="true" t="shared" si="17" ref="E149:E157">D149-C149</f>
        <v>-420</v>
      </c>
    </row>
    <row r="150" spans="1:5" s="506" customFormat="1" ht="12.75">
      <c r="A150" s="512">
        <v>2</v>
      </c>
      <c r="B150" s="511" t="s">
        <v>716</v>
      </c>
      <c r="C150" s="534">
        <v>15320</v>
      </c>
      <c r="D150" s="534">
        <v>17327</v>
      </c>
      <c r="E150" s="531">
        <f t="shared" si="17"/>
        <v>2007</v>
      </c>
    </row>
    <row r="151" spans="1:5" s="506" customFormat="1" ht="12.75">
      <c r="A151" s="512">
        <v>3</v>
      </c>
      <c r="B151" s="511" t="s">
        <v>862</v>
      </c>
      <c r="C151" s="534">
        <f>C152+C153</f>
        <v>4507</v>
      </c>
      <c r="D151" s="534">
        <f>D152+D153</f>
        <v>4334</v>
      </c>
      <c r="E151" s="531">
        <f t="shared" si="17"/>
        <v>-173</v>
      </c>
    </row>
    <row r="152" spans="1:5" s="506" customFormat="1" ht="12.75">
      <c r="A152" s="512">
        <v>4</v>
      </c>
      <c r="B152" s="511" t="s">
        <v>229</v>
      </c>
      <c r="C152" s="534">
        <v>3379</v>
      </c>
      <c r="D152" s="534">
        <v>2800</v>
      </c>
      <c r="E152" s="531">
        <f t="shared" si="17"/>
        <v>-579</v>
      </c>
    </row>
    <row r="153" spans="1:5" s="506" customFormat="1" ht="12.75">
      <c r="A153" s="512">
        <v>5</v>
      </c>
      <c r="B153" s="511" t="s">
        <v>829</v>
      </c>
      <c r="C153" s="535">
        <v>1128</v>
      </c>
      <c r="D153" s="534">
        <v>1534</v>
      </c>
      <c r="E153" s="531">
        <f t="shared" si="17"/>
        <v>406</v>
      </c>
    </row>
    <row r="154" spans="1:5" s="506" customFormat="1" ht="12.75">
      <c r="A154" s="512">
        <v>6</v>
      </c>
      <c r="B154" s="511" t="s">
        <v>533</v>
      </c>
      <c r="C154" s="534">
        <v>51</v>
      </c>
      <c r="D154" s="534">
        <v>133</v>
      </c>
      <c r="E154" s="531">
        <f t="shared" si="17"/>
        <v>82</v>
      </c>
    </row>
    <row r="155" spans="1:5" s="506" customFormat="1" ht="12.75">
      <c r="A155" s="512">
        <v>7</v>
      </c>
      <c r="B155" s="511" t="s">
        <v>844</v>
      </c>
      <c r="C155" s="534">
        <v>773</v>
      </c>
      <c r="D155" s="534">
        <v>576</v>
      </c>
      <c r="E155" s="531">
        <f t="shared" si="17"/>
        <v>-197</v>
      </c>
    </row>
    <row r="156" spans="1:5" s="506" customFormat="1" ht="12.75">
      <c r="A156" s="512"/>
      <c r="B156" s="516" t="s">
        <v>893</v>
      </c>
      <c r="C156" s="532">
        <f>SUM(C150+C151+C154)</f>
        <v>19878</v>
      </c>
      <c r="D156" s="532">
        <f>SUM(D150+D151+D154)</f>
        <v>21794</v>
      </c>
      <c r="E156" s="533">
        <f t="shared" si="17"/>
        <v>1916</v>
      </c>
    </row>
    <row r="157" spans="1:5" s="506" customFormat="1" ht="12.75">
      <c r="A157" s="512"/>
      <c r="B157" s="516" t="s">
        <v>894</v>
      </c>
      <c r="C157" s="532">
        <f>SUM(C149+C156)</f>
        <v>27085</v>
      </c>
      <c r="D157" s="532">
        <f>SUM(D149+D156)</f>
        <v>28581</v>
      </c>
      <c r="E157" s="533">
        <f t="shared" si="17"/>
        <v>1496</v>
      </c>
    </row>
    <row r="158" spans="1:5" s="506" customFormat="1" ht="12.75">
      <c r="A158" s="512"/>
      <c r="B158" s="511"/>
      <c r="C158" s="534"/>
      <c r="D158" s="534"/>
      <c r="E158" s="511"/>
    </row>
    <row r="159" spans="1:5" s="506" customFormat="1" ht="12.75">
      <c r="A159" s="508" t="s">
        <v>151</v>
      </c>
      <c r="B159" s="509" t="s">
        <v>895</v>
      </c>
      <c r="C159" s="534"/>
      <c r="D159" s="534"/>
      <c r="E159" s="511"/>
    </row>
    <row r="160" spans="1:5" s="506" customFormat="1" ht="12.75">
      <c r="A160" s="512"/>
      <c r="B160" s="511"/>
      <c r="C160" s="534"/>
      <c r="D160" s="534"/>
      <c r="E160" s="511"/>
    </row>
    <row r="161" spans="1:5" s="506" customFormat="1" ht="12.75">
      <c r="A161" s="512">
        <v>1</v>
      </c>
      <c r="B161" s="511" t="s">
        <v>737</v>
      </c>
      <c r="C161" s="536">
        <f aca="true" t="shared" si="18" ref="C161:D169">IF(C137=0,0,C149/C137)</f>
        <v>3.5749007936507935</v>
      </c>
      <c r="D161" s="536">
        <f t="shared" si="18"/>
        <v>3.5796413502109705</v>
      </c>
      <c r="E161" s="537">
        <f aca="true" t="shared" si="19" ref="E161:E169">D161-C161</f>
        <v>0.004740556560177023</v>
      </c>
    </row>
    <row r="162" spans="1:5" s="506" customFormat="1" ht="12.75">
      <c r="A162" s="512">
        <v>2</v>
      </c>
      <c r="B162" s="511" t="s">
        <v>716</v>
      </c>
      <c r="C162" s="536">
        <f t="shared" si="18"/>
        <v>4.986979166666667</v>
      </c>
      <c r="D162" s="536">
        <f t="shared" si="18"/>
        <v>5.088693098384728</v>
      </c>
      <c r="E162" s="537">
        <f t="shared" si="19"/>
        <v>0.10171393171806109</v>
      </c>
    </row>
    <row r="163" spans="1:5" s="506" customFormat="1" ht="12.75">
      <c r="A163" s="512">
        <v>3</v>
      </c>
      <c r="B163" s="511" t="s">
        <v>862</v>
      </c>
      <c r="C163" s="536">
        <f t="shared" si="18"/>
        <v>4.594291539245668</v>
      </c>
      <c r="D163" s="536">
        <f t="shared" si="18"/>
        <v>4.360160965794768</v>
      </c>
      <c r="E163" s="537">
        <f t="shared" si="19"/>
        <v>-0.2341305734508996</v>
      </c>
    </row>
    <row r="164" spans="1:5" s="506" customFormat="1" ht="12.75">
      <c r="A164" s="512">
        <v>4</v>
      </c>
      <c r="B164" s="511" t="s">
        <v>229</v>
      </c>
      <c r="C164" s="536">
        <f t="shared" si="18"/>
        <v>4.382619974059663</v>
      </c>
      <c r="D164" s="536">
        <f t="shared" si="18"/>
        <v>3.8095238095238093</v>
      </c>
      <c r="E164" s="537">
        <f t="shared" si="19"/>
        <v>-0.5730961645358539</v>
      </c>
    </row>
    <row r="165" spans="1:5" s="506" customFormat="1" ht="12.75">
      <c r="A165" s="512">
        <v>5</v>
      </c>
      <c r="B165" s="511" t="s">
        <v>829</v>
      </c>
      <c r="C165" s="536">
        <f t="shared" si="18"/>
        <v>5.371428571428571</v>
      </c>
      <c r="D165" s="536">
        <f t="shared" si="18"/>
        <v>5.922779922779923</v>
      </c>
      <c r="E165" s="537">
        <f t="shared" si="19"/>
        <v>0.5513513513513519</v>
      </c>
    </row>
    <row r="166" spans="1:5" s="506" customFormat="1" ht="12.75">
      <c r="A166" s="512">
        <v>6</v>
      </c>
      <c r="B166" s="511" t="s">
        <v>533</v>
      </c>
      <c r="C166" s="536">
        <f t="shared" si="18"/>
        <v>3.4</v>
      </c>
      <c r="D166" s="536">
        <f t="shared" si="18"/>
        <v>5.32</v>
      </c>
      <c r="E166" s="537">
        <f t="shared" si="19"/>
        <v>1.9200000000000004</v>
      </c>
    </row>
    <row r="167" spans="1:5" s="506" customFormat="1" ht="12.75">
      <c r="A167" s="512">
        <v>7</v>
      </c>
      <c r="B167" s="511" t="s">
        <v>844</v>
      </c>
      <c r="C167" s="536">
        <f t="shared" si="18"/>
        <v>4.684848484848485</v>
      </c>
      <c r="D167" s="536">
        <f t="shared" si="18"/>
        <v>4.682926829268292</v>
      </c>
      <c r="E167" s="537">
        <f t="shared" si="19"/>
        <v>-0.0019216555801921942</v>
      </c>
    </row>
    <row r="168" spans="1:5" s="506" customFormat="1" ht="12.75">
      <c r="A168" s="512"/>
      <c r="B168" s="516" t="s">
        <v>896</v>
      </c>
      <c r="C168" s="538">
        <f t="shared" si="18"/>
        <v>4.886430678466077</v>
      </c>
      <c r="D168" s="538">
        <f t="shared" si="18"/>
        <v>4.92631103074141</v>
      </c>
      <c r="E168" s="539">
        <f t="shared" si="19"/>
        <v>0.039880352275333486</v>
      </c>
    </row>
    <row r="169" spans="1:5" s="506" customFormat="1" ht="12.75">
      <c r="A169" s="512"/>
      <c r="B169" s="516" t="s">
        <v>830</v>
      </c>
      <c r="C169" s="538">
        <f t="shared" si="18"/>
        <v>4.451840894148586</v>
      </c>
      <c r="D169" s="538">
        <f t="shared" si="18"/>
        <v>4.522310126582278</v>
      </c>
      <c r="E169" s="539">
        <f t="shared" si="19"/>
        <v>0.07046923243369196</v>
      </c>
    </row>
    <row r="170" spans="1:5" s="506" customFormat="1" ht="12.75">
      <c r="A170" s="512"/>
      <c r="B170" s="511"/>
      <c r="C170" s="534"/>
      <c r="D170" s="534"/>
      <c r="E170" s="540"/>
    </row>
    <row r="171" spans="1:5" s="506" customFormat="1" ht="12.75">
      <c r="A171" s="508" t="s">
        <v>436</v>
      </c>
      <c r="B171" s="509" t="s">
        <v>897</v>
      </c>
      <c r="C171" s="511"/>
      <c r="D171" s="511"/>
      <c r="E171" s="540"/>
    </row>
    <row r="172" spans="1:5" s="506" customFormat="1" ht="12.75">
      <c r="A172" s="512"/>
      <c r="B172" s="511"/>
      <c r="C172" s="511"/>
      <c r="D172" s="511"/>
      <c r="E172" s="540"/>
    </row>
    <row r="173" spans="1:5" s="506" customFormat="1" ht="12.75">
      <c r="A173" s="512">
        <v>1</v>
      </c>
      <c r="B173" s="511" t="s">
        <v>737</v>
      </c>
      <c r="C173" s="541">
        <f aca="true" t="shared" si="20" ref="C173:D181">IF(C137=0,0,C203/C137)</f>
        <v>1.0165</v>
      </c>
      <c r="D173" s="541">
        <f t="shared" si="20"/>
        <v>1.037</v>
      </c>
      <c r="E173" s="542">
        <f aca="true" t="shared" si="21" ref="E173:E181">D173-C173</f>
        <v>0.020499999999999963</v>
      </c>
    </row>
    <row r="174" spans="1:5" s="506" customFormat="1" ht="12.75">
      <c r="A174" s="512">
        <v>2</v>
      </c>
      <c r="B174" s="511" t="s">
        <v>716</v>
      </c>
      <c r="C174" s="541">
        <f t="shared" si="20"/>
        <v>1.3976999999999997</v>
      </c>
      <c r="D174" s="541">
        <f t="shared" si="20"/>
        <v>1.4336000000000002</v>
      </c>
      <c r="E174" s="542">
        <f t="shared" si="21"/>
        <v>0.03590000000000049</v>
      </c>
    </row>
    <row r="175" spans="1:5" s="506" customFormat="1" ht="12.75">
      <c r="A175" s="512">
        <v>0</v>
      </c>
      <c r="B175" s="511" t="s">
        <v>862</v>
      </c>
      <c r="C175" s="541">
        <f t="shared" si="20"/>
        <v>0.8449400611620795</v>
      </c>
      <c r="D175" s="541">
        <f t="shared" si="20"/>
        <v>0.8351401408450704</v>
      </c>
      <c r="E175" s="542">
        <f t="shared" si="21"/>
        <v>-0.009799920317009159</v>
      </c>
    </row>
    <row r="176" spans="1:5" s="506" customFormat="1" ht="12.75">
      <c r="A176" s="512">
        <v>4</v>
      </c>
      <c r="B176" s="511" t="s">
        <v>229</v>
      </c>
      <c r="C176" s="541">
        <f t="shared" si="20"/>
        <v>0.8142</v>
      </c>
      <c r="D176" s="541">
        <f t="shared" si="20"/>
        <v>0.7767999999999999</v>
      </c>
      <c r="E176" s="542">
        <f t="shared" si="21"/>
        <v>-0.0374000000000001</v>
      </c>
    </row>
    <row r="177" spans="1:5" s="506" customFormat="1" ht="12.75">
      <c r="A177" s="512">
        <v>5</v>
      </c>
      <c r="B177" s="511" t="s">
        <v>829</v>
      </c>
      <c r="C177" s="541">
        <f t="shared" si="20"/>
        <v>0.9578</v>
      </c>
      <c r="D177" s="541">
        <f t="shared" si="20"/>
        <v>1.0007</v>
      </c>
      <c r="E177" s="542">
        <f t="shared" si="21"/>
        <v>0.04289999999999994</v>
      </c>
    </row>
    <row r="178" spans="1:5" s="506" customFormat="1" ht="12.75">
      <c r="A178" s="512">
        <v>6</v>
      </c>
      <c r="B178" s="511" t="s">
        <v>533</v>
      </c>
      <c r="C178" s="541">
        <f t="shared" si="20"/>
        <v>1.0899</v>
      </c>
      <c r="D178" s="541">
        <f t="shared" si="20"/>
        <v>1.2313</v>
      </c>
      <c r="E178" s="542">
        <f t="shared" si="21"/>
        <v>0.14139999999999997</v>
      </c>
    </row>
    <row r="179" spans="1:5" s="506" customFormat="1" ht="12.75">
      <c r="A179" s="512">
        <v>7</v>
      </c>
      <c r="B179" s="511" t="s">
        <v>844</v>
      </c>
      <c r="C179" s="541">
        <f t="shared" si="20"/>
        <v>0.9691</v>
      </c>
      <c r="D179" s="541">
        <f t="shared" si="20"/>
        <v>0.8838</v>
      </c>
      <c r="E179" s="542">
        <f t="shared" si="21"/>
        <v>-0.08529999999999993</v>
      </c>
    </row>
    <row r="180" spans="1:5" s="506" customFormat="1" ht="12.75">
      <c r="A180" s="512"/>
      <c r="B180" s="516" t="s">
        <v>898</v>
      </c>
      <c r="C180" s="543">
        <f t="shared" si="20"/>
        <v>1.2632667404129791</v>
      </c>
      <c r="D180" s="543">
        <f t="shared" si="20"/>
        <v>1.2979927215189875</v>
      </c>
      <c r="E180" s="544">
        <f t="shared" si="21"/>
        <v>0.03472598110600833</v>
      </c>
    </row>
    <row r="181" spans="1:5" s="506" customFormat="1" ht="12.75">
      <c r="A181" s="512"/>
      <c r="B181" s="516" t="s">
        <v>807</v>
      </c>
      <c r="C181" s="543">
        <f t="shared" si="20"/>
        <v>1.181497879684418</v>
      </c>
      <c r="D181" s="543">
        <f t="shared" si="20"/>
        <v>1.2196949050632913</v>
      </c>
      <c r="E181" s="544">
        <f t="shared" si="21"/>
        <v>0.03819702537887326</v>
      </c>
    </row>
    <row r="182" spans="1:5" s="506" customFormat="1" ht="12.75">
      <c r="A182" s="508"/>
      <c r="B182" s="511"/>
      <c r="C182" s="545"/>
      <c r="D182" s="545"/>
      <c r="E182" s="511"/>
    </row>
    <row r="183" spans="1:5" s="506" customFormat="1" ht="12.75">
      <c r="A183" s="508" t="s">
        <v>457</v>
      </c>
      <c r="B183" s="509" t="s">
        <v>899</v>
      </c>
      <c r="C183" s="340"/>
      <c r="D183" s="340"/>
      <c r="E183" s="511"/>
    </row>
    <row r="184" spans="1:5" s="506" customFormat="1" ht="12.75">
      <c r="A184" s="505"/>
      <c r="B184" s="511"/>
      <c r="C184" s="545"/>
      <c r="D184" s="545"/>
      <c r="E184" s="511"/>
    </row>
    <row r="185" spans="1:5" s="506" customFormat="1" ht="12.75">
      <c r="A185" s="512">
        <v>1</v>
      </c>
      <c r="B185" s="511" t="s">
        <v>900</v>
      </c>
      <c r="C185" s="513">
        <v>58695841</v>
      </c>
      <c r="D185" s="513">
        <v>65804567</v>
      </c>
      <c r="E185" s="514">
        <f>D185-C185</f>
        <v>7108726</v>
      </c>
    </row>
    <row r="186" spans="1:5" s="506" customFormat="1" ht="25.5">
      <c r="A186" s="512">
        <v>2</v>
      </c>
      <c r="B186" s="511" t="s">
        <v>901</v>
      </c>
      <c r="C186" s="513">
        <v>37078622</v>
      </c>
      <c r="D186" s="513">
        <v>39914356</v>
      </c>
      <c r="E186" s="514">
        <f>D186-C186</f>
        <v>2835734</v>
      </c>
    </row>
    <row r="187" spans="1:5" s="506" customFormat="1" ht="12.75">
      <c r="A187" s="512"/>
      <c r="B187" s="511" t="s">
        <v>749</v>
      </c>
      <c r="C187" s="510"/>
      <c r="D187" s="510"/>
      <c r="E187" s="511"/>
    </row>
    <row r="188" spans="1:5" s="506" customFormat="1" ht="12.75">
      <c r="A188" s="512">
        <v>3</v>
      </c>
      <c r="B188" s="511" t="s">
        <v>833</v>
      </c>
      <c r="C188" s="546">
        <f>+C185-C186</f>
        <v>21617219</v>
      </c>
      <c r="D188" s="546">
        <f>+D185-D186</f>
        <v>25890211</v>
      </c>
      <c r="E188" s="514">
        <f aca="true" t="shared" si="22" ref="E188:E197">D188-C188</f>
        <v>4272992</v>
      </c>
    </row>
    <row r="189" spans="1:5" s="506" customFormat="1" ht="12.75">
      <c r="A189" s="512">
        <v>4</v>
      </c>
      <c r="B189" s="511" t="s">
        <v>751</v>
      </c>
      <c r="C189" s="547">
        <f>IF(C185=0,0,+C188/C185)</f>
        <v>0.3682921759311703</v>
      </c>
      <c r="D189" s="547">
        <f>IF(D185=0,0,+D188/D185)</f>
        <v>0.39344094460799356</v>
      </c>
      <c r="E189" s="523">
        <f t="shared" si="22"/>
        <v>0.025148768676823252</v>
      </c>
    </row>
    <row r="190" spans="1:5" s="506" customFormat="1" ht="12.75">
      <c r="A190" s="512">
        <v>5</v>
      </c>
      <c r="B190" s="511" t="s">
        <v>848</v>
      </c>
      <c r="C190" s="513">
        <v>2172501</v>
      </c>
      <c r="D190" s="513">
        <v>495412</v>
      </c>
      <c r="E190" s="546">
        <f t="shared" si="22"/>
        <v>-1677089</v>
      </c>
    </row>
    <row r="191" spans="1:5" s="506" customFormat="1" ht="12.75">
      <c r="A191" s="512">
        <v>6</v>
      </c>
      <c r="B191" s="511" t="s">
        <v>834</v>
      </c>
      <c r="C191" s="513">
        <v>902403</v>
      </c>
      <c r="D191" s="513">
        <v>323466</v>
      </c>
      <c r="E191" s="546">
        <f t="shared" si="22"/>
        <v>-578937</v>
      </c>
    </row>
    <row r="192" spans="1:5" ht="29.25">
      <c r="A192" s="512">
        <v>7</v>
      </c>
      <c r="B192" s="548" t="s">
        <v>902</v>
      </c>
      <c r="C192" s="513">
        <v>718549</v>
      </c>
      <c r="D192" s="513">
        <v>641511</v>
      </c>
      <c r="E192" s="546">
        <f t="shared" si="22"/>
        <v>-77038</v>
      </c>
    </row>
    <row r="193" spans="1:5" s="506" customFormat="1" ht="12.75">
      <c r="A193" s="512">
        <v>8</v>
      </c>
      <c r="B193" s="511" t="s">
        <v>903</v>
      </c>
      <c r="C193" s="513">
        <v>1110508</v>
      </c>
      <c r="D193" s="513">
        <v>1438204</v>
      </c>
      <c r="E193" s="546">
        <f t="shared" si="22"/>
        <v>327696</v>
      </c>
    </row>
    <row r="194" spans="1:5" s="506" customFormat="1" ht="12.75">
      <c r="A194" s="512">
        <v>9</v>
      </c>
      <c r="B194" s="511" t="s">
        <v>904</v>
      </c>
      <c r="C194" s="513">
        <v>2441497</v>
      </c>
      <c r="D194" s="513">
        <v>2247042</v>
      </c>
      <c r="E194" s="546">
        <f t="shared" si="22"/>
        <v>-194455</v>
      </c>
    </row>
    <row r="195" spans="1:5" s="506" customFormat="1" ht="12.75">
      <c r="A195" s="512">
        <v>10</v>
      </c>
      <c r="B195" s="511" t="s">
        <v>905</v>
      </c>
      <c r="C195" s="513">
        <f>+C193+C194</f>
        <v>3552005</v>
      </c>
      <c r="D195" s="513">
        <f>+D193+D194</f>
        <v>3685246</v>
      </c>
      <c r="E195" s="549">
        <f t="shared" si="22"/>
        <v>133241</v>
      </c>
    </row>
    <row r="196" spans="1:5" s="506" customFormat="1" ht="12.75">
      <c r="A196" s="512">
        <v>11</v>
      </c>
      <c r="B196" s="511" t="s">
        <v>906</v>
      </c>
      <c r="C196" s="513">
        <v>58695841</v>
      </c>
      <c r="D196" s="513">
        <v>65804567</v>
      </c>
      <c r="E196" s="546">
        <f t="shared" si="22"/>
        <v>7108726</v>
      </c>
    </row>
    <row r="197" spans="1:5" s="506" customFormat="1" ht="12.75">
      <c r="A197" s="512">
        <v>12</v>
      </c>
      <c r="B197" s="511" t="s">
        <v>791</v>
      </c>
      <c r="C197" s="513">
        <v>93504863</v>
      </c>
      <c r="D197" s="513">
        <v>100402359</v>
      </c>
      <c r="E197" s="546">
        <f t="shared" si="22"/>
        <v>6897496</v>
      </c>
    </row>
    <row r="198" spans="1:5" s="506" customFormat="1" ht="12.75">
      <c r="A198" s="512"/>
      <c r="B198" s="511"/>
      <c r="C198" s="513"/>
      <c r="D198" s="513"/>
      <c r="E198" s="510"/>
    </row>
    <row r="199" spans="1:5" s="506" customFormat="1" ht="15.75" customHeight="1">
      <c r="A199" s="529" t="s">
        <v>259</v>
      </c>
      <c r="B199" s="550" t="s">
        <v>907</v>
      </c>
      <c r="C199" s="510"/>
      <c r="D199" s="510"/>
      <c r="E199" s="510"/>
    </row>
    <row r="200" spans="1:5" s="506" customFormat="1" ht="12.75">
      <c r="A200" s="508"/>
      <c r="B200" s="551"/>
      <c r="C200" s="510"/>
      <c r="D200" s="510"/>
      <c r="E200" s="510"/>
    </row>
    <row r="201" spans="1:5" s="506" customFormat="1" ht="12.75">
      <c r="A201" s="508" t="s">
        <v>129</v>
      </c>
      <c r="B201" s="509" t="s">
        <v>908</v>
      </c>
      <c r="C201" s="510"/>
      <c r="D201" s="510"/>
      <c r="E201" s="510"/>
    </row>
    <row r="202" spans="2:5" s="506" customFormat="1" ht="12.75">
      <c r="B202" s="552"/>
      <c r="C202" s="510"/>
      <c r="D202" s="510"/>
      <c r="E202" s="510"/>
    </row>
    <row r="203" spans="1:5" s="506" customFormat="1" ht="12.75">
      <c r="A203" s="512">
        <v>1</v>
      </c>
      <c r="B203" s="511" t="s">
        <v>737</v>
      </c>
      <c r="C203" s="553">
        <v>2049.264</v>
      </c>
      <c r="D203" s="553">
        <v>1966.1519999999998</v>
      </c>
      <c r="E203" s="554">
        <f aca="true" t="shared" si="23" ref="E203:E211">D203-C203</f>
        <v>-83.11200000000031</v>
      </c>
    </row>
    <row r="204" spans="1:5" s="506" customFormat="1" ht="12.75">
      <c r="A204" s="512">
        <v>2</v>
      </c>
      <c r="B204" s="511" t="s">
        <v>716</v>
      </c>
      <c r="C204" s="553">
        <v>4293.734399999999</v>
      </c>
      <c r="D204" s="553">
        <v>4881.408</v>
      </c>
      <c r="E204" s="554">
        <f t="shared" si="23"/>
        <v>587.673600000001</v>
      </c>
    </row>
    <row r="205" spans="1:5" s="506" customFormat="1" ht="12.75">
      <c r="A205" s="512">
        <v>3</v>
      </c>
      <c r="B205" s="511" t="s">
        <v>862</v>
      </c>
      <c r="C205" s="553">
        <f>C206+C207</f>
        <v>828.8862</v>
      </c>
      <c r="D205" s="553">
        <f>D206+D207</f>
        <v>830.1293</v>
      </c>
      <c r="E205" s="554">
        <f t="shared" si="23"/>
        <v>1.243099999999913</v>
      </c>
    </row>
    <row r="206" spans="1:5" s="506" customFormat="1" ht="12.75">
      <c r="A206" s="512">
        <v>4</v>
      </c>
      <c r="B206" s="511" t="s">
        <v>229</v>
      </c>
      <c r="C206" s="553">
        <v>627.7482</v>
      </c>
      <c r="D206" s="553">
        <v>570.948</v>
      </c>
      <c r="E206" s="554">
        <f t="shared" si="23"/>
        <v>-56.80020000000002</v>
      </c>
    </row>
    <row r="207" spans="1:5" s="506" customFormat="1" ht="12.75">
      <c r="A207" s="512">
        <v>5</v>
      </c>
      <c r="B207" s="511" t="s">
        <v>829</v>
      </c>
      <c r="C207" s="553">
        <v>201.138</v>
      </c>
      <c r="D207" s="553">
        <v>259.18129999999996</v>
      </c>
      <c r="E207" s="554">
        <f t="shared" si="23"/>
        <v>58.04329999999996</v>
      </c>
    </row>
    <row r="208" spans="1:5" s="506" customFormat="1" ht="12.75">
      <c r="A208" s="512">
        <v>6</v>
      </c>
      <c r="B208" s="511" t="s">
        <v>533</v>
      </c>
      <c r="C208" s="553">
        <v>16.3485</v>
      </c>
      <c r="D208" s="553">
        <v>30.782500000000002</v>
      </c>
      <c r="E208" s="554">
        <f t="shared" si="23"/>
        <v>14.434000000000001</v>
      </c>
    </row>
    <row r="209" spans="1:5" s="506" customFormat="1" ht="12.75">
      <c r="A209" s="512">
        <v>7</v>
      </c>
      <c r="B209" s="511" t="s">
        <v>844</v>
      </c>
      <c r="C209" s="553">
        <v>159.9015</v>
      </c>
      <c r="D209" s="553">
        <v>108.7074</v>
      </c>
      <c r="E209" s="554">
        <f t="shared" si="23"/>
        <v>-51.19409999999999</v>
      </c>
    </row>
    <row r="210" spans="1:5" s="506" customFormat="1" ht="12.75">
      <c r="A210" s="512"/>
      <c r="B210" s="516" t="s">
        <v>909</v>
      </c>
      <c r="C210" s="555">
        <f>C204+C205+C208</f>
        <v>5138.969099999999</v>
      </c>
      <c r="D210" s="555">
        <f>D204+D205+D208</f>
        <v>5742.3198</v>
      </c>
      <c r="E210" s="556">
        <f t="shared" si="23"/>
        <v>603.3507000000009</v>
      </c>
    </row>
    <row r="211" spans="1:5" s="506" customFormat="1" ht="12.75">
      <c r="A211" s="512"/>
      <c r="B211" s="516" t="s">
        <v>808</v>
      </c>
      <c r="C211" s="555">
        <f>C210+C203</f>
        <v>7188.2330999999995</v>
      </c>
      <c r="D211" s="555">
        <f>D210+D203</f>
        <v>7708.4718</v>
      </c>
      <c r="E211" s="556">
        <f t="shared" si="23"/>
        <v>520.2387000000008</v>
      </c>
    </row>
    <row r="212" spans="1:5" s="506" customFormat="1" ht="12.75">
      <c r="A212" s="512"/>
      <c r="B212" s="551"/>
      <c r="C212" s="510"/>
      <c r="D212" s="510"/>
      <c r="E212" s="555"/>
    </row>
    <row r="213" spans="1:5" s="506" customFormat="1" ht="12.75">
      <c r="A213" s="508" t="s">
        <v>141</v>
      </c>
      <c r="B213" s="509" t="s">
        <v>910</v>
      </c>
      <c r="C213" s="510"/>
      <c r="D213" s="510"/>
      <c r="E213" s="555"/>
    </row>
    <row r="214" spans="1:5" s="506" customFormat="1" ht="12.75">
      <c r="A214" s="505"/>
      <c r="B214" s="551"/>
      <c r="C214" s="510"/>
      <c r="D214" s="510"/>
      <c r="E214" s="510"/>
    </row>
    <row r="215" spans="1:5" s="506" customFormat="1" ht="12.75">
      <c r="A215" s="512">
        <v>1</v>
      </c>
      <c r="B215" s="511" t="s">
        <v>737</v>
      </c>
      <c r="C215" s="557">
        <f>IF(C14*C137=0,0,C25/C14*C137)</f>
        <v>4538.86803479774</v>
      </c>
      <c r="D215" s="557">
        <f>IF(D14*D137=0,0,D25/D14*D137)</f>
        <v>4305.11850170073</v>
      </c>
      <c r="E215" s="557">
        <f aca="true" t="shared" si="24" ref="E215:E223">D215-C215</f>
        <v>-233.7495330970096</v>
      </c>
    </row>
    <row r="216" spans="1:5" s="506" customFormat="1" ht="12.75">
      <c r="A216" s="512">
        <v>2</v>
      </c>
      <c r="B216" s="511" t="s">
        <v>716</v>
      </c>
      <c r="C216" s="557">
        <f>IF(C15*C138=0,0,C26/C15*C138)</f>
        <v>2241.9614775216464</v>
      </c>
      <c r="D216" s="557">
        <f>IF(D15*D138=0,0,D26/D15*D138)</f>
        <v>2223.298297318045</v>
      </c>
      <c r="E216" s="557">
        <f t="shared" si="24"/>
        <v>-18.663180203601314</v>
      </c>
    </row>
    <row r="217" spans="1:5" s="506" customFormat="1" ht="12.75">
      <c r="A217" s="512">
        <v>3</v>
      </c>
      <c r="B217" s="511" t="s">
        <v>862</v>
      </c>
      <c r="C217" s="557">
        <f>C218+C219</f>
        <v>1765.3964636047517</v>
      </c>
      <c r="D217" s="557">
        <f>D218+D219</f>
        <v>2125.6176623209262</v>
      </c>
      <c r="E217" s="557">
        <f t="shared" si="24"/>
        <v>360.2211987161745</v>
      </c>
    </row>
    <row r="218" spans="1:5" s="506" customFormat="1" ht="12.75">
      <c r="A218" s="512">
        <v>4</v>
      </c>
      <c r="B218" s="511" t="s">
        <v>229</v>
      </c>
      <c r="C218" s="557">
        <f aca="true" t="shared" si="25" ref="C218:D221">IF(C17*C140=0,0,C28/C17*C140)</f>
        <v>1413.5458667101966</v>
      </c>
      <c r="D218" s="557">
        <f t="shared" si="25"/>
        <v>1751.4995494563032</v>
      </c>
      <c r="E218" s="557">
        <f t="shared" si="24"/>
        <v>337.95368274610655</v>
      </c>
    </row>
    <row r="219" spans="1:5" s="506" customFormat="1" ht="12.75">
      <c r="A219" s="512">
        <v>5</v>
      </c>
      <c r="B219" s="511" t="s">
        <v>829</v>
      </c>
      <c r="C219" s="557">
        <f t="shared" si="25"/>
        <v>351.85059689455505</v>
      </c>
      <c r="D219" s="557">
        <f t="shared" si="25"/>
        <v>374.1181128646231</v>
      </c>
      <c r="E219" s="557">
        <f t="shared" si="24"/>
        <v>22.26751597006802</v>
      </c>
    </row>
    <row r="220" spans="1:5" s="506" customFormat="1" ht="12.75">
      <c r="A220" s="512">
        <v>6</v>
      </c>
      <c r="B220" s="511" t="s">
        <v>533</v>
      </c>
      <c r="C220" s="557">
        <f t="shared" si="25"/>
        <v>25.652903251884638</v>
      </c>
      <c r="D220" s="557">
        <f t="shared" si="25"/>
        <v>23.470691073917173</v>
      </c>
      <c r="E220" s="557">
        <f t="shared" si="24"/>
        <v>-2.1822121779674646</v>
      </c>
    </row>
    <row r="221" spans="1:5" s="506" customFormat="1" ht="12.75">
      <c r="A221" s="512">
        <v>7</v>
      </c>
      <c r="B221" s="511" t="s">
        <v>844</v>
      </c>
      <c r="C221" s="557">
        <f t="shared" si="25"/>
        <v>344.8812807082599</v>
      </c>
      <c r="D221" s="557">
        <f t="shared" si="25"/>
        <v>382.4028051591137</v>
      </c>
      <c r="E221" s="557">
        <f t="shared" si="24"/>
        <v>37.5215244508538</v>
      </c>
    </row>
    <row r="222" spans="1:5" s="506" customFormat="1" ht="12.75">
      <c r="A222" s="512"/>
      <c r="B222" s="516" t="s">
        <v>911</v>
      </c>
      <c r="C222" s="558">
        <f>C216+C218+C219+C220</f>
        <v>4033.010844378283</v>
      </c>
      <c r="D222" s="558">
        <f>D216+D218+D219+D220</f>
        <v>4372.386650712888</v>
      </c>
      <c r="E222" s="558">
        <f t="shared" si="24"/>
        <v>339.37580633460493</v>
      </c>
    </row>
    <row r="223" spans="1:5" s="506" customFormat="1" ht="12.75">
      <c r="A223" s="512"/>
      <c r="B223" s="516" t="s">
        <v>912</v>
      </c>
      <c r="C223" s="558">
        <f>C215+C222</f>
        <v>8571.878879176023</v>
      </c>
      <c r="D223" s="558">
        <f>D215+D222</f>
        <v>8677.505152413618</v>
      </c>
      <c r="E223" s="558">
        <f t="shared" si="24"/>
        <v>105.62627323759443</v>
      </c>
    </row>
    <row r="224" spans="1:5" s="506" customFormat="1" ht="12.75">
      <c r="A224" s="505"/>
      <c r="B224" s="551"/>
      <c r="C224" s="510"/>
      <c r="D224" s="510"/>
      <c r="E224" s="559"/>
    </row>
    <row r="225" spans="1:5" s="506" customFormat="1" ht="12.75">
      <c r="A225" s="508" t="s">
        <v>151</v>
      </c>
      <c r="B225" s="509" t="s">
        <v>913</v>
      </c>
      <c r="C225" s="510"/>
      <c r="D225" s="510"/>
      <c r="E225" s="559"/>
    </row>
    <row r="226" spans="1:5" s="506" customFormat="1" ht="12.75">
      <c r="A226" s="505"/>
      <c r="B226" s="551"/>
      <c r="C226" s="510"/>
      <c r="D226" s="510"/>
      <c r="E226" s="559"/>
    </row>
    <row r="227" spans="1:5" s="506" customFormat="1" ht="12.75">
      <c r="A227" s="512">
        <v>1</v>
      </c>
      <c r="B227" s="511" t="s">
        <v>737</v>
      </c>
      <c r="C227" s="560">
        <f aca="true" t="shared" si="26" ref="C227:D235">IF(C203=0,0,C47/C203)</f>
        <v>5777.9934649708375</v>
      </c>
      <c r="D227" s="560">
        <f t="shared" si="26"/>
        <v>6858.554679394066</v>
      </c>
      <c r="E227" s="560">
        <f aca="true" t="shared" si="27" ref="E227:E235">D227-C227</f>
        <v>1080.5612144232282</v>
      </c>
    </row>
    <row r="228" spans="1:5" s="506" customFormat="1" ht="12.75">
      <c r="A228" s="512">
        <v>2</v>
      </c>
      <c r="B228" s="511" t="s">
        <v>716</v>
      </c>
      <c r="C228" s="560">
        <f t="shared" si="26"/>
        <v>6557.814568129786</v>
      </c>
      <c r="D228" s="560">
        <f t="shared" si="26"/>
        <v>6747.188311241346</v>
      </c>
      <c r="E228" s="560">
        <f t="shared" si="27"/>
        <v>189.37374311156054</v>
      </c>
    </row>
    <row r="229" spans="1:5" s="506" customFormat="1" ht="12.75">
      <c r="A229" s="512">
        <v>3</v>
      </c>
      <c r="B229" s="511" t="s">
        <v>862</v>
      </c>
      <c r="C229" s="560">
        <f t="shared" si="26"/>
        <v>4610.210665830846</v>
      </c>
      <c r="D229" s="560">
        <f t="shared" si="26"/>
        <v>4639.232707483039</v>
      </c>
      <c r="E229" s="560">
        <f t="shared" si="27"/>
        <v>29.022041652193366</v>
      </c>
    </row>
    <row r="230" spans="1:5" s="506" customFormat="1" ht="12.75">
      <c r="A230" s="512">
        <v>4</v>
      </c>
      <c r="B230" s="511" t="s">
        <v>229</v>
      </c>
      <c r="C230" s="560">
        <f t="shared" si="26"/>
        <v>5017.293558149589</v>
      </c>
      <c r="D230" s="560">
        <f t="shared" si="26"/>
        <v>5203.8714558944075</v>
      </c>
      <c r="E230" s="560">
        <f t="shared" si="27"/>
        <v>186.57789774481807</v>
      </c>
    </row>
    <row r="231" spans="1:5" s="506" customFormat="1" ht="12.75">
      <c r="A231" s="512">
        <v>5</v>
      </c>
      <c r="B231" s="511" t="s">
        <v>829</v>
      </c>
      <c r="C231" s="560">
        <f t="shared" si="26"/>
        <v>3339.71203850093</v>
      </c>
      <c r="D231" s="560">
        <f t="shared" si="26"/>
        <v>3395.3954239754185</v>
      </c>
      <c r="E231" s="560">
        <f t="shared" si="27"/>
        <v>55.68338547448866</v>
      </c>
    </row>
    <row r="232" spans="1:5" s="506" customFormat="1" ht="12.75">
      <c r="A232" s="512">
        <v>6</v>
      </c>
      <c r="B232" s="511" t="s">
        <v>533</v>
      </c>
      <c r="C232" s="560">
        <f t="shared" si="26"/>
        <v>5978.0407988500465</v>
      </c>
      <c r="D232" s="560">
        <f t="shared" si="26"/>
        <v>5428.473970600178</v>
      </c>
      <c r="E232" s="560">
        <f t="shared" si="27"/>
        <v>-549.5668282498682</v>
      </c>
    </row>
    <row r="233" spans="1:5" s="506" customFormat="1" ht="12.75">
      <c r="A233" s="512">
        <v>7</v>
      </c>
      <c r="B233" s="511" t="s">
        <v>844</v>
      </c>
      <c r="C233" s="560">
        <f t="shared" si="26"/>
        <v>1790.990078266933</v>
      </c>
      <c r="D233" s="560">
        <f t="shared" si="26"/>
        <v>2863.218143383063</v>
      </c>
      <c r="E233" s="560">
        <f t="shared" si="27"/>
        <v>1072.2280651161298</v>
      </c>
    </row>
    <row r="234" spans="1:5" ht="12.75">
      <c r="A234" s="512"/>
      <c r="B234" s="516" t="s">
        <v>914</v>
      </c>
      <c r="C234" s="561">
        <f t="shared" si="26"/>
        <v>6241.832822073206</v>
      </c>
      <c r="D234" s="561">
        <f t="shared" si="26"/>
        <v>6435.385921905638</v>
      </c>
      <c r="E234" s="561">
        <f t="shared" si="27"/>
        <v>193.55309983243114</v>
      </c>
    </row>
    <row r="235" spans="1:5" s="506" customFormat="1" ht="12.75">
      <c r="A235" s="512"/>
      <c r="B235" s="516" t="s">
        <v>915</v>
      </c>
      <c r="C235" s="561">
        <f t="shared" si="26"/>
        <v>6109.598755221225</v>
      </c>
      <c r="D235" s="561">
        <f t="shared" si="26"/>
        <v>6543.320947220693</v>
      </c>
      <c r="E235" s="561">
        <f t="shared" si="27"/>
        <v>433.7221919994681</v>
      </c>
    </row>
    <row r="236" spans="1:5" s="506" customFormat="1" ht="12.75">
      <c r="A236" s="505"/>
      <c r="B236" s="551"/>
      <c r="C236" s="510"/>
      <c r="D236" s="510"/>
      <c r="E236" s="561"/>
    </row>
    <row r="237" spans="1:5" s="506" customFormat="1" ht="12.75">
      <c r="A237" s="508" t="s">
        <v>436</v>
      </c>
      <c r="B237" s="509" t="s">
        <v>916</v>
      </c>
      <c r="C237" s="340"/>
      <c r="D237" s="340"/>
      <c r="E237" s="561"/>
    </row>
    <row r="238" spans="1:5" s="506" customFormat="1" ht="12.75">
      <c r="A238" s="505"/>
      <c r="B238" s="519"/>
      <c r="C238" s="520"/>
      <c r="D238" s="520"/>
      <c r="E238" s="520"/>
    </row>
    <row r="239" spans="1:5" s="506" customFormat="1" ht="12.75">
      <c r="A239" s="512">
        <v>1</v>
      </c>
      <c r="B239" s="511" t="s">
        <v>737</v>
      </c>
      <c r="C239" s="560">
        <f aca="true" t="shared" si="28" ref="C239:D247">IF(C215=0,0,C58/C215)</f>
        <v>4777.839283658831</v>
      </c>
      <c r="D239" s="560">
        <f t="shared" si="28"/>
        <v>5283.048536530402</v>
      </c>
      <c r="E239" s="562">
        <f aca="true" t="shared" si="29" ref="E239:E247">D239-C239</f>
        <v>505.20925287157115</v>
      </c>
    </row>
    <row r="240" spans="1:5" s="506" customFormat="1" ht="12.75">
      <c r="A240" s="512">
        <v>2</v>
      </c>
      <c r="B240" s="511" t="s">
        <v>716</v>
      </c>
      <c r="C240" s="560">
        <f t="shared" si="28"/>
        <v>5887.6439815512185</v>
      </c>
      <c r="D240" s="560">
        <f t="shared" si="28"/>
        <v>6066.903400353952</v>
      </c>
      <c r="E240" s="562">
        <f t="shared" si="29"/>
        <v>179.2594188027333</v>
      </c>
    </row>
    <row r="241" spans="1:5" ht="12.75">
      <c r="A241" s="512">
        <v>3</v>
      </c>
      <c r="B241" s="511" t="s">
        <v>862</v>
      </c>
      <c r="C241" s="560">
        <f t="shared" si="28"/>
        <v>2767.1727573448456</v>
      </c>
      <c r="D241" s="560">
        <f t="shared" si="28"/>
        <v>2805.7449397969685</v>
      </c>
      <c r="E241" s="562">
        <f t="shared" si="29"/>
        <v>38.57218245212289</v>
      </c>
    </row>
    <row r="242" spans="1:5" ht="12.75">
      <c r="A242" s="512">
        <v>4</v>
      </c>
      <c r="B242" s="511" t="s">
        <v>229</v>
      </c>
      <c r="C242" s="560">
        <f t="shared" si="28"/>
        <v>2853.669693356334</v>
      </c>
      <c r="D242" s="560">
        <f t="shared" si="28"/>
        <v>2811.6181939805056</v>
      </c>
      <c r="E242" s="562">
        <f t="shared" si="29"/>
        <v>-42.05149937582837</v>
      </c>
    </row>
    <row r="243" spans="1:5" ht="12.75">
      <c r="A243" s="512">
        <v>5</v>
      </c>
      <c r="B243" s="511" t="s">
        <v>829</v>
      </c>
      <c r="C243" s="560">
        <f t="shared" si="28"/>
        <v>2419.674735567217</v>
      </c>
      <c r="D243" s="560">
        <f t="shared" si="28"/>
        <v>2778.248270422851</v>
      </c>
      <c r="E243" s="562">
        <f t="shared" si="29"/>
        <v>358.5735348556341</v>
      </c>
    </row>
    <row r="244" spans="1:5" ht="12.75">
      <c r="A244" s="512">
        <v>6</v>
      </c>
      <c r="B244" s="511" t="s">
        <v>533</v>
      </c>
      <c r="C244" s="560">
        <f t="shared" si="28"/>
        <v>5755.64483092777</v>
      </c>
      <c r="D244" s="560">
        <f t="shared" si="28"/>
        <v>6546.462544119558</v>
      </c>
      <c r="E244" s="562">
        <f t="shared" si="29"/>
        <v>790.8177131917873</v>
      </c>
    </row>
    <row r="245" spans="1:5" ht="12.75">
      <c r="A245" s="512">
        <v>7</v>
      </c>
      <c r="B245" s="511" t="s">
        <v>844</v>
      </c>
      <c r="C245" s="560">
        <f t="shared" si="28"/>
        <v>1735.6465354417355</v>
      </c>
      <c r="D245" s="560">
        <f t="shared" si="28"/>
        <v>2530.509679701124</v>
      </c>
      <c r="E245" s="562">
        <f t="shared" si="29"/>
        <v>794.8631442593883</v>
      </c>
    </row>
    <row r="246" spans="1:5" ht="25.5">
      <c r="A246" s="512"/>
      <c r="B246" s="516" t="s">
        <v>917</v>
      </c>
      <c r="C246" s="561">
        <f t="shared" si="28"/>
        <v>4520.859899351621</v>
      </c>
      <c r="D246" s="561">
        <f t="shared" si="28"/>
        <v>4484.078963328496</v>
      </c>
      <c r="E246" s="563">
        <f t="shared" si="29"/>
        <v>-36.78093602312492</v>
      </c>
    </row>
    <row r="247" spans="1:5" ht="12.75">
      <c r="A247" s="512"/>
      <c r="B247" s="516" t="s">
        <v>918</v>
      </c>
      <c r="C247" s="561">
        <f t="shared" si="28"/>
        <v>4656.932227189519</v>
      </c>
      <c r="D247" s="561">
        <f t="shared" si="28"/>
        <v>4880.466937921716</v>
      </c>
      <c r="E247" s="563">
        <f t="shared" si="29"/>
        <v>223.5347107321968</v>
      </c>
    </row>
    <row r="248" spans="1:5" ht="12.75">
      <c r="A248" s="505"/>
      <c r="B248" s="519"/>
      <c r="C248" s="560"/>
      <c r="D248" s="560"/>
      <c r="E248" s="563"/>
    </row>
    <row r="249" spans="1:5" s="506" customFormat="1" ht="15.75" customHeight="1">
      <c r="A249" s="529" t="s">
        <v>846</v>
      </c>
      <c r="B249" s="550" t="s">
        <v>843</v>
      </c>
      <c r="C249" s="520"/>
      <c r="D249" s="520"/>
      <c r="E249" s="561"/>
    </row>
    <row r="250" spans="1:5" ht="12.75">
      <c r="A250" s="505"/>
      <c r="B250" s="519"/>
      <c r="C250" s="560"/>
      <c r="D250" s="560"/>
      <c r="E250" s="561"/>
    </row>
    <row r="251" spans="1:5" ht="12.75">
      <c r="A251" s="512">
        <v>1</v>
      </c>
      <c r="B251" s="511" t="s">
        <v>229</v>
      </c>
      <c r="C251" s="546">
        <f>((IF((IF(C15=0,0,C26/C15)*C138)=0,0,C59/(IF(C15=0,0,C26/C15)*C138)))-(IF((IF(C17=0,0,C28/C17)*C140)=0,0,C61/(IF(C17=0,0,C28/C17)*C140))))*(IF(C17=0,0,C28/C17)*C140)</f>
        <v>4288661.81478289</v>
      </c>
      <c r="D251" s="546">
        <f>((IF((IF(D15=0,0,D26/D15)*D138)=0,0,D59/(IF(D15=0,0,D26/D15)*D138)))-(IF((IF(D17=0,0,D28/D17)*D140)=0,0,D61/(IF(D17=0,0,D28/D17)*D140))))*(IF(D17=0,0,D28/D17)*D140)</f>
        <v>5701630.57231486</v>
      </c>
      <c r="E251" s="546">
        <f>D251-C251</f>
        <v>1412968.7575319707</v>
      </c>
    </row>
    <row r="252" spans="1:5" ht="12.75">
      <c r="A252" s="512">
        <v>2</v>
      </c>
      <c r="B252" s="511" t="s">
        <v>829</v>
      </c>
      <c r="C252" s="546">
        <f>IF(C231=0,0,(C228-C231)*C207)+IF(C243=0,0,(C240-C243)*C219)</f>
        <v>1867489.75581592</v>
      </c>
      <c r="D252" s="546">
        <f>IF(D231=0,0,(D228-D231)*D207)+IF(D243=0,0,(D240-D243)*D219)</f>
        <v>2099067.4889247217</v>
      </c>
      <c r="E252" s="546">
        <f>D252-C252</f>
        <v>231577.73310880177</v>
      </c>
    </row>
    <row r="253" spans="1:5" ht="12.75">
      <c r="A253" s="512">
        <v>3</v>
      </c>
      <c r="B253" s="511" t="s">
        <v>844</v>
      </c>
      <c r="C253" s="546">
        <f>IF(C233=0,0,(C228-C233)*C209+IF(C221=0,0,(C240-C245)*C221))</f>
        <v>2194168.5828774674</v>
      </c>
      <c r="D253" s="546">
        <f>IF(D233=0,0,(D228-D233)*D209+IF(D221=0,0,(D240-D245)*D221))</f>
        <v>1774543.177550154</v>
      </c>
      <c r="E253" s="546">
        <f>D253-C253</f>
        <v>-419625.40532731335</v>
      </c>
    </row>
    <row r="254" spans="1:5" ht="15" customHeight="1">
      <c r="A254" s="512"/>
      <c r="B254" s="516" t="s">
        <v>845</v>
      </c>
      <c r="C254" s="564">
        <f>+C251+C252+C253</f>
        <v>8350320.153476276</v>
      </c>
      <c r="D254" s="564">
        <f>+D251+D252+D253</f>
        <v>9575241.238789735</v>
      </c>
      <c r="E254" s="564">
        <f>D254-C254</f>
        <v>1224921.085313459</v>
      </c>
    </row>
    <row r="255" spans="1:5" ht="12.75">
      <c r="A255" s="502"/>
      <c r="B255" s="519"/>
      <c r="C255" s="520"/>
      <c r="D255" s="520"/>
      <c r="E255" s="564"/>
    </row>
    <row r="256" spans="1:5" ht="15.75" customHeight="1">
      <c r="A256" s="529" t="s">
        <v>919</v>
      </c>
      <c r="B256" s="550" t="s">
        <v>920</v>
      </c>
      <c r="C256" s="520"/>
      <c r="D256" s="520"/>
      <c r="E256" s="564"/>
    </row>
    <row r="257" spans="1:5" ht="11.25" customHeight="1">
      <c r="A257" s="502"/>
      <c r="B257" s="519"/>
      <c r="C257" s="520"/>
      <c r="D257" s="520"/>
      <c r="E257" s="520"/>
    </row>
    <row r="258" spans="1:5" ht="12.75">
      <c r="A258" s="512">
        <v>1</v>
      </c>
      <c r="B258" s="511" t="s">
        <v>811</v>
      </c>
      <c r="C258" s="546">
        <f>+C44</f>
        <v>155722889</v>
      </c>
      <c r="D258" s="549">
        <f>+D44</f>
        <v>176391805</v>
      </c>
      <c r="E258" s="546">
        <f aca="true" t="shared" si="30" ref="E258:E271">D258-C258</f>
        <v>20668916</v>
      </c>
    </row>
    <row r="259" spans="1:5" ht="12.75">
      <c r="A259" s="512">
        <v>2</v>
      </c>
      <c r="B259" s="511" t="s">
        <v>828</v>
      </c>
      <c r="C259" s="546">
        <f>+(C43-C76)</f>
        <v>44545284</v>
      </c>
      <c r="D259" s="549">
        <f>+(D43-D76)</f>
        <v>53531656</v>
      </c>
      <c r="E259" s="546">
        <f t="shared" si="30"/>
        <v>8986372</v>
      </c>
    </row>
    <row r="260" spans="1:5" ht="12.75">
      <c r="A260" s="512">
        <v>3</v>
      </c>
      <c r="B260" s="511" t="s">
        <v>832</v>
      </c>
      <c r="C260" s="546">
        <f>C195</f>
        <v>3552005</v>
      </c>
      <c r="D260" s="546">
        <f>D195</f>
        <v>3685246</v>
      </c>
      <c r="E260" s="546">
        <f t="shared" si="30"/>
        <v>133241</v>
      </c>
    </row>
    <row r="261" spans="1:5" ht="12.75">
      <c r="A261" s="512">
        <v>4</v>
      </c>
      <c r="B261" s="511" t="s">
        <v>833</v>
      </c>
      <c r="C261" s="546">
        <f>C188</f>
        <v>21617219</v>
      </c>
      <c r="D261" s="546">
        <f>D188</f>
        <v>25890211</v>
      </c>
      <c r="E261" s="546">
        <f t="shared" si="30"/>
        <v>4272992</v>
      </c>
    </row>
    <row r="262" spans="1:5" ht="12.75">
      <c r="A262" s="512">
        <v>5</v>
      </c>
      <c r="B262" s="511" t="s">
        <v>834</v>
      </c>
      <c r="C262" s="546">
        <f>C191</f>
        <v>902403</v>
      </c>
      <c r="D262" s="546">
        <f>D191</f>
        <v>323466</v>
      </c>
      <c r="E262" s="546">
        <f t="shared" si="30"/>
        <v>-578937</v>
      </c>
    </row>
    <row r="263" spans="1:5" ht="12.75">
      <c r="A263" s="512">
        <v>6</v>
      </c>
      <c r="B263" s="511" t="s">
        <v>835</v>
      </c>
      <c r="C263" s="546">
        <f>+C259+C260+C261+C262</f>
        <v>70616911</v>
      </c>
      <c r="D263" s="546">
        <f>+D259+D260+D261+D262</f>
        <v>83430579</v>
      </c>
      <c r="E263" s="546">
        <f t="shared" si="30"/>
        <v>12813668</v>
      </c>
    </row>
    <row r="264" spans="1:5" ht="12.75">
      <c r="A264" s="512">
        <v>7</v>
      </c>
      <c r="B264" s="511" t="s">
        <v>735</v>
      </c>
      <c r="C264" s="546">
        <f>+C258-C263</f>
        <v>85105978</v>
      </c>
      <c r="D264" s="546">
        <f>+D258-D263</f>
        <v>92961226</v>
      </c>
      <c r="E264" s="546">
        <f t="shared" si="30"/>
        <v>7855248</v>
      </c>
    </row>
    <row r="265" spans="1:5" ht="12.75">
      <c r="A265" s="512">
        <v>8</v>
      </c>
      <c r="B265" s="511" t="s">
        <v>921</v>
      </c>
      <c r="C265" s="565">
        <f>C192</f>
        <v>718549</v>
      </c>
      <c r="D265" s="565">
        <f>D192</f>
        <v>641511</v>
      </c>
      <c r="E265" s="546">
        <f t="shared" si="30"/>
        <v>-77038</v>
      </c>
    </row>
    <row r="266" spans="1:5" ht="12.75">
      <c r="A266" s="512">
        <v>9</v>
      </c>
      <c r="B266" s="511" t="s">
        <v>922</v>
      </c>
      <c r="C266" s="546">
        <f>+C264+C265</f>
        <v>85824527</v>
      </c>
      <c r="D266" s="546">
        <f>+D264+D265</f>
        <v>93602737</v>
      </c>
      <c r="E266" s="565">
        <f t="shared" si="30"/>
        <v>7778210</v>
      </c>
    </row>
    <row r="267" spans="1:5" ht="12.75">
      <c r="A267" s="512">
        <v>10</v>
      </c>
      <c r="B267" s="511" t="s">
        <v>923</v>
      </c>
      <c r="C267" s="566">
        <f>IF(C258=0,0,C266/C258)</f>
        <v>0.5511362366260749</v>
      </c>
      <c r="D267" s="566">
        <f>IF(D258=0,0,D266/D258)</f>
        <v>0.5306524132456153</v>
      </c>
      <c r="E267" s="567">
        <f t="shared" si="30"/>
        <v>-0.02048382338045962</v>
      </c>
    </row>
    <row r="268" spans="1:5" ht="12.75">
      <c r="A268" s="512">
        <v>11</v>
      </c>
      <c r="B268" s="511" t="s">
        <v>797</v>
      </c>
      <c r="C268" s="546">
        <f>+C260*C267</f>
        <v>1957638.6681770012</v>
      </c>
      <c r="D268" s="568">
        <f>+D260*D267</f>
        <v>1955584.6833037508</v>
      </c>
      <c r="E268" s="546">
        <f t="shared" si="30"/>
        <v>-2053.9848732503597</v>
      </c>
    </row>
    <row r="269" spans="1:5" ht="12.75">
      <c r="A269" s="512">
        <v>12</v>
      </c>
      <c r="B269" s="511" t="s">
        <v>924</v>
      </c>
      <c r="C269" s="546">
        <f>((C17+C18+C28+C29)*C267)-(C50+C51+C61+C62)</f>
        <v>4891206.775476808</v>
      </c>
      <c r="D269" s="568">
        <f>((D17+D18+D28+D29)*D267)-(D50+D51+D61+D62)</f>
        <v>4984805.071730541</v>
      </c>
      <c r="E269" s="546">
        <f t="shared" si="30"/>
        <v>93598.29625373334</v>
      </c>
    </row>
    <row r="270" spans="1:5" s="569" customFormat="1" ht="12.75">
      <c r="A270" s="570">
        <v>13</v>
      </c>
      <c r="B270" s="571" t="s">
        <v>925</v>
      </c>
      <c r="C270" s="572">
        <v>0</v>
      </c>
      <c r="D270" s="572">
        <v>0</v>
      </c>
      <c r="E270" s="546">
        <f t="shared" si="30"/>
        <v>0</v>
      </c>
    </row>
    <row r="271" spans="1:5" ht="12.75">
      <c r="A271" s="512">
        <v>14</v>
      </c>
      <c r="B271" s="511" t="s">
        <v>926</v>
      </c>
      <c r="C271" s="546">
        <f>+C268+C269+C270</f>
        <v>6848845.443653809</v>
      </c>
      <c r="D271" s="546">
        <f>+D268+D269+D270</f>
        <v>6940389.755034292</v>
      </c>
      <c r="E271" s="549">
        <f t="shared" si="30"/>
        <v>91544.31138048321</v>
      </c>
    </row>
    <row r="272" spans="1:5" ht="12.75">
      <c r="A272" s="512"/>
      <c r="B272" s="511"/>
      <c r="C272" s="546"/>
      <c r="D272" s="546"/>
      <c r="E272" s="564"/>
    </row>
    <row r="273" spans="1:5" ht="15.75" customHeight="1">
      <c r="A273" s="500" t="s">
        <v>927</v>
      </c>
      <c r="B273" s="550" t="s">
        <v>928</v>
      </c>
      <c r="C273" s="546"/>
      <c r="D273" s="546"/>
      <c r="E273" s="564"/>
    </row>
    <row r="274" spans="1:5" ht="15.75" customHeight="1">
      <c r="A274" s="508"/>
      <c r="B274" s="573"/>
      <c r="C274" s="546"/>
      <c r="D274" s="546"/>
      <c r="E274" s="564"/>
    </row>
    <row r="275" spans="1:5" ht="12.75">
      <c r="A275" s="340" t="s">
        <v>129</v>
      </c>
      <c r="B275" s="509" t="s">
        <v>929</v>
      </c>
      <c r="C275" s="340"/>
      <c r="D275" s="340"/>
      <c r="E275" s="520"/>
    </row>
    <row r="276" spans="1:5" ht="12.75">
      <c r="A276" s="512">
        <v>1</v>
      </c>
      <c r="B276" s="511" t="s">
        <v>737</v>
      </c>
      <c r="C276" s="547">
        <f aca="true" t="shared" si="31" ref="C276:D284">IF(C14=0,0,+C47/C14)</f>
        <v>0.6324947279793314</v>
      </c>
      <c r="D276" s="547">
        <f t="shared" si="31"/>
        <v>0.6652241513422126</v>
      </c>
      <c r="E276" s="574">
        <f aca="true" t="shared" si="32" ref="E276:E284">D276-C276</f>
        <v>0.032729423362881205</v>
      </c>
    </row>
    <row r="277" spans="1:5" ht="12.75">
      <c r="A277" s="512">
        <v>2</v>
      </c>
      <c r="B277" s="511" t="s">
        <v>716</v>
      </c>
      <c r="C277" s="547">
        <f t="shared" si="31"/>
        <v>0.6980069547065538</v>
      </c>
      <c r="D277" s="547">
        <f t="shared" si="31"/>
        <v>0.6679740070051344</v>
      </c>
      <c r="E277" s="574">
        <f t="shared" si="32"/>
        <v>-0.0300329477014194</v>
      </c>
    </row>
    <row r="278" spans="1:5" ht="12.75">
      <c r="A278" s="512">
        <v>3</v>
      </c>
      <c r="B278" s="511" t="s">
        <v>862</v>
      </c>
      <c r="C278" s="547">
        <f t="shared" si="31"/>
        <v>0.4326621458382137</v>
      </c>
      <c r="D278" s="547">
        <f t="shared" si="31"/>
        <v>0.4213862813988426</v>
      </c>
      <c r="E278" s="574">
        <f t="shared" si="32"/>
        <v>-0.01127586443937112</v>
      </c>
    </row>
    <row r="279" spans="1:5" ht="12.75">
      <c r="A279" s="512">
        <v>4</v>
      </c>
      <c r="B279" s="511" t="s">
        <v>229</v>
      </c>
      <c r="C279" s="547">
        <f t="shared" si="31"/>
        <v>0.47737375675589244</v>
      </c>
      <c r="D279" s="547">
        <f t="shared" si="31"/>
        <v>0.502488137712131</v>
      </c>
      <c r="E279" s="574">
        <f t="shared" si="32"/>
        <v>0.025114380956238525</v>
      </c>
    </row>
    <row r="280" spans="1:5" ht="12.75">
      <c r="A280" s="512">
        <v>5</v>
      </c>
      <c r="B280" s="511" t="s">
        <v>829</v>
      </c>
      <c r="C280" s="547">
        <f t="shared" si="31"/>
        <v>0.3006371291059158</v>
      </c>
      <c r="D280" s="547">
        <f t="shared" si="31"/>
        <v>0.27275575918031597</v>
      </c>
      <c r="E280" s="574">
        <f t="shared" si="32"/>
        <v>-0.027881369925599808</v>
      </c>
    </row>
    <row r="281" spans="1:5" ht="12.75">
      <c r="A281" s="512">
        <v>6</v>
      </c>
      <c r="B281" s="511" t="s">
        <v>533</v>
      </c>
      <c r="C281" s="547">
        <f t="shared" si="31"/>
        <v>0.6584072704244899</v>
      </c>
      <c r="D281" s="547">
        <f t="shared" si="31"/>
        <v>0.46297491764353854</v>
      </c>
      <c r="E281" s="574">
        <f t="shared" si="32"/>
        <v>-0.19543235278095134</v>
      </c>
    </row>
    <row r="282" spans="1:5" ht="12.75">
      <c r="A282" s="512">
        <v>7</v>
      </c>
      <c r="B282" s="511" t="s">
        <v>844</v>
      </c>
      <c r="C282" s="547">
        <f t="shared" si="31"/>
        <v>0.18436672743940752</v>
      </c>
      <c r="D282" s="547">
        <f t="shared" si="31"/>
        <v>0.2659825106968803</v>
      </c>
      <c r="E282" s="574">
        <f t="shared" si="32"/>
        <v>0.08161578325747276</v>
      </c>
    </row>
    <row r="283" spans="1:5" ht="29.25" customHeight="1">
      <c r="A283" s="512"/>
      <c r="B283" s="516" t="s">
        <v>930</v>
      </c>
      <c r="C283" s="575">
        <f t="shared" si="31"/>
        <v>0.6503706473194598</v>
      </c>
      <c r="D283" s="575">
        <f t="shared" si="31"/>
        <v>0.6283934250339304</v>
      </c>
      <c r="E283" s="576">
        <f t="shared" si="32"/>
        <v>-0.021977222285529452</v>
      </c>
    </row>
    <row r="284" spans="1:5" ht="12.75">
      <c r="A284" s="512"/>
      <c r="B284" s="516" t="s">
        <v>931</v>
      </c>
      <c r="C284" s="575">
        <f t="shared" si="31"/>
        <v>0.6454523387635301</v>
      </c>
      <c r="D284" s="575">
        <f t="shared" si="31"/>
        <v>0.6378347652146383</v>
      </c>
      <c r="E284" s="576">
        <f t="shared" si="32"/>
        <v>-0.0076175735488918095</v>
      </c>
    </row>
    <row r="285" spans="1:5" ht="11.25" customHeight="1">
      <c r="A285" s="502"/>
      <c r="B285" s="519"/>
      <c r="C285" s="520"/>
      <c r="D285" s="520"/>
      <c r="E285" s="520"/>
    </row>
    <row r="286" spans="1:5" ht="12.75">
      <c r="A286" s="340" t="s">
        <v>141</v>
      </c>
      <c r="B286" s="509" t="s">
        <v>932</v>
      </c>
      <c r="C286" s="520"/>
      <c r="D286" s="520"/>
      <c r="E286" s="520"/>
    </row>
    <row r="287" spans="1:5" ht="12.75">
      <c r="A287" s="512">
        <v>1</v>
      </c>
      <c r="B287" s="511" t="s">
        <v>737</v>
      </c>
      <c r="C287" s="547">
        <f aca="true" t="shared" si="33" ref="C287:D295">IF(C25=0,0,+C58/C25)</f>
        <v>0.5145220810492293</v>
      </c>
      <c r="D287" s="547">
        <f t="shared" si="33"/>
        <v>0.4941300285991293</v>
      </c>
      <c r="E287" s="574">
        <f aca="true" t="shared" si="34" ref="E287:E295">D287-C287</f>
        <v>-0.02039205245009995</v>
      </c>
    </row>
    <row r="288" spans="1:5" ht="12.75">
      <c r="A288" s="512">
        <v>2</v>
      </c>
      <c r="B288" s="511" t="s">
        <v>716</v>
      </c>
      <c r="C288" s="547">
        <f t="shared" si="33"/>
        <v>0.4483613760073369</v>
      </c>
      <c r="D288" s="547">
        <f t="shared" si="33"/>
        <v>0.4189631434554426</v>
      </c>
      <c r="E288" s="574">
        <f t="shared" si="34"/>
        <v>-0.029398232551894277</v>
      </c>
    </row>
    <row r="289" spans="1:5" ht="12.75">
      <c r="A289" s="512">
        <v>3</v>
      </c>
      <c r="B289" s="511" t="s">
        <v>862</v>
      </c>
      <c r="C289" s="547">
        <f t="shared" si="33"/>
        <v>0.30840694089654586</v>
      </c>
      <c r="D289" s="547">
        <f t="shared" si="33"/>
        <v>0.31806404595441623</v>
      </c>
      <c r="E289" s="574">
        <f t="shared" si="34"/>
        <v>0.009657105057870374</v>
      </c>
    </row>
    <row r="290" spans="1:5" ht="12.75">
      <c r="A290" s="512">
        <v>4</v>
      </c>
      <c r="B290" s="511" t="s">
        <v>229</v>
      </c>
      <c r="C290" s="547">
        <f t="shared" si="33"/>
        <v>0.33347373457832175</v>
      </c>
      <c r="D290" s="547">
        <f t="shared" si="33"/>
        <v>0.3494993574299241</v>
      </c>
      <c r="E290" s="574">
        <f t="shared" si="34"/>
        <v>0.01602562285160236</v>
      </c>
    </row>
    <row r="291" spans="1:5" ht="12.75">
      <c r="A291" s="512">
        <v>5</v>
      </c>
      <c r="B291" s="511" t="s">
        <v>829</v>
      </c>
      <c r="C291" s="547">
        <f t="shared" si="33"/>
        <v>0.2274132426134984</v>
      </c>
      <c r="D291" s="547">
        <f t="shared" si="33"/>
        <v>0.22302354937696103</v>
      </c>
      <c r="E291" s="574">
        <f t="shared" si="34"/>
        <v>-0.004389693236537373</v>
      </c>
    </row>
    <row r="292" spans="1:5" ht="12.75">
      <c r="A292" s="512">
        <v>6</v>
      </c>
      <c r="B292" s="511" t="s">
        <v>533</v>
      </c>
      <c r="C292" s="547">
        <f t="shared" si="33"/>
        <v>0.5816250157569646</v>
      </c>
      <c r="D292" s="547">
        <f t="shared" si="33"/>
        <v>0.4534428009868615</v>
      </c>
      <c r="E292" s="574">
        <f t="shared" si="34"/>
        <v>-0.12818221477010305</v>
      </c>
    </row>
    <row r="293" spans="1:5" ht="12.75">
      <c r="A293" s="512">
        <v>7</v>
      </c>
      <c r="B293" s="511" t="s">
        <v>844</v>
      </c>
      <c r="C293" s="547">
        <f t="shared" si="33"/>
        <v>0.18436652036652038</v>
      </c>
      <c r="D293" s="547">
        <f t="shared" si="33"/>
        <v>0.26598224630062545</v>
      </c>
      <c r="E293" s="574">
        <f t="shared" si="34"/>
        <v>0.08161572593410507</v>
      </c>
    </row>
    <row r="294" spans="1:5" ht="29.25" customHeight="1">
      <c r="A294" s="512"/>
      <c r="B294" s="516" t="s">
        <v>933</v>
      </c>
      <c r="C294" s="575">
        <f t="shared" si="33"/>
        <v>0.40041828453006745</v>
      </c>
      <c r="D294" s="575">
        <f t="shared" si="33"/>
        <v>0.3823001108967325</v>
      </c>
      <c r="E294" s="576">
        <f t="shared" si="34"/>
        <v>-0.018118173633334955</v>
      </c>
    </row>
    <row r="295" spans="1:5" ht="12.75">
      <c r="A295" s="512"/>
      <c r="B295" s="516" t="s">
        <v>934</v>
      </c>
      <c r="C295" s="575">
        <f t="shared" si="33"/>
        <v>0.4552668473980141</v>
      </c>
      <c r="D295" s="575">
        <f t="shared" si="33"/>
        <v>0.43519505546018605</v>
      </c>
      <c r="E295" s="576">
        <f t="shared" si="34"/>
        <v>-0.020071791937828043</v>
      </c>
    </row>
    <row r="296" spans="1:5" ht="12.75">
      <c r="A296" s="502"/>
      <c r="B296" s="519"/>
      <c r="C296" s="519"/>
      <c r="D296" s="520"/>
      <c r="E296" s="576"/>
    </row>
    <row r="297" spans="1:5" ht="15.75" customHeight="1">
      <c r="A297" s="500" t="s">
        <v>935</v>
      </c>
      <c r="B297" s="501" t="s">
        <v>936</v>
      </c>
      <c r="C297" s="340"/>
      <c r="E297" s="576"/>
    </row>
    <row r="298" spans="1:5" ht="15.75" customHeight="1">
      <c r="A298" s="340"/>
      <c r="B298" s="577"/>
      <c r="C298" s="499"/>
      <c r="E298" s="576"/>
    </row>
    <row r="299" spans="1:5" ht="12.75">
      <c r="A299" s="508" t="s">
        <v>129</v>
      </c>
      <c r="B299" s="509" t="s">
        <v>937</v>
      </c>
      <c r="C299" s="510"/>
      <c r="D299" s="510"/>
      <c r="E299" s="576"/>
    </row>
    <row r="300" spans="1:5" ht="12.75">
      <c r="A300" s="511"/>
      <c r="B300" s="511"/>
      <c r="C300" s="510"/>
      <c r="D300" s="510"/>
      <c r="E300" s="576"/>
    </row>
    <row r="301" spans="1:5" ht="12.75">
      <c r="A301" s="512">
        <v>1</v>
      </c>
      <c r="B301" s="511" t="s">
        <v>735</v>
      </c>
      <c r="C301" s="514">
        <f>+C48+C47+C50+C51+C52+C59+C58+C61+C62+C63</f>
        <v>83835879</v>
      </c>
      <c r="D301" s="514">
        <f>+D48+D47+D50+D51+D52+D59+D58+D61+D62+D63</f>
        <v>92789282</v>
      </c>
      <c r="E301" s="514">
        <f>D301-C301</f>
        <v>8953403</v>
      </c>
    </row>
    <row r="302" spans="1:5" ht="25.5">
      <c r="A302" s="512">
        <v>2</v>
      </c>
      <c r="B302" s="511" t="s">
        <v>938</v>
      </c>
      <c r="C302" s="546">
        <f>C265</f>
        <v>718549</v>
      </c>
      <c r="D302" s="546">
        <f>D265</f>
        <v>641511</v>
      </c>
      <c r="E302" s="514">
        <f>D302-C302</f>
        <v>-77038</v>
      </c>
    </row>
    <row r="303" spans="1:5" ht="12.75">
      <c r="A303" s="512"/>
      <c r="B303" s="516" t="s">
        <v>939</v>
      </c>
      <c r="C303" s="517">
        <f>+C301+C302</f>
        <v>84554428</v>
      </c>
      <c r="D303" s="517">
        <f>+D301+D302</f>
        <v>93430793</v>
      </c>
      <c r="E303" s="517">
        <f>D303-C303</f>
        <v>8876365</v>
      </c>
    </row>
    <row r="304" spans="1:5" ht="12.75">
      <c r="A304" s="512"/>
      <c r="B304" s="511"/>
      <c r="C304" s="511"/>
      <c r="D304" s="511"/>
      <c r="E304" s="514"/>
    </row>
    <row r="305" spans="1:5" ht="12.75">
      <c r="A305" s="512">
        <v>3</v>
      </c>
      <c r="B305" s="511" t="s">
        <v>940</v>
      </c>
      <c r="C305" s="513">
        <v>3384680</v>
      </c>
      <c r="D305" s="578">
        <v>2247797</v>
      </c>
      <c r="E305" s="579">
        <f>D305-C305</f>
        <v>-1136883</v>
      </c>
    </row>
    <row r="306" spans="1:5" ht="12.75">
      <c r="A306" s="512">
        <v>4</v>
      </c>
      <c r="B306" s="516" t="s">
        <v>941</v>
      </c>
      <c r="C306" s="580">
        <f>+C303+C305+C194+C190-C191</f>
        <v>91650703</v>
      </c>
      <c r="D306" s="580">
        <f>+D303+D305</f>
        <v>95678590</v>
      </c>
      <c r="E306" s="580">
        <f>D306-C306</f>
        <v>4027887</v>
      </c>
    </row>
    <row r="307" spans="1:5" ht="12.75">
      <c r="A307" s="512"/>
      <c r="B307" s="510"/>
      <c r="C307" s="510"/>
      <c r="D307" s="510"/>
      <c r="E307" s="514"/>
    </row>
    <row r="308" spans="1:5" ht="25.5">
      <c r="A308" s="512">
        <v>5</v>
      </c>
      <c r="B308" s="511" t="s">
        <v>942</v>
      </c>
      <c r="C308" s="513">
        <v>87939108</v>
      </c>
      <c r="D308" s="513">
        <v>95678590</v>
      </c>
      <c r="E308" s="514">
        <f>D308-C308</f>
        <v>7739482</v>
      </c>
    </row>
    <row r="309" spans="1:5" ht="12.75">
      <c r="A309" s="512"/>
      <c r="B309" s="511"/>
      <c r="C309" s="511"/>
      <c r="D309" s="511"/>
      <c r="E309" s="514"/>
    </row>
    <row r="310" spans="1:5" ht="12.75">
      <c r="A310" s="512">
        <v>6</v>
      </c>
      <c r="B310" s="516" t="s">
        <v>943</v>
      </c>
      <c r="C310" s="581">
        <f>C306-C308</f>
        <v>3711595</v>
      </c>
      <c r="D310" s="582">
        <f>D306-D308</f>
        <v>0</v>
      </c>
      <c r="E310" s="580">
        <f>D310-C310</f>
        <v>-3711595</v>
      </c>
    </row>
    <row r="311" spans="1:5" ht="12.75">
      <c r="A311" s="512"/>
      <c r="B311" s="511"/>
      <c r="C311" s="511"/>
      <c r="D311" s="511"/>
      <c r="E311" s="514"/>
    </row>
    <row r="312" spans="1:5" ht="12.75">
      <c r="A312" s="340" t="s">
        <v>141</v>
      </c>
      <c r="B312" s="509" t="s">
        <v>944</v>
      </c>
      <c r="C312" s="510"/>
      <c r="D312" s="510"/>
      <c r="E312" s="514"/>
    </row>
    <row r="313" spans="1:5" ht="12.75">
      <c r="A313" s="510"/>
      <c r="B313" s="551"/>
      <c r="C313" s="510"/>
      <c r="D313" s="510"/>
      <c r="E313" s="514"/>
    </row>
    <row r="314" spans="1:5" ht="12.75">
      <c r="A314" s="512">
        <v>1</v>
      </c>
      <c r="B314" s="511" t="s">
        <v>945</v>
      </c>
      <c r="C314" s="514">
        <f>+C14+C15+C16+C19+C25+C26+C27+C30</f>
        <v>155722889</v>
      </c>
      <c r="D314" s="514">
        <f>+D14+D15+D16+D19+D25+D26+D27+D30</f>
        <v>176391805</v>
      </c>
      <c r="E314" s="514">
        <f>D314-C314</f>
        <v>20668916</v>
      </c>
    </row>
    <row r="315" spans="1:5" ht="12.75">
      <c r="A315" s="512">
        <v>2</v>
      </c>
      <c r="B315" s="583" t="s">
        <v>946</v>
      </c>
      <c r="C315" s="513">
        <v>0</v>
      </c>
      <c r="D315" s="513">
        <v>0</v>
      </c>
      <c r="E315" s="514">
        <f>D315-C315</f>
        <v>0</v>
      </c>
    </row>
    <row r="316" spans="1:5" ht="12.75">
      <c r="A316" s="512"/>
      <c r="B316" s="516" t="s">
        <v>947</v>
      </c>
      <c r="C316" s="581">
        <f>C314+C315</f>
        <v>155722889</v>
      </c>
      <c r="D316" s="581">
        <f>D314+D315</f>
        <v>176391805</v>
      </c>
      <c r="E316" s="517">
        <f>D316-C316</f>
        <v>20668916</v>
      </c>
    </row>
    <row r="317" spans="1:5" ht="12.75">
      <c r="A317" s="512"/>
      <c r="B317" s="510"/>
      <c r="C317" s="513"/>
      <c r="D317" s="513"/>
      <c r="E317" s="514"/>
    </row>
    <row r="318" spans="1:5" ht="25.5">
      <c r="A318" s="512">
        <v>3</v>
      </c>
      <c r="B318" s="511" t="s">
        <v>948</v>
      </c>
      <c r="C318" s="513">
        <v>155722889</v>
      </c>
      <c r="D318" s="513">
        <v>176391807</v>
      </c>
      <c r="E318" s="514">
        <f>D318-C318</f>
        <v>20668918</v>
      </c>
    </row>
    <row r="319" spans="1:5" ht="12.75">
      <c r="A319" s="512"/>
      <c r="B319" s="511"/>
      <c r="C319" s="513"/>
      <c r="D319" s="513"/>
      <c r="E319" s="514"/>
    </row>
    <row r="320" spans="1:5" ht="12.75">
      <c r="A320" s="512">
        <v>4</v>
      </c>
      <c r="B320" s="516" t="s">
        <v>943</v>
      </c>
      <c r="C320" s="581">
        <f>C316-C318</f>
        <v>0</v>
      </c>
      <c r="D320" s="581">
        <f>D316-D318</f>
        <v>-2</v>
      </c>
      <c r="E320" s="517">
        <f>D320-C320</f>
        <v>-2</v>
      </c>
    </row>
    <row r="321" spans="1:5" ht="12.75">
      <c r="A321" s="511"/>
      <c r="B321" s="510"/>
      <c r="C321" s="510"/>
      <c r="D321" s="510"/>
      <c r="E321" s="514"/>
    </row>
    <row r="322" spans="1:5" ht="12.75">
      <c r="A322" s="508" t="s">
        <v>151</v>
      </c>
      <c r="B322" s="509" t="s">
        <v>949</v>
      </c>
      <c r="C322" s="510"/>
      <c r="D322" s="510"/>
      <c r="E322" s="514"/>
    </row>
    <row r="323" spans="1:5" ht="12.75">
      <c r="A323" s="510"/>
      <c r="B323" s="551"/>
      <c r="C323" s="510"/>
      <c r="D323" s="510"/>
      <c r="E323" s="514"/>
    </row>
    <row r="324" spans="1:5" ht="12.75">
      <c r="A324" s="512">
        <v>1</v>
      </c>
      <c r="B324" s="511" t="s">
        <v>950</v>
      </c>
      <c r="C324" s="513">
        <f>+C193+C194</f>
        <v>3552005</v>
      </c>
      <c r="D324" s="513">
        <f>+D193+D194</f>
        <v>3685246</v>
      </c>
      <c r="E324" s="514">
        <f>D324-C324</f>
        <v>133241</v>
      </c>
    </row>
    <row r="325" spans="1:5" ht="12.75">
      <c r="A325" s="512">
        <v>2</v>
      </c>
      <c r="B325" s="511" t="s">
        <v>951</v>
      </c>
      <c r="C325" s="513">
        <v>0</v>
      </c>
      <c r="D325" s="513">
        <v>0</v>
      </c>
      <c r="E325" s="514">
        <f>D325-C325</f>
        <v>0</v>
      </c>
    </row>
    <row r="326" spans="1:5" ht="12.75">
      <c r="A326" s="512"/>
      <c r="B326" s="516" t="s">
        <v>952</v>
      </c>
      <c r="C326" s="581">
        <f>C324+C325</f>
        <v>3552005</v>
      </c>
      <c r="D326" s="581">
        <f>D324+D325</f>
        <v>3685246</v>
      </c>
      <c r="E326" s="517">
        <f>D326-C326</f>
        <v>133241</v>
      </c>
    </row>
    <row r="327" spans="1:5" ht="12.75">
      <c r="A327" s="512"/>
      <c r="B327" s="510"/>
      <c r="C327" s="513"/>
      <c r="D327" s="513"/>
      <c r="E327" s="514"/>
    </row>
    <row r="328" spans="1:5" ht="25.5">
      <c r="A328" s="512">
        <v>3</v>
      </c>
      <c r="B328" s="511" t="s">
        <v>953</v>
      </c>
      <c r="C328" s="513">
        <v>3552005</v>
      </c>
      <c r="D328" s="513">
        <v>3685246</v>
      </c>
      <c r="E328" s="514">
        <f>D328-C328</f>
        <v>133241</v>
      </c>
    </row>
    <row r="329" spans="1:5" ht="12.75">
      <c r="A329" s="512"/>
      <c r="B329" s="511"/>
      <c r="C329" s="513"/>
      <c r="D329" s="513"/>
      <c r="E329" s="514"/>
    </row>
    <row r="330" spans="1:5" ht="12.75">
      <c r="A330" s="512">
        <v>4</v>
      </c>
      <c r="B330" s="516" t="s">
        <v>954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ht="12.75">
      <c r="E331" s="514"/>
    </row>
    <row r="332" ht="12.75">
      <c r="E332" s="514"/>
    </row>
    <row r="333" ht="12.75">
      <c r="E333" s="517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FILING&amp;RCHARLOTTE HUNGERFORD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10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115</v>
      </c>
      <c r="B2" s="705"/>
      <c r="C2" s="705"/>
      <c r="D2" s="585"/>
    </row>
    <row r="3" spans="1:4" s="338" customFormat="1" ht="15.75" customHeight="1">
      <c r="A3" s="695" t="s">
        <v>707</v>
      </c>
      <c r="B3" s="696"/>
      <c r="C3" s="697"/>
      <c r="D3" s="585"/>
    </row>
    <row r="4" spans="1:4" s="338" customFormat="1" ht="15.75" customHeight="1">
      <c r="A4" s="695" t="s">
        <v>117</v>
      </c>
      <c r="B4" s="696"/>
      <c r="C4" s="697"/>
      <c r="D4" s="585"/>
    </row>
    <row r="5" spans="1:4" s="338" customFormat="1" ht="15.75" customHeight="1">
      <c r="A5" s="695" t="s">
        <v>955</v>
      </c>
      <c r="B5" s="696"/>
      <c r="C5" s="697"/>
      <c r="D5" s="585"/>
    </row>
    <row r="6" spans="1:4" s="338" customFormat="1" ht="15.75" customHeight="1">
      <c r="A6" s="695" t="s">
        <v>956</v>
      </c>
      <c r="B6" s="696"/>
      <c r="C6" s="697"/>
      <c r="D6" s="585"/>
    </row>
    <row r="7" spans="1:4" s="338" customFormat="1" ht="15.75" customHeight="1">
      <c r="A7" s="709"/>
      <c r="B7" s="709"/>
      <c r="C7" s="709"/>
      <c r="D7" s="585"/>
    </row>
    <row r="8" spans="1:4" s="338" customFormat="1" ht="15.75" customHeight="1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>
      <c r="A9" s="587" t="s">
        <v>123</v>
      </c>
      <c r="B9" s="493" t="s">
        <v>124</v>
      </c>
      <c r="C9" s="494" t="s">
        <v>957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>
      <c r="A11" s="500" t="s">
        <v>127</v>
      </c>
      <c r="B11" s="501" t="s">
        <v>958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ht="12.75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ht="12.75">
      <c r="A13" s="508" t="s">
        <v>129</v>
      </c>
      <c r="B13" s="509" t="s">
        <v>861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ht="12.75">
      <c r="A14" s="512">
        <v>1</v>
      </c>
      <c r="B14" s="511" t="s">
        <v>737</v>
      </c>
      <c r="C14" s="513">
        <v>20271304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12.75">
      <c r="A15" s="512">
        <v>2</v>
      </c>
      <c r="B15" s="511" t="s">
        <v>716</v>
      </c>
      <c r="C15" s="515">
        <v>49306977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ht="12.75">
      <c r="A16" s="512">
        <v>3</v>
      </c>
      <c r="B16" s="511" t="s">
        <v>862</v>
      </c>
      <c r="C16" s="515">
        <v>9139270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ht="12.75">
      <c r="A17" s="512">
        <v>4</v>
      </c>
      <c r="B17" s="511" t="s">
        <v>229</v>
      </c>
      <c r="C17" s="515">
        <v>5912856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ht="12.75">
      <c r="A18" s="512">
        <v>5</v>
      </c>
      <c r="B18" s="511" t="s">
        <v>829</v>
      </c>
      <c r="C18" s="515">
        <v>3226414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ht="12.75">
      <c r="A19" s="512">
        <v>6</v>
      </c>
      <c r="B19" s="511" t="s">
        <v>533</v>
      </c>
      <c r="C19" s="515">
        <v>360931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ht="12.75">
      <c r="A20" s="512">
        <v>7</v>
      </c>
      <c r="B20" s="511" t="s">
        <v>844</v>
      </c>
      <c r="C20" s="515">
        <v>1170201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ht="12.75">
      <c r="A21" s="512"/>
      <c r="B21" s="516" t="s">
        <v>863</v>
      </c>
      <c r="C21" s="517">
        <f>SUM(C15+C16+C19)</f>
        <v>58807178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ht="12.75">
      <c r="A22" s="512"/>
      <c r="B22" s="516" t="s">
        <v>803</v>
      </c>
      <c r="C22" s="517">
        <f>SUM(C14+C21)</f>
        <v>79078482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ht="12.75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ht="12.75">
      <c r="A24" s="508" t="s">
        <v>141</v>
      </c>
      <c r="B24" s="509" t="s">
        <v>864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ht="12.75">
      <c r="A25" s="512">
        <v>1</v>
      </c>
      <c r="B25" s="511" t="s">
        <v>737</v>
      </c>
      <c r="C25" s="513">
        <v>46028674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ht="12.75">
      <c r="A26" s="512">
        <v>2</v>
      </c>
      <c r="B26" s="511" t="s">
        <v>716</v>
      </c>
      <c r="C26" s="515">
        <v>32195042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ht="12.75">
      <c r="A27" s="512">
        <v>3</v>
      </c>
      <c r="B27" s="511" t="s">
        <v>862</v>
      </c>
      <c r="C27" s="515">
        <v>18750755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ht="12.75">
      <c r="A28" s="512">
        <v>4</v>
      </c>
      <c r="B28" s="511" t="s">
        <v>229</v>
      </c>
      <c r="C28" s="515">
        <v>14090292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ht="12.75">
      <c r="A29" s="512">
        <v>5</v>
      </c>
      <c r="B29" s="511" t="s">
        <v>829</v>
      </c>
      <c r="C29" s="515">
        <v>4660463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ht="12.75">
      <c r="A30" s="512">
        <v>6</v>
      </c>
      <c r="B30" s="511" t="s">
        <v>533</v>
      </c>
      <c r="C30" s="515">
        <v>338852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ht="12.75">
      <c r="A31" s="512">
        <v>7</v>
      </c>
      <c r="B31" s="511" t="s">
        <v>844</v>
      </c>
      <c r="C31" s="518">
        <v>3638115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ht="12.75">
      <c r="A32" s="512"/>
      <c r="B32" s="516" t="s">
        <v>865</v>
      </c>
      <c r="C32" s="517">
        <f>SUM(C26+C27+C30)</f>
        <v>51284649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ht="12.75">
      <c r="A33" s="512"/>
      <c r="B33" s="516" t="s">
        <v>809</v>
      </c>
      <c r="C33" s="517">
        <f>SUM(C25+C32)</f>
        <v>97313323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ht="12.75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ht="12.75">
      <c r="A35" s="508" t="s">
        <v>151</v>
      </c>
      <c r="B35" s="509" t="s">
        <v>734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ht="12.75">
      <c r="A36" s="512">
        <v>1</v>
      </c>
      <c r="B36" s="511" t="s">
        <v>959</v>
      </c>
      <c r="C36" s="514">
        <f>SUM(C14+C25)</f>
        <v>66299978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ht="12.75">
      <c r="A37" s="512">
        <v>2</v>
      </c>
      <c r="B37" s="511" t="s">
        <v>960</v>
      </c>
      <c r="C37" s="518">
        <f>SUM(C21+C32)</f>
        <v>110091827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ht="12.75">
      <c r="A38" s="512"/>
      <c r="B38" s="516" t="s">
        <v>734</v>
      </c>
      <c r="C38" s="517">
        <f>SUM(+C36+C37)</f>
        <v>176391805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ht="12.75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ht="12.75">
      <c r="A40" s="508" t="s">
        <v>436</v>
      </c>
      <c r="B40" s="509" t="s">
        <v>874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>
      <c r="A41" s="512">
        <v>1</v>
      </c>
      <c r="B41" s="511" t="s">
        <v>737</v>
      </c>
      <c r="C41" s="513">
        <v>13484961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ht="12.75">
      <c r="A42" s="512">
        <v>2</v>
      </c>
      <c r="B42" s="511" t="s">
        <v>716</v>
      </c>
      <c r="C42" s="515">
        <v>32935779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ht="12.75">
      <c r="A43" s="512">
        <v>3</v>
      </c>
      <c r="B43" s="511" t="s">
        <v>862</v>
      </c>
      <c r="C43" s="515">
        <v>3851163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ht="12.75">
      <c r="A44" s="512">
        <v>4</v>
      </c>
      <c r="B44" s="511" t="s">
        <v>229</v>
      </c>
      <c r="C44" s="515">
        <v>2971140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ht="12.75">
      <c r="A45" s="512">
        <v>5</v>
      </c>
      <c r="B45" s="511" t="s">
        <v>829</v>
      </c>
      <c r="C45" s="515">
        <v>880023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ht="12.75">
      <c r="A46" s="512">
        <v>6</v>
      </c>
      <c r="B46" s="511" t="s">
        <v>533</v>
      </c>
      <c r="C46" s="515">
        <v>167102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ht="12.75">
      <c r="A47" s="512">
        <v>7</v>
      </c>
      <c r="B47" s="511" t="s">
        <v>844</v>
      </c>
      <c r="C47" s="515">
        <v>311253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ht="12.75">
      <c r="A48" s="512"/>
      <c r="B48" s="516" t="s">
        <v>875</v>
      </c>
      <c r="C48" s="517">
        <f>SUM(C42+C43+C46)</f>
        <v>36954044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ht="12.75">
      <c r="A49" s="512"/>
      <c r="B49" s="516" t="s">
        <v>804</v>
      </c>
      <c r="C49" s="517">
        <f>SUM(C41+C48)</f>
        <v>50439005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ht="12.75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ht="12.75">
      <c r="A51" s="508" t="s">
        <v>457</v>
      </c>
      <c r="B51" s="509" t="s">
        <v>876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ht="12.75">
      <c r="A52" s="512">
        <v>1</v>
      </c>
      <c r="B52" s="511" t="s">
        <v>737</v>
      </c>
      <c r="C52" s="513">
        <v>22744150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ht="12.75">
      <c r="A53" s="512">
        <v>2</v>
      </c>
      <c r="B53" s="511" t="s">
        <v>716</v>
      </c>
      <c r="C53" s="515">
        <v>13488536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ht="12.75">
      <c r="A54" s="512">
        <v>3</v>
      </c>
      <c r="B54" s="511" t="s">
        <v>862</v>
      </c>
      <c r="C54" s="515">
        <v>5963941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ht="12.75">
      <c r="A55" s="512">
        <v>4</v>
      </c>
      <c r="B55" s="511" t="s">
        <v>229</v>
      </c>
      <c r="C55" s="515">
        <v>4924548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ht="12.75">
      <c r="A56" s="512">
        <v>5</v>
      </c>
      <c r="B56" s="511" t="s">
        <v>829</v>
      </c>
      <c r="C56" s="515">
        <v>1039393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ht="12.75">
      <c r="A57" s="512">
        <v>6</v>
      </c>
      <c r="B57" s="511" t="s">
        <v>533</v>
      </c>
      <c r="C57" s="515">
        <v>153650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ht="12.75">
      <c r="A58" s="512">
        <v>7</v>
      </c>
      <c r="B58" s="511" t="s">
        <v>844</v>
      </c>
      <c r="C58" s="515">
        <v>967674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ht="12.75">
      <c r="A59" s="512"/>
      <c r="B59" s="516" t="s">
        <v>877</v>
      </c>
      <c r="C59" s="517">
        <f>SUM(C53+C54+C57)</f>
        <v>19606127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ht="12.75">
      <c r="A60" s="512"/>
      <c r="B60" s="516" t="s">
        <v>810</v>
      </c>
      <c r="C60" s="517">
        <f>SUM(C52+C59)</f>
        <v>42350277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3" ht="12.75">
      <c r="A61" s="520"/>
      <c r="B61" s="519"/>
      <c r="C61" s="520"/>
    </row>
    <row r="62" spans="1:58" s="506" customFormat="1" ht="12.75">
      <c r="A62" s="508" t="s">
        <v>469</v>
      </c>
      <c r="B62" s="521" t="s">
        <v>735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ht="12.75">
      <c r="A63" s="512">
        <v>1</v>
      </c>
      <c r="B63" s="511" t="s">
        <v>961</v>
      </c>
      <c r="C63" s="514">
        <f>SUM(C41+C52)</f>
        <v>36229111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ht="12.75">
      <c r="A64" s="512">
        <v>2</v>
      </c>
      <c r="B64" s="511" t="s">
        <v>962</v>
      </c>
      <c r="C64" s="518">
        <f>SUM(C48+C59)</f>
        <v>56560171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ht="12.75">
      <c r="A65" s="512"/>
      <c r="B65" s="516" t="s">
        <v>735</v>
      </c>
      <c r="C65" s="517">
        <f>SUM(+C63+C64)</f>
        <v>92789282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ht="12.75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>
      <c r="A67" s="335" t="s">
        <v>159</v>
      </c>
      <c r="B67" s="501" t="s">
        <v>963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ht="12.75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ht="12.75">
      <c r="A69" s="508" t="s">
        <v>129</v>
      </c>
      <c r="B69" s="509" t="s">
        <v>964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ht="12.75">
      <c r="A70" s="512">
        <v>1</v>
      </c>
      <c r="B70" s="511" t="s">
        <v>737</v>
      </c>
      <c r="C70" s="530">
        <v>1896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ht="12.75">
      <c r="A71" s="512">
        <v>2</v>
      </c>
      <c r="B71" s="511" t="s">
        <v>716</v>
      </c>
      <c r="C71" s="530">
        <v>3405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ht="12.75">
      <c r="A72" s="512">
        <v>3</v>
      </c>
      <c r="B72" s="511" t="s">
        <v>862</v>
      </c>
      <c r="C72" s="530">
        <v>994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ht="12.75">
      <c r="A73" s="512">
        <v>4</v>
      </c>
      <c r="B73" s="511" t="s">
        <v>229</v>
      </c>
      <c r="C73" s="530">
        <v>735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ht="12.75">
      <c r="A74" s="512">
        <v>5</v>
      </c>
      <c r="B74" s="511" t="s">
        <v>829</v>
      </c>
      <c r="C74" s="530">
        <v>259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ht="12.75">
      <c r="A75" s="512">
        <v>6</v>
      </c>
      <c r="B75" s="511" t="s">
        <v>533</v>
      </c>
      <c r="C75" s="545">
        <v>25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ht="12.75">
      <c r="A76" s="512">
        <v>7</v>
      </c>
      <c r="B76" s="511" t="s">
        <v>844</v>
      </c>
      <c r="C76" s="545">
        <v>123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ht="12.75">
      <c r="A77" s="512"/>
      <c r="B77" s="516" t="s">
        <v>892</v>
      </c>
      <c r="C77" s="532">
        <f>SUM(C71+C72+C75)</f>
        <v>4424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ht="12.75">
      <c r="A78" s="512"/>
      <c r="B78" s="516" t="s">
        <v>806</v>
      </c>
      <c r="C78" s="596">
        <f>SUM(C70+C77)</f>
        <v>6320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ht="12.75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ht="12.75">
      <c r="A80" s="508" t="s">
        <v>141</v>
      </c>
      <c r="B80" s="509" t="s">
        <v>897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ht="12.75">
      <c r="A81" s="512">
        <v>1</v>
      </c>
      <c r="B81" s="511" t="s">
        <v>737</v>
      </c>
      <c r="C81" s="541">
        <v>1.037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ht="12.75">
      <c r="A82" s="512">
        <v>2</v>
      </c>
      <c r="B82" s="511" t="s">
        <v>716</v>
      </c>
      <c r="C82" s="541">
        <v>1.4336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ht="12.75">
      <c r="A83" s="512">
        <v>3</v>
      </c>
      <c r="B83" s="511" t="s">
        <v>862</v>
      </c>
      <c r="C83" s="541">
        <f>((C73*C84)+(C74*C85))/(C73+C74)</f>
        <v>0.8351401408450704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ht="12.75">
      <c r="A84" s="512">
        <v>4</v>
      </c>
      <c r="B84" s="511" t="s">
        <v>229</v>
      </c>
      <c r="C84" s="541">
        <v>0.7768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ht="12.75">
      <c r="A85" s="512">
        <v>5</v>
      </c>
      <c r="B85" s="511" t="s">
        <v>829</v>
      </c>
      <c r="C85" s="541">
        <v>1.0007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ht="12.75">
      <c r="A86" s="512">
        <v>6</v>
      </c>
      <c r="B86" s="511" t="s">
        <v>533</v>
      </c>
      <c r="C86" s="541">
        <v>1.2313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ht="12.75">
      <c r="A87" s="512">
        <v>7</v>
      </c>
      <c r="B87" s="511" t="s">
        <v>844</v>
      </c>
      <c r="C87" s="541">
        <v>0.8838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ht="12.75">
      <c r="A88" s="512"/>
      <c r="B88" s="516" t="s">
        <v>898</v>
      </c>
      <c r="C88" s="543">
        <f>((C71*C82)+(C73*C84)+(C74*C85)+(C75*C86))/(C71+C73+C74+C75)</f>
        <v>1.2979927215189877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ht="12.75">
      <c r="A89" s="512"/>
      <c r="B89" s="516" t="s">
        <v>807</v>
      </c>
      <c r="C89" s="543">
        <f>((C70*C81)+(C71*C82)+(C73*C84)+(C74*C85)+(C75*C86))/(C70+C71+C73+C74+C75)</f>
        <v>1.2196949050632913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ht="12.75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ht="12.75">
      <c r="A91" s="508" t="s">
        <v>151</v>
      </c>
      <c r="B91" s="509" t="s">
        <v>899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ht="12.75">
      <c r="A92" s="512">
        <v>1</v>
      </c>
      <c r="B92" s="511" t="s">
        <v>900</v>
      </c>
      <c r="C92" s="513">
        <v>65804567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ht="12.75">
      <c r="A93" s="512">
        <v>2</v>
      </c>
      <c r="B93" s="511" t="s">
        <v>901</v>
      </c>
      <c r="C93" s="546">
        <v>39914356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ht="12.75">
      <c r="A94" s="512"/>
      <c r="B94" s="511" t="s">
        <v>749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ht="12.75">
      <c r="A95" s="512">
        <v>3</v>
      </c>
      <c r="B95" s="511" t="s">
        <v>833</v>
      </c>
      <c r="C95" s="513">
        <f>+C92-C93</f>
        <v>25890211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ht="12.75">
      <c r="A96" s="512">
        <v>4</v>
      </c>
      <c r="B96" s="511" t="s">
        <v>751</v>
      </c>
      <c r="C96" s="597">
        <f>(+C92-C93)/C92</f>
        <v>0.39344094460799356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ht="12.75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ht="12.75">
      <c r="A98" s="512">
        <v>5</v>
      </c>
      <c r="B98" s="511" t="s">
        <v>848</v>
      </c>
      <c r="C98" s="513">
        <v>495412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ht="12.75">
      <c r="A99" s="512">
        <v>6</v>
      </c>
      <c r="B99" s="511" t="s">
        <v>834</v>
      </c>
      <c r="C99" s="513">
        <v>323466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ht="12.75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>
      <c r="A101" s="512">
        <v>7</v>
      </c>
      <c r="B101" s="548" t="s">
        <v>965</v>
      </c>
      <c r="C101" s="513">
        <v>641511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ht="12.75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ht="12.75">
      <c r="A103" s="512">
        <v>8</v>
      </c>
      <c r="B103" s="511" t="s">
        <v>903</v>
      </c>
      <c r="C103" s="513">
        <v>1438204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ht="12.75">
      <c r="A104" s="512">
        <v>9</v>
      </c>
      <c r="B104" s="511" t="s">
        <v>904</v>
      </c>
      <c r="C104" s="513">
        <v>2247042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ht="12.75">
      <c r="A105" s="570">
        <v>10</v>
      </c>
      <c r="B105" s="571" t="s">
        <v>905</v>
      </c>
      <c r="C105" s="578">
        <f>+C103+C104</f>
        <v>3685246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ht="12.75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ht="12.75">
      <c r="A107" s="512">
        <v>11</v>
      </c>
      <c r="B107" s="511" t="s">
        <v>906</v>
      </c>
      <c r="C107" s="513">
        <v>5573529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ht="12.75">
      <c r="A108" s="512">
        <v>12</v>
      </c>
      <c r="B108" s="511" t="s">
        <v>791</v>
      </c>
      <c r="C108" s="513">
        <v>100402359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ht="12.75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>
      <c r="A110" s="500" t="s">
        <v>250</v>
      </c>
      <c r="B110" s="501" t="s">
        <v>936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ht="12.75">
      <c r="A112" s="508" t="s">
        <v>129</v>
      </c>
      <c r="B112" s="509" t="s">
        <v>937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ht="12.75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ht="12.75">
      <c r="A114" s="512">
        <v>1</v>
      </c>
      <c r="B114" s="511" t="s">
        <v>735</v>
      </c>
      <c r="C114" s="514">
        <f>+C65</f>
        <v>92789282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ht="12.75">
      <c r="A115" s="512">
        <v>2</v>
      </c>
      <c r="B115" s="511" t="s">
        <v>938</v>
      </c>
      <c r="C115" s="546">
        <f>+C101</f>
        <v>641511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ht="12.75">
      <c r="A116" s="512"/>
      <c r="B116" s="516" t="s">
        <v>939</v>
      </c>
      <c r="C116" s="517">
        <f>+C114+C115</f>
        <v>93430793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ht="12.75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ht="12.75">
      <c r="A118" s="512">
        <v>3</v>
      </c>
      <c r="B118" s="511" t="s">
        <v>940</v>
      </c>
      <c r="C118" s="578">
        <v>2247797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ht="12.75">
      <c r="A119" s="512"/>
      <c r="B119" s="516" t="s">
        <v>941</v>
      </c>
      <c r="C119" s="580">
        <f>+C116+C118</f>
        <v>95678590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ht="12.75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ht="12.75">
      <c r="A121" s="512">
        <v>4</v>
      </c>
      <c r="B121" s="511" t="s">
        <v>942</v>
      </c>
      <c r="C121" s="513">
        <v>95678590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ht="12.75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ht="12.75">
      <c r="A123" s="512"/>
      <c r="B123" s="516" t="s">
        <v>943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ht="12.75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ht="12.75">
      <c r="A125" s="340" t="s">
        <v>141</v>
      </c>
      <c r="B125" s="509" t="s">
        <v>944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ht="12.75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44" s="506" customFormat="1" ht="12.75">
      <c r="A127" s="512">
        <v>1</v>
      </c>
      <c r="B127" s="511" t="s">
        <v>945</v>
      </c>
      <c r="C127" s="514">
        <f>+C38</f>
        <v>176391805</v>
      </c>
      <c r="D127" s="588"/>
      <c r="AR127" s="507"/>
    </row>
    <row r="128" spans="1:44" s="506" customFormat="1" ht="12.75">
      <c r="A128" s="512">
        <v>2</v>
      </c>
      <c r="B128" s="583" t="s">
        <v>946</v>
      </c>
      <c r="C128" s="513">
        <v>0</v>
      </c>
      <c r="D128" s="588"/>
      <c r="AR128" s="507"/>
    </row>
    <row r="129" spans="1:44" s="506" customFormat="1" ht="12.75">
      <c r="A129" s="512"/>
      <c r="B129" s="516" t="s">
        <v>947</v>
      </c>
      <c r="C129" s="581">
        <f>C127+C128</f>
        <v>176391805</v>
      </c>
      <c r="D129" s="588"/>
      <c r="AR129" s="507"/>
    </row>
    <row r="130" spans="1:44" s="506" customFormat="1" ht="12.75">
      <c r="A130" s="512"/>
      <c r="B130" s="510"/>
      <c r="C130" s="513"/>
      <c r="D130" s="588"/>
      <c r="AR130" s="507"/>
    </row>
    <row r="131" spans="1:44" s="506" customFormat="1" ht="12.75">
      <c r="A131" s="512">
        <v>3</v>
      </c>
      <c r="B131" s="511" t="s">
        <v>948</v>
      </c>
      <c r="C131" s="513">
        <v>176391807</v>
      </c>
      <c r="D131" s="588"/>
      <c r="AR131" s="507"/>
    </row>
    <row r="132" spans="1:44" s="506" customFormat="1" ht="12.75">
      <c r="A132" s="512"/>
      <c r="B132" s="511"/>
      <c r="C132" s="513"/>
      <c r="D132" s="588"/>
      <c r="AR132" s="507"/>
    </row>
    <row r="133" spans="1:44" s="506" customFormat="1" ht="12.75">
      <c r="A133" s="512"/>
      <c r="B133" s="516" t="s">
        <v>943</v>
      </c>
      <c r="C133" s="581">
        <f>C129-C131</f>
        <v>-2</v>
      </c>
      <c r="D133" s="588"/>
      <c r="AR133" s="507"/>
    </row>
    <row r="134" spans="1:44" s="506" customFormat="1" ht="12.75">
      <c r="A134" s="511"/>
      <c r="B134" s="510"/>
      <c r="C134" s="510"/>
      <c r="D134" s="588"/>
      <c r="AR134" s="507"/>
    </row>
    <row r="135" spans="1:44" s="506" customFormat="1" ht="12.75">
      <c r="A135" s="508" t="s">
        <v>151</v>
      </c>
      <c r="B135" s="509" t="s">
        <v>949</v>
      </c>
      <c r="C135" s="510"/>
      <c r="D135" s="588"/>
      <c r="AR135" s="507"/>
    </row>
    <row r="136" spans="1:44" s="506" customFormat="1" ht="12.75">
      <c r="A136" s="510"/>
      <c r="B136" s="551"/>
      <c r="C136" s="510"/>
      <c r="D136" s="588"/>
      <c r="AR136" s="507"/>
    </row>
    <row r="137" spans="1:44" s="506" customFormat="1" ht="12.75">
      <c r="A137" s="512">
        <v>1</v>
      </c>
      <c r="B137" s="511" t="s">
        <v>950</v>
      </c>
      <c r="C137" s="513">
        <f>C105</f>
        <v>3685246</v>
      </c>
      <c r="D137" s="588"/>
      <c r="AR137" s="507"/>
    </row>
    <row r="138" spans="1:44" s="506" customFormat="1" ht="12.75">
      <c r="A138" s="512">
        <v>2</v>
      </c>
      <c r="B138" s="511" t="s">
        <v>966</v>
      </c>
      <c r="C138" s="513">
        <v>0</v>
      </c>
      <c r="D138" s="588"/>
      <c r="AR138" s="507"/>
    </row>
    <row r="139" spans="1:44" s="506" customFormat="1" ht="12.75">
      <c r="A139" s="512"/>
      <c r="B139" s="516" t="s">
        <v>952</v>
      </c>
      <c r="C139" s="581">
        <f>C137+C138</f>
        <v>3685246</v>
      </c>
      <c r="D139" s="588"/>
      <c r="AR139" s="507"/>
    </row>
    <row r="140" spans="1:44" s="506" customFormat="1" ht="12.75">
      <c r="A140" s="512"/>
      <c r="B140" s="510"/>
      <c r="C140" s="513"/>
      <c r="D140" s="588"/>
      <c r="AR140" s="507"/>
    </row>
    <row r="141" spans="1:44" s="506" customFormat="1" ht="12.75">
      <c r="A141" s="512">
        <v>3</v>
      </c>
      <c r="B141" s="511" t="s">
        <v>967</v>
      </c>
      <c r="C141" s="513">
        <v>3685246</v>
      </c>
      <c r="D141" s="588"/>
      <c r="AR141" s="507"/>
    </row>
    <row r="142" spans="1:44" s="506" customFormat="1" ht="12.75">
      <c r="A142" s="512"/>
      <c r="B142" s="511"/>
      <c r="C142" s="513"/>
      <c r="D142" s="588"/>
      <c r="AR142" s="507"/>
    </row>
    <row r="143" spans="1:44" s="506" customFormat="1" ht="12.75">
      <c r="A143" s="512"/>
      <c r="B143" s="516" t="s">
        <v>954</v>
      </c>
      <c r="C143" s="581">
        <f>C139-C141</f>
        <v>0</v>
      </c>
      <c r="D143" s="588"/>
      <c r="AR143" s="507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&amp;LOFFICE OF HEALTH CARE ACCESS&amp;CTWELVE MONTHS ACTUAL FILING&amp;RCHARLOTTE HUNGERFORD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13">
      <selection activeCell="B43" sqref="B43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2"/>
      <c r="B1" s="602"/>
      <c r="C1" s="35"/>
      <c r="D1" s="602"/>
      <c r="E1" s="602"/>
      <c r="F1" s="602"/>
    </row>
    <row r="2" spans="1:6" ht="15.75" customHeight="1">
      <c r="A2" s="714" t="s">
        <v>115</v>
      </c>
      <c r="B2" s="715"/>
      <c r="C2" s="715"/>
      <c r="D2" s="715"/>
      <c r="E2" s="715"/>
      <c r="F2" s="716"/>
    </row>
    <row r="3" spans="1:6" ht="15.75" customHeight="1">
      <c r="A3" s="714" t="s">
        <v>707</v>
      </c>
      <c r="B3" s="715"/>
      <c r="C3" s="715"/>
      <c r="D3" s="715"/>
      <c r="E3" s="715"/>
      <c r="F3" s="716"/>
    </row>
    <row r="4" spans="1:6" ht="15.75" customHeight="1">
      <c r="A4" s="714" t="s">
        <v>708</v>
      </c>
      <c r="B4" s="715"/>
      <c r="C4" s="715"/>
      <c r="D4" s="715"/>
      <c r="E4" s="715"/>
      <c r="F4" s="716"/>
    </row>
    <row r="5" spans="1:6" ht="15.75" customHeight="1">
      <c r="A5" s="714" t="s">
        <v>968</v>
      </c>
      <c r="B5" s="715"/>
      <c r="C5" s="715"/>
      <c r="D5" s="715"/>
      <c r="E5" s="715"/>
      <c r="F5" s="716"/>
    </row>
    <row r="6" spans="1:13" ht="15.75" customHeight="1">
      <c r="A6" s="602"/>
      <c r="B6" s="602"/>
      <c r="C6" s="35"/>
      <c r="D6" s="35"/>
      <c r="E6" s="602"/>
      <c r="F6" s="602"/>
      <c r="M6" s="122"/>
    </row>
    <row r="7" spans="1:6" ht="15.75" customHeight="1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3" ht="15.75" customHeight="1">
      <c r="A8" s="602"/>
      <c r="B8" s="305"/>
      <c r="C8" s="35" t="s">
        <v>711</v>
      </c>
      <c r="D8" s="35" t="s">
        <v>711</v>
      </c>
      <c r="E8" s="35" t="s">
        <v>121</v>
      </c>
      <c r="F8" s="35" t="s">
        <v>122</v>
      </c>
      <c r="G8" s="604"/>
      <c r="H8" s="289"/>
      <c r="I8" s="308"/>
      <c r="J8" s="308"/>
      <c r="K8" s="308"/>
      <c r="L8" s="308"/>
      <c r="M8" s="308"/>
    </row>
    <row r="9" spans="1:14" ht="15.75" customHeight="1">
      <c r="A9" s="605" t="s">
        <v>123</v>
      </c>
      <c r="B9" s="606" t="s">
        <v>124</v>
      </c>
      <c r="C9" s="607" t="s">
        <v>713</v>
      </c>
      <c r="D9" s="607" t="s">
        <v>714</v>
      </c>
      <c r="E9" s="605" t="s">
        <v>126</v>
      </c>
      <c r="F9" s="605" t="s">
        <v>126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>
      <c r="A11" s="29" t="s">
        <v>129</v>
      </c>
      <c r="B11" s="606" t="s">
        <v>969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3" ht="15" customHeight="1">
      <c r="A12" s="25">
        <v>1</v>
      </c>
      <c r="B12" s="609" t="s">
        <v>970</v>
      </c>
      <c r="C12" s="49">
        <v>954</v>
      </c>
      <c r="D12" s="49">
        <v>1199</v>
      </c>
      <c r="E12" s="49">
        <f>+D12-C12</f>
        <v>245</v>
      </c>
      <c r="F12" s="70">
        <f>IF(C12=0,0,+E12/C12)</f>
        <v>0.25681341719077566</v>
      </c>
      <c r="G12" s="610"/>
      <c r="H12" s="611"/>
      <c r="I12" s="612"/>
      <c r="J12" s="308"/>
      <c r="K12" s="308"/>
      <c r="L12" s="308"/>
      <c r="M12" s="308"/>
    </row>
    <row r="13" spans="1:13" ht="15" customHeight="1">
      <c r="A13" s="44">
        <v>2</v>
      </c>
      <c r="B13" s="609" t="s">
        <v>971</v>
      </c>
      <c r="C13" s="49">
        <v>868</v>
      </c>
      <c r="D13" s="49">
        <v>1188</v>
      </c>
      <c r="E13" s="49">
        <f>+D13-C13</f>
        <v>320</v>
      </c>
      <c r="F13" s="70">
        <f>IF(C13=0,0,+E13/C13)</f>
        <v>0.3686635944700461</v>
      </c>
      <c r="G13" s="610"/>
      <c r="H13" s="611"/>
      <c r="I13" s="612"/>
      <c r="J13" s="308"/>
      <c r="K13" s="308"/>
      <c r="L13" s="308"/>
      <c r="M13" s="308"/>
    </row>
    <row r="14" spans="1:13" ht="15" customHeight="1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3" ht="15" customHeight="1">
      <c r="A15" s="25">
        <v>3</v>
      </c>
      <c r="B15" s="121" t="s">
        <v>972</v>
      </c>
      <c r="C15" s="51">
        <v>1110508</v>
      </c>
      <c r="D15" s="51">
        <v>1438204</v>
      </c>
      <c r="E15" s="51">
        <f>+D15-C15</f>
        <v>327696</v>
      </c>
      <c r="F15" s="70">
        <f>IF(C15=0,0,+E15/C15)</f>
        <v>0.29508657299181995</v>
      </c>
      <c r="G15" s="610"/>
      <c r="H15" s="611"/>
      <c r="I15" s="612"/>
      <c r="J15" s="308"/>
      <c r="K15" s="308"/>
      <c r="L15" s="308"/>
      <c r="M15" s="308"/>
    </row>
    <row r="16" spans="1:13" ht="15.75" customHeight="1">
      <c r="A16" s="25">
        <v>4</v>
      </c>
      <c r="B16" s="121" t="s">
        <v>973</v>
      </c>
      <c r="C16" s="27">
        <f>IF(C13=0,0,+C15/+C13)</f>
        <v>1279.3870967741937</v>
      </c>
      <c r="D16" s="27">
        <f>IF(D13=0,0,+D15/+D13)</f>
        <v>1210.6094276094277</v>
      </c>
      <c r="E16" s="27">
        <f>+D16-C16</f>
        <v>-68.77766916476594</v>
      </c>
      <c r="F16" s="28">
        <f>IF(C16=0,0,+E16/C16)</f>
        <v>-0.05375829515412481</v>
      </c>
      <c r="G16" s="610"/>
      <c r="H16" s="611"/>
      <c r="I16" s="612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>
      <c r="A18" s="25">
        <v>5</v>
      </c>
      <c r="B18" s="613" t="s">
        <v>974</v>
      </c>
      <c r="C18" s="210">
        <v>0.585895</v>
      </c>
      <c r="D18" s="210">
        <v>0.578885</v>
      </c>
      <c r="E18" s="210">
        <f>+D18-C18</f>
        <v>-0.007010000000000072</v>
      </c>
      <c r="F18" s="70">
        <f>IF(C18=0,0,+E18/C18)</f>
        <v>-0.01196460116573801</v>
      </c>
      <c r="G18" s="610"/>
      <c r="H18" s="611"/>
      <c r="I18" s="612"/>
      <c r="J18" s="308"/>
      <c r="K18" s="308"/>
      <c r="L18" s="308"/>
      <c r="M18" s="308"/>
    </row>
    <row r="19" spans="1:13" ht="15.75" customHeight="1">
      <c r="A19" s="25">
        <v>6</v>
      </c>
      <c r="B19" s="614" t="s">
        <v>975</v>
      </c>
      <c r="C19" s="27">
        <f>+C15*C18</f>
        <v>650641.08466</v>
      </c>
      <c r="D19" s="27">
        <f>+D15*D18</f>
        <v>832554.72254</v>
      </c>
      <c r="E19" s="27">
        <f>+D19-C19</f>
        <v>181913.63787999994</v>
      </c>
      <c r="F19" s="28">
        <f>IF(C19=0,0,+E19/C19)</f>
        <v>0.2795913786708704</v>
      </c>
      <c r="G19" s="610"/>
      <c r="H19" s="611"/>
      <c r="I19" s="612"/>
      <c r="J19" s="308"/>
      <c r="K19" s="308"/>
      <c r="L19" s="308"/>
      <c r="M19" s="308"/>
    </row>
    <row r="20" spans="1:13" ht="15.75" customHeight="1">
      <c r="A20" s="25">
        <v>7</v>
      </c>
      <c r="B20" s="614" t="s">
        <v>976</v>
      </c>
      <c r="C20" s="27">
        <f>IF(C13=0,0,+C19/C13)</f>
        <v>749.5865030645161</v>
      </c>
      <c r="D20" s="27">
        <f>IF(D13=0,0,+D19/D13)</f>
        <v>700.8036385016835</v>
      </c>
      <c r="E20" s="27">
        <f>+D20-C20</f>
        <v>-48.78286456283263</v>
      </c>
      <c r="F20" s="28">
        <f>IF(C20=0,0,+E20/C20)</f>
        <v>-0.06507969975899358</v>
      </c>
      <c r="G20" s="610"/>
      <c r="H20" s="611"/>
      <c r="I20" s="612"/>
      <c r="J20" s="308"/>
      <c r="K20" s="308"/>
      <c r="L20" s="308"/>
      <c r="M20" s="308"/>
    </row>
    <row r="21" spans="1:13" ht="15.75" customHeight="1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>
      <c r="A22" s="25">
        <v>8</v>
      </c>
      <c r="B22" s="613" t="s">
        <v>977</v>
      </c>
      <c r="C22" s="51">
        <v>558586</v>
      </c>
      <c r="D22" s="51">
        <v>558673</v>
      </c>
      <c r="E22" s="51">
        <f>+D22-C22</f>
        <v>87</v>
      </c>
      <c r="F22" s="70">
        <f>IF(C22=0,0,+E22/C22)</f>
        <v>0.00015575041264908178</v>
      </c>
      <c r="G22" s="610"/>
      <c r="H22" s="611"/>
      <c r="I22" s="612"/>
      <c r="J22" s="308"/>
      <c r="K22" s="308"/>
      <c r="L22" s="308"/>
      <c r="M22" s="308"/>
    </row>
    <row r="23" spans="1:13" ht="15" customHeight="1">
      <c r="A23" s="25">
        <v>9</v>
      </c>
      <c r="B23" s="613" t="s">
        <v>978</v>
      </c>
      <c r="C23" s="49">
        <v>354359</v>
      </c>
      <c r="D23" s="49">
        <v>627334</v>
      </c>
      <c r="E23" s="49">
        <f>+D23-C23</f>
        <v>272975</v>
      </c>
      <c r="F23" s="70">
        <f>IF(C23=0,0,+E23/C23)</f>
        <v>0.7703346041726046</v>
      </c>
      <c r="G23" s="610"/>
      <c r="H23" s="611"/>
      <c r="I23" s="612"/>
      <c r="J23" s="308"/>
      <c r="K23" s="308"/>
      <c r="L23" s="308"/>
      <c r="M23" s="308"/>
    </row>
    <row r="24" spans="1:13" ht="15" customHeight="1">
      <c r="A24" s="25">
        <v>10</v>
      </c>
      <c r="B24" s="613" t="s">
        <v>0</v>
      </c>
      <c r="C24" s="49">
        <v>197563</v>
      </c>
      <c r="D24" s="49">
        <v>252197</v>
      </c>
      <c r="E24" s="49">
        <f>+D24-C24</f>
        <v>54634</v>
      </c>
      <c r="F24" s="70">
        <f>IF(C24=0,0,+E24/C24)</f>
        <v>0.27653963545805643</v>
      </c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5">
        <v>11</v>
      </c>
      <c r="B25" s="614" t="s">
        <v>972</v>
      </c>
      <c r="C25" s="27">
        <f>+C22+C23+C24</f>
        <v>1110508</v>
      </c>
      <c r="D25" s="27">
        <f>+D22+D23+D24</f>
        <v>1438204</v>
      </c>
      <c r="E25" s="27">
        <f>+E22+E23+E24</f>
        <v>327696</v>
      </c>
      <c r="F25" s="28">
        <f>IF(C25=0,0,+E25/C25)</f>
        <v>0.29508657299181995</v>
      </c>
      <c r="G25" s="610"/>
      <c r="H25" s="611"/>
      <c r="I25" s="612"/>
      <c r="J25" s="308"/>
      <c r="K25" s="308"/>
      <c r="L25" s="308"/>
      <c r="M25" s="308"/>
    </row>
    <row r="26" spans="1:13" ht="15.75" customHeight="1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>
      <c r="A27" s="25">
        <v>12</v>
      </c>
      <c r="B27" s="615" t="s">
        <v>1</v>
      </c>
      <c r="C27" s="49">
        <v>345</v>
      </c>
      <c r="D27" s="49">
        <v>297</v>
      </c>
      <c r="E27" s="49">
        <f>+D27-C27</f>
        <v>-48</v>
      </c>
      <c r="F27" s="70">
        <f>IF(C27=0,0,+E27/C27)</f>
        <v>-0.1391304347826087</v>
      </c>
      <c r="G27" s="610"/>
      <c r="H27" s="611"/>
      <c r="I27" s="612"/>
      <c r="J27" s="308"/>
      <c r="K27" s="308"/>
      <c r="L27" s="308"/>
      <c r="M27" s="308"/>
    </row>
    <row r="28" spans="1:13" ht="15" customHeight="1">
      <c r="A28" s="25">
        <v>13</v>
      </c>
      <c r="B28" s="615" t="s">
        <v>2</v>
      </c>
      <c r="C28" s="49">
        <v>51</v>
      </c>
      <c r="D28" s="49">
        <v>60</v>
      </c>
      <c r="E28" s="49">
        <f>+D28-C28</f>
        <v>9</v>
      </c>
      <c r="F28" s="70">
        <f>IF(C28=0,0,+E28/C28)</f>
        <v>0.17647058823529413</v>
      </c>
      <c r="G28" s="610"/>
      <c r="H28" s="611"/>
      <c r="I28" s="612"/>
      <c r="J28" s="308"/>
      <c r="K28" s="308"/>
      <c r="L28" s="308"/>
      <c r="M28" s="308"/>
    </row>
    <row r="29" spans="1:13" ht="16.5" customHeight="1">
      <c r="A29" s="25">
        <v>14</v>
      </c>
      <c r="B29" s="615" t="s">
        <v>3</v>
      </c>
      <c r="C29" s="49">
        <v>408</v>
      </c>
      <c r="D29" s="49">
        <v>705</v>
      </c>
      <c r="E29" s="49">
        <f>+D29-C29</f>
        <v>297</v>
      </c>
      <c r="F29" s="70">
        <f>IF(C29=0,0,+E29/C29)</f>
        <v>0.7279411764705882</v>
      </c>
      <c r="G29" s="610"/>
      <c r="H29" s="611"/>
      <c r="I29" s="612"/>
      <c r="J29" s="308"/>
      <c r="K29" s="308"/>
      <c r="L29" s="308"/>
      <c r="M29" s="308"/>
    </row>
    <row r="30" spans="1:13" ht="15" customHeight="1">
      <c r="A30" s="25">
        <v>15</v>
      </c>
      <c r="B30" s="615" t="s">
        <v>4</v>
      </c>
      <c r="C30" s="49">
        <v>1546</v>
      </c>
      <c r="D30" s="49">
        <v>2301</v>
      </c>
      <c r="E30" s="49">
        <f>+D30-C30</f>
        <v>755</v>
      </c>
      <c r="F30" s="70">
        <f>IF(C30=0,0,+E30/C30)</f>
        <v>0.4883570504527814</v>
      </c>
      <c r="G30" s="610"/>
      <c r="H30" s="611"/>
      <c r="I30" s="612"/>
      <c r="J30" s="308"/>
      <c r="K30" s="308"/>
      <c r="L30" s="308"/>
      <c r="M30" s="308"/>
    </row>
    <row r="31" spans="1:13" ht="15" customHeight="1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>
      <c r="A32" s="29" t="s">
        <v>141</v>
      </c>
      <c r="B32" s="606" t="s">
        <v>5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>
      <c r="A33" s="25">
        <v>1</v>
      </c>
      <c r="B33" s="613" t="s">
        <v>6</v>
      </c>
      <c r="C33" s="51">
        <v>580208</v>
      </c>
      <c r="D33" s="51">
        <v>531574</v>
      </c>
      <c r="E33" s="51">
        <f>+D33-C33</f>
        <v>-48634</v>
      </c>
      <c r="F33" s="70">
        <f>IF(C33=0,0,+E33/C33)</f>
        <v>-0.08382166395499545</v>
      </c>
      <c r="G33" s="610"/>
      <c r="H33" s="611"/>
      <c r="I33" s="612"/>
      <c r="J33" s="308"/>
      <c r="K33" s="308"/>
      <c r="L33" s="308"/>
      <c r="M33" s="308"/>
    </row>
    <row r="34" spans="1:13" ht="15" customHeight="1">
      <c r="A34" s="25">
        <v>2</v>
      </c>
      <c r="B34" s="613" t="s">
        <v>7</v>
      </c>
      <c r="C34" s="49">
        <v>670763</v>
      </c>
      <c r="D34" s="49">
        <v>632487</v>
      </c>
      <c r="E34" s="49">
        <f>+D34-C34</f>
        <v>-38276</v>
      </c>
      <c r="F34" s="70">
        <f>IF(C34=0,0,+E34/C34)</f>
        <v>-0.057063374097855724</v>
      </c>
      <c r="G34" s="610"/>
      <c r="H34" s="611"/>
      <c r="I34" s="612"/>
      <c r="J34" s="308"/>
      <c r="K34" s="308"/>
      <c r="L34" s="308"/>
      <c r="M34" s="308"/>
    </row>
    <row r="35" spans="1:13" ht="15" customHeight="1">
      <c r="A35" s="25">
        <v>3</v>
      </c>
      <c r="B35" s="613" t="s">
        <v>8</v>
      </c>
      <c r="C35" s="49">
        <v>1190526</v>
      </c>
      <c r="D35" s="49">
        <v>1082981</v>
      </c>
      <c r="E35" s="49">
        <f>+D35-C35</f>
        <v>-107545</v>
      </c>
      <c r="F35" s="70">
        <f>IF(C35=0,0,+E35/C35)</f>
        <v>-0.09033402042458544</v>
      </c>
      <c r="G35" s="610"/>
      <c r="H35" s="611"/>
      <c r="I35" s="612"/>
      <c r="J35" s="308"/>
      <c r="K35" s="308"/>
      <c r="L35" s="308"/>
      <c r="M35" s="308"/>
    </row>
    <row r="36" spans="1:13" ht="15.75" customHeight="1">
      <c r="A36" s="25">
        <v>4</v>
      </c>
      <c r="B36" s="614" t="s">
        <v>9</v>
      </c>
      <c r="C36" s="27">
        <f>+C33+C34+C35</f>
        <v>2441497</v>
      </c>
      <c r="D36" s="27">
        <f>+D33+D34+D35</f>
        <v>2247042</v>
      </c>
      <c r="E36" s="27">
        <f>+E33+E34+E35</f>
        <v>-194455</v>
      </c>
      <c r="F36" s="28">
        <f>IF(C36=0,0,+E36/C36)</f>
        <v>-0.07964580746976138</v>
      </c>
      <c r="G36" s="610"/>
      <c r="H36" s="611"/>
      <c r="I36" s="612"/>
      <c r="J36" s="308"/>
      <c r="K36" s="308"/>
      <c r="L36" s="308"/>
      <c r="M36" s="308"/>
    </row>
    <row r="37" spans="1:13" ht="15.75" customHeight="1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>
      <c r="A38" s="29" t="s">
        <v>151</v>
      </c>
      <c r="B38" s="606" t="s">
        <v>10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>
      <c r="A39" s="25">
        <v>1</v>
      </c>
      <c r="B39" s="609" t="s">
        <v>11</v>
      </c>
      <c r="C39" s="51">
        <f>+C25</f>
        <v>1110508</v>
      </c>
      <c r="D39" s="51">
        <f>+D25</f>
        <v>1438204</v>
      </c>
      <c r="E39" s="51">
        <f>+D39-C39</f>
        <v>327696</v>
      </c>
      <c r="F39" s="70">
        <f>IF(C39=0,0,+E39/C39)</f>
        <v>0.29508657299181995</v>
      </c>
      <c r="G39" s="610"/>
      <c r="H39" s="611"/>
      <c r="I39" s="612"/>
      <c r="J39" s="308"/>
      <c r="K39" s="308"/>
      <c r="L39" s="308"/>
      <c r="M39" s="308"/>
    </row>
    <row r="40" spans="1:13" ht="15" customHeight="1">
      <c r="A40" s="25">
        <v>2</v>
      </c>
      <c r="B40" s="609" t="s">
        <v>12</v>
      </c>
      <c r="C40" s="49">
        <f>+C36</f>
        <v>2441497</v>
      </c>
      <c r="D40" s="49">
        <f>+D36</f>
        <v>2247042</v>
      </c>
      <c r="E40" s="49">
        <f>+D40-C40</f>
        <v>-194455</v>
      </c>
      <c r="F40" s="70">
        <f>IF(C40=0,0,+E40/C40)</f>
        <v>-0.07964580746976138</v>
      </c>
      <c r="G40" s="610"/>
      <c r="H40" s="611"/>
      <c r="I40" s="612"/>
      <c r="J40" s="308"/>
      <c r="K40" s="308"/>
      <c r="L40" s="308"/>
      <c r="M40" s="308"/>
    </row>
    <row r="41" spans="1:13" ht="15.75" customHeight="1">
      <c r="A41" s="25">
        <v>3</v>
      </c>
      <c r="B41" s="617" t="s">
        <v>13</v>
      </c>
      <c r="C41" s="27">
        <f>+C39+C40</f>
        <v>3552005</v>
      </c>
      <c r="D41" s="27">
        <f>+D39+D40</f>
        <v>3685246</v>
      </c>
      <c r="E41" s="27">
        <f>+E39+E40</f>
        <v>133241</v>
      </c>
      <c r="F41" s="28">
        <f>IF(C41=0,0,+E41/C41)</f>
        <v>0.03751148998945666</v>
      </c>
      <c r="G41" s="610"/>
      <c r="H41" s="611"/>
      <c r="I41" s="612"/>
      <c r="J41" s="308"/>
      <c r="K41" s="308"/>
      <c r="L41" s="308"/>
      <c r="M41" s="308"/>
    </row>
    <row r="42" spans="1:13" ht="15.75" customHeight="1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>
      <c r="A43" s="25">
        <v>4</v>
      </c>
      <c r="B43" s="613" t="s">
        <v>14</v>
      </c>
      <c r="C43" s="51">
        <f aca="true" t="shared" si="0" ref="C43:D45">+C22+C33</f>
        <v>1138794</v>
      </c>
      <c r="D43" s="51">
        <f t="shared" si="0"/>
        <v>1090247</v>
      </c>
      <c r="E43" s="51">
        <f>+D43-C43</f>
        <v>-48547</v>
      </c>
      <c r="F43" s="70">
        <f>IF(C43=0,0,+E43/C43)</f>
        <v>-0.042630185968665094</v>
      </c>
      <c r="G43" s="610"/>
      <c r="H43" s="611"/>
      <c r="I43" s="612"/>
      <c r="J43" s="308"/>
      <c r="K43" s="308"/>
      <c r="L43" s="308"/>
      <c r="M43" s="308"/>
    </row>
    <row r="44" spans="1:13" ht="30">
      <c r="A44" s="25">
        <v>5</v>
      </c>
      <c r="B44" s="613" t="s">
        <v>15</v>
      </c>
      <c r="C44" s="49">
        <f t="shared" si="0"/>
        <v>1025122</v>
      </c>
      <c r="D44" s="49">
        <f t="shared" si="0"/>
        <v>1259821</v>
      </c>
      <c r="E44" s="49">
        <f>+D44-C44</f>
        <v>234699</v>
      </c>
      <c r="F44" s="70">
        <f>IF(C44=0,0,+E44/C44)</f>
        <v>0.22894738382358393</v>
      </c>
      <c r="G44" s="610"/>
      <c r="H44" s="611"/>
      <c r="I44" s="612"/>
      <c r="J44" s="308"/>
      <c r="K44" s="308"/>
      <c r="L44" s="308"/>
      <c r="M44" s="308"/>
    </row>
    <row r="45" spans="1:13" ht="15" customHeight="1">
      <c r="A45" s="25">
        <v>6</v>
      </c>
      <c r="B45" s="613" t="s">
        <v>16</v>
      </c>
      <c r="C45" s="49">
        <f t="shared" si="0"/>
        <v>1388089</v>
      </c>
      <c r="D45" s="49">
        <f t="shared" si="0"/>
        <v>1335178</v>
      </c>
      <c r="E45" s="49">
        <f>+D45-C45</f>
        <v>-52911</v>
      </c>
      <c r="F45" s="70">
        <f>IF(C45=0,0,+E45/C45)</f>
        <v>-0.03811787284532908</v>
      </c>
      <c r="G45" s="610"/>
      <c r="H45" s="611"/>
      <c r="I45" s="612"/>
      <c r="J45" s="308"/>
      <c r="K45" s="308"/>
      <c r="L45" s="308"/>
      <c r="M45" s="308"/>
    </row>
    <row r="46" spans="1:13" ht="15.75" customHeight="1">
      <c r="A46" s="25">
        <v>7</v>
      </c>
      <c r="B46" s="614" t="s">
        <v>13</v>
      </c>
      <c r="C46" s="27">
        <f>+C43+C44+C45</f>
        <v>3552005</v>
      </c>
      <c r="D46" s="27">
        <f>+D43+D44+D45</f>
        <v>3685246</v>
      </c>
      <c r="E46" s="27">
        <f>+E43+E44+E45</f>
        <v>133241</v>
      </c>
      <c r="F46" s="28">
        <f>IF(C46=0,0,+E46/C46)</f>
        <v>0.03751148998945666</v>
      </c>
      <c r="G46" s="610"/>
      <c r="H46" s="611"/>
      <c r="I46" s="612"/>
      <c r="J46" s="308"/>
      <c r="K46" s="308"/>
      <c r="L46" s="308"/>
      <c r="M46" s="308"/>
    </row>
    <row r="47" spans="1:13" ht="15.75" customHeight="1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6" ht="15.75" customHeight="1">
      <c r="A48" s="711" t="s">
        <v>17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70"/>
  <headerFooter alignWithMargins="0">
    <oddHeader>&amp;LOFFICE OF HEALTH CARE ACCESS&amp;CTWELVE MONTHS ACTUAL FILING&amp;RCHARLOTTE HUNGERFORD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2"/>
      <c r="B1" s="602"/>
      <c r="C1" s="602"/>
      <c r="D1" s="602"/>
      <c r="E1" s="602"/>
      <c r="F1" s="602"/>
    </row>
    <row r="2" spans="1:6" ht="15.75" customHeight="1">
      <c r="A2" s="714" t="s">
        <v>115</v>
      </c>
      <c r="B2" s="715"/>
      <c r="C2" s="715"/>
      <c r="D2" s="715"/>
      <c r="E2" s="715"/>
      <c r="F2" s="716"/>
    </row>
    <row r="3" spans="1:6" ht="15.75" customHeight="1">
      <c r="A3" s="714" t="s">
        <v>707</v>
      </c>
      <c r="B3" s="715"/>
      <c r="C3" s="715"/>
      <c r="D3" s="715"/>
      <c r="E3" s="715"/>
      <c r="F3" s="716"/>
    </row>
    <row r="4" spans="1:6" ht="15.75" customHeight="1">
      <c r="A4" s="714" t="s">
        <v>708</v>
      </c>
      <c r="B4" s="715"/>
      <c r="C4" s="715"/>
      <c r="D4" s="715"/>
      <c r="E4" s="715"/>
      <c r="F4" s="716"/>
    </row>
    <row r="5" spans="1:6" ht="15.75" customHeight="1">
      <c r="A5" s="714" t="s">
        <v>18</v>
      </c>
      <c r="B5" s="715"/>
      <c r="C5" s="715"/>
      <c r="D5" s="715"/>
      <c r="E5" s="715"/>
      <c r="F5" s="716"/>
    </row>
    <row r="6" spans="1:6" ht="15.75" customHeight="1">
      <c r="A6" s="714" t="s">
        <v>19</v>
      </c>
      <c r="B6" s="715"/>
      <c r="C6" s="715"/>
      <c r="D6" s="715"/>
      <c r="E6" s="715"/>
      <c r="F6" s="716"/>
    </row>
    <row r="7" spans="1:6" ht="15.75" customHeight="1">
      <c r="A7" s="602"/>
      <c r="B7" s="602"/>
      <c r="C7" s="35"/>
      <c r="D7" s="35"/>
      <c r="E7" s="35"/>
      <c r="F7" s="35"/>
    </row>
    <row r="8" spans="1:6" ht="15.75" customHeight="1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3" ht="15.75" customHeight="1">
      <c r="A9" s="602"/>
      <c r="B9" s="26"/>
      <c r="C9" s="35" t="s">
        <v>713</v>
      </c>
      <c r="D9" s="35" t="s">
        <v>714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2"/>
      <c r="B10" s="305"/>
      <c r="C10" s="35" t="s">
        <v>20</v>
      </c>
      <c r="D10" s="35" t="s">
        <v>20</v>
      </c>
      <c r="E10" s="35" t="s">
        <v>121</v>
      </c>
      <c r="F10" s="35" t="s">
        <v>122</v>
      </c>
      <c r="G10" s="604"/>
      <c r="H10" s="289"/>
      <c r="I10" s="308"/>
      <c r="J10" s="308"/>
      <c r="K10" s="308"/>
      <c r="L10" s="308"/>
      <c r="M10" s="308"/>
    </row>
    <row r="11" spans="1:14" ht="15.75" customHeight="1">
      <c r="A11" s="605" t="s">
        <v>123</v>
      </c>
      <c r="B11" s="606" t="s">
        <v>124</v>
      </c>
      <c r="C11" s="605" t="s">
        <v>21</v>
      </c>
      <c r="D11" s="605" t="s">
        <v>21</v>
      </c>
      <c r="E11" s="605" t="s">
        <v>126</v>
      </c>
      <c r="F11" s="605" t="s">
        <v>126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>
      <c r="A13" s="605"/>
      <c r="B13" s="606" t="s">
        <v>22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3" ht="15" customHeight="1">
      <c r="A15" s="25">
        <v>1</v>
      </c>
      <c r="B15" s="609" t="s">
        <v>440</v>
      </c>
      <c r="C15" s="51">
        <v>58695841</v>
      </c>
      <c r="D15" s="51">
        <v>65804567</v>
      </c>
      <c r="E15" s="51">
        <f>+D15-C15</f>
        <v>7108726</v>
      </c>
      <c r="F15" s="70">
        <f>+E15/C15</f>
        <v>0.1211112385288082</v>
      </c>
      <c r="G15" s="604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9" t="s">
        <v>619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9" t="s">
        <v>23</v>
      </c>
      <c r="C17" s="51">
        <v>21617219</v>
      </c>
      <c r="D17" s="51">
        <v>25890211</v>
      </c>
      <c r="E17" s="51">
        <f>+D17-C17</f>
        <v>4272992</v>
      </c>
      <c r="F17" s="70">
        <f>+E17/C17</f>
        <v>0.19766612902427458</v>
      </c>
      <c r="G17" s="604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7" t="s">
        <v>24</v>
      </c>
      <c r="C19" s="27">
        <f>+C15-C17</f>
        <v>37078622</v>
      </c>
      <c r="D19" s="27">
        <f>+D15-D17</f>
        <v>39914356</v>
      </c>
      <c r="E19" s="27">
        <f>+D19-C19</f>
        <v>2835734</v>
      </c>
      <c r="F19" s="28">
        <f>+E19/C19</f>
        <v>0.07647894789617586</v>
      </c>
      <c r="G19" s="604"/>
      <c r="H19" s="623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>
      <c r="A21" s="29"/>
      <c r="B21" s="121" t="s">
        <v>25</v>
      </c>
      <c r="C21" s="628">
        <f>+C17/C15</f>
        <v>0.3682921759311703</v>
      </c>
      <c r="D21" s="628">
        <f>+D17/D15</f>
        <v>0.39344094460799356</v>
      </c>
      <c r="E21" s="628">
        <f>+D21-C21</f>
        <v>0.025148768676823252</v>
      </c>
      <c r="F21" s="28">
        <f>+E21/C21</f>
        <v>0.06828483014399762</v>
      </c>
      <c r="G21" s="610"/>
      <c r="H21" s="611"/>
      <c r="I21" s="612"/>
      <c r="J21" s="308"/>
      <c r="K21" s="308"/>
      <c r="L21" s="308"/>
      <c r="M21" s="308"/>
    </row>
    <row r="22" spans="1:13" ht="15.75" customHeight="1">
      <c r="A22" s="29"/>
      <c r="B22" s="619" t="s">
        <v>619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>
      <c r="A23" s="29"/>
      <c r="B23" s="619" t="s">
        <v>619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>
      <c r="A24" s="29"/>
      <c r="B24" s="619" t="s">
        <v>619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9"/>
      <c r="B25" s="619" t="s">
        <v>619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6" ht="15.75" customHeight="1">
      <c r="A26" s="711" t="s">
        <v>26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FILING&amp;R&amp;12CHARLOTTE HUNGERFORD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5" width="18.28125" style="0" customWidth="1"/>
  </cols>
  <sheetData>
    <row r="1" spans="1:6" ht="25.5" customHeight="1">
      <c r="A1" s="718" t="s">
        <v>115</v>
      </c>
      <c r="B1" s="718"/>
      <c r="C1" s="718"/>
      <c r="D1" s="718"/>
      <c r="E1" s="718"/>
      <c r="F1" s="630"/>
    </row>
    <row r="2" spans="1:6" ht="25.5" customHeight="1">
      <c r="A2" s="718" t="s">
        <v>116</v>
      </c>
      <c r="B2" s="718"/>
      <c r="C2" s="718"/>
      <c r="D2" s="718"/>
      <c r="E2" s="718"/>
      <c r="F2" s="630"/>
    </row>
    <row r="3" spans="1:6" ht="25.5" customHeight="1">
      <c r="A3" s="718" t="s">
        <v>117</v>
      </c>
      <c r="B3" s="718"/>
      <c r="C3" s="718"/>
      <c r="D3" s="718"/>
      <c r="E3" s="718"/>
      <c r="F3" s="630"/>
    </row>
    <row r="4" spans="1:6" ht="25.5" customHeight="1">
      <c r="A4" s="718" t="s">
        <v>27</v>
      </c>
      <c r="B4" s="718"/>
      <c r="C4" s="718"/>
      <c r="D4" s="718"/>
      <c r="E4" s="718"/>
      <c r="F4" s="630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2" t="s">
        <v>28</v>
      </c>
      <c r="B6" s="632" t="s">
        <v>29</v>
      </c>
      <c r="C6" s="632" t="s">
        <v>30</v>
      </c>
      <c r="D6" s="632" t="s">
        <v>31</v>
      </c>
      <c r="E6" s="632" t="s">
        <v>32</v>
      </c>
    </row>
    <row r="7" spans="1:5" ht="37.5" customHeight="1">
      <c r="A7" s="633" t="s">
        <v>123</v>
      </c>
      <c r="B7" s="634" t="s">
        <v>33</v>
      </c>
      <c r="C7" s="631" t="s">
        <v>34</v>
      </c>
      <c r="D7" s="631" t="s">
        <v>35</v>
      </c>
      <c r="E7" s="631" t="s">
        <v>36</v>
      </c>
    </row>
    <row r="8" spans="1:5" ht="25.5" customHeight="1">
      <c r="A8" s="635"/>
      <c r="B8" s="634"/>
      <c r="C8" s="636"/>
      <c r="D8" s="636"/>
      <c r="E8" s="636"/>
    </row>
    <row r="9" spans="1:5" ht="25.5" customHeight="1">
      <c r="A9" s="629" t="s">
        <v>129</v>
      </c>
      <c r="B9" s="637" t="s">
        <v>37</v>
      </c>
      <c r="C9" s="638"/>
      <c r="D9" s="638"/>
      <c r="E9" s="638"/>
    </row>
    <row r="10" spans="1:5" ht="25.5" customHeight="1">
      <c r="A10" s="639">
        <v>1</v>
      </c>
      <c r="B10" s="640" t="s">
        <v>38</v>
      </c>
      <c r="C10" s="641">
        <v>66668479</v>
      </c>
      <c r="D10" s="641">
        <v>68040996</v>
      </c>
      <c r="E10" s="641">
        <v>79078482</v>
      </c>
    </row>
    <row r="11" spans="1:5" ht="25.5" customHeight="1">
      <c r="A11" s="639">
        <v>2</v>
      </c>
      <c r="B11" s="640" t="s">
        <v>39</v>
      </c>
      <c r="C11" s="641">
        <v>82369849</v>
      </c>
      <c r="D11" s="641">
        <v>87681893</v>
      </c>
      <c r="E11" s="641">
        <v>97313323</v>
      </c>
    </row>
    <row r="12" spans="1:5" ht="25.5" customHeight="1">
      <c r="A12" s="639">
        <v>3</v>
      </c>
      <c r="B12" s="640" t="s">
        <v>186</v>
      </c>
      <c r="C12" s="641">
        <f>+C11+C10</f>
        <v>149038328</v>
      </c>
      <c r="D12" s="641">
        <f>+D11+D10</f>
        <v>155722889</v>
      </c>
      <c r="E12" s="641">
        <f>+E11+E10</f>
        <v>176391805</v>
      </c>
    </row>
    <row r="13" spans="1:5" ht="25.5" customHeight="1">
      <c r="A13" s="639">
        <v>4</v>
      </c>
      <c r="B13" s="640" t="s">
        <v>599</v>
      </c>
      <c r="C13" s="641">
        <v>85871764</v>
      </c>
      <c r="D13" s="641">
        <v>87939108</v>
      </c>
      <c r="E13" s="641">
        <v>95678590</v>
      </c>
    </row>
    <row r="14" spans="1:5" ht="25.5" customHeight="1">
      <c r="A14" s="639"/>
      <c r="B14" s="640"/>
      <c r="C14" s="641"/>
      <c r="D14" s="641"/>
      <c r="E14" s="641"/>
    </row>
    <row r="15" spans="1:5" ht="25.5" customHeight="1">
      <c r="A15" s="629" t="s">
        <v>141</v>
      </c>
      <c r="B15" s="642" t="s">
        <v>439</v>
      </c>
      <c r="C15" s="641"/>
      <c r="D15" s="641"/>
      <c r="E15" s="641"/>
    </row>
    <row r="16" spans="1:5" ht="25.5" customHeight="1">
      <c r="A16" s="639">
        <v>1</v>
      </c>
      <c r="B16" s="640" t="s">
        <v>40</v>
      </c>
      <c r="C16" s="641">
        <v>90848846</v>
      </c>
      <c r="D16" s="641">
        <v>93504863</v>
      </c>
      <c r="E16" s="641">
        <v>100402359</v>
      </c>
    </row>
    <row r="17" spans="1:5" ht="25.5" customHeight="1">
      <c r="A17" s="639"/>
      <c r="B17" s="640"/>
      <c r="C17" s="641"/>
      <c r="D17" s="641"/>
      <c r="E17" s="641"/>
    </row>
    <row r="18" spans="1:5" ht="25.5" customHeight="1">
      <c r="A18" s="629" t="s">
        <v>151</v>
      </c>
      <c r="B18" s="642" t="s">
        <v>41</v>
      </c>
      <c r="C18" s="643"/>
      <c r="D18" s="643"/>
      <c r="E18" s="641"/>
    </row>
    <row r="19" spans="1:5" ht="25.5" customHeight="1">
      <c r="A19" s="639">
        <v>1</v>
      </c>
      <c r="B19" s="640" t="s">
        <v>487</v>
      </c>
      <c r="C19" s="644">
        <v>27487</v>
      </c>
      <c r="D19" s="644">
        <v>27085</v>
      </c>
      <c r="E19" s="644">
        <v>28581</v>
      </c>
    </row>
    <row r="20" spans="1:5" ht="25.5" customHeight="1">
      <c r="A20" s="639">
        <v>2</v>
      </c>
      <c r="B20" s="640" t="s">
        <v>488</v>
      </c>
      <c r="C20" s="645">
        <v>6145</v>
      </c>
      <c r="D20" s="645">
        <v>6084</v>
      </c>
      <c r="E20" s="645">
        <v>6320</v>
      </c>
    </row>
    <row r="21" spans="1:5" ht="25.5" customHeight="1">
      <c r="A21" s="639">
        <v>3</v>
      </c>
      <c r="B21" s="640" t="s">
        <v>42</v>
      </c>
      <c r="C21" s="646">
        <f>IF(C20=0,0,+C19/C20)</f>
        <v>4.47306753458096</v>
      </c>
      <c r="D21" s="646">
        <f>IF(D20=0,0,+D19/D20)</f>
        <v>4.451840894148586</v>
      </c>
      <c r="E21" s="646">
        <f>IF(E20=0,0,+E19/E20)</f>
        <v>4.522310126582278</v>
      </c>
    </row>
    <row r="22" spans="1:5" ht="25.5" customHeight="1">
      <c r="A22" s="639">
        <v>4</v>
      </c>
      <c r="B22" s="640" t="s">
        <v>43</v>
      </c>
      <c r="C22" s="645">
        <f>IF(C10=0,0,C19*(C12/C10))</f>
        <v>61447.5773736491</v>
      </c>
      <c r="D22" s="645">
        <f>IF(D10=0,0,D19*(D12/D10))</f>
        <v>61988.42898427002</v>
      </c>
      <c r="E22" s="645">
        <f>IF(E10=0,0,E19*(E12/E10))</f>
        <v>63752.5411616399</v>
      </c>
    </row>
    <row r="23" spans="1:5" ht="25.5" customHeight="1">
      <c r="A23" s="639">
        <v>0</v>
      </c>
      <c r="B23" s="640" t="s">
        <v>44</v>
      </c>
      <c r="C23" s="645">
        <f>IF(C10=0,0,C20*(C12/C10))</f>
        <v>13737.23443668184</v>
      </c>
      <c r="D23" s="645">
        <f>IF(D10=0,0,D20*(D12/D10))</f>
        <v>13924.223811714926</v>
      </c>
      <c r="E23" s="645">
        <f>IF(E10=0,0,E20*(E12/E10))</f>
        <v>14097.33949622351</v>
      </c>
    </row>
    <row r="24" spans="1:5" ht="25.5" customHeight="1">
      <c r="A24" s="639"/>
      <c r="B24" s="640"/>
      <c r="C24" s="645"/>
      <c r="D24" s="645"/>
      <c r="E24" s="645"/>
    </row>
    <row r="25" spans="1:5" ht="25.5" customHeight="1">
      <c r="A25" s="629" t="s">
        <v>436</v>
      </c>
      <c r="B25" s="642" t="s">
        <v>45</v>
      </c>
      <c r="C25" s="645"/>
      <c r="D25" s="645"/>
      <c r="E25" s="645"/>
    </row>
    <row r="26" spans="1:5" ht="25.5" customHeight="1">
      <c r="A26" s="639">
        <v>1</v>
      </c>
      <c r="B26" s="640" t="s">
        <v>537</v>
      </c>
      <c r="C26" s="647">
        <v>1.1930167615947924</v>
      </c>
      <c r="D26" s="647">
        <v>1.181497879684418</v>
      </c>
      <c r="E26" s="647">
        <v>1.2196949050632913</v>
      </c>
    </row>
    <row r="27" spans="1:5" ht="25.5" customHeight="1">
      <c r="A27" s="639">
        <v>2</v>
      </c>
      <c r="B27" s="640" t="s">
        <v>46</v>
      </c>
      <c r="C27" s="645">
        <f>C19*C26</f>
        <v>32792.45172595606</v>
      </c>
      <c r="D27" s="645">
        <f>D19*D26</f>
        <v>32000.870071252462</v>
      </c>
      <c r="E27" s="645">
        <f>E19*E26</f>
        <v>34860.10008161393</v>
      </c>
    </row>
    <row r="28" spans="1:5" ht="25.5" customHeight="1">
      <c r="A28" s="639">
        <v>3</v>
      </c>
      <c r="B28" s="640" t="s">
        <v>47</v>
      </c>
      <c r="C28" s="645">
        <f>C20*C26</f>
        <v>7331.088</v>
      </c>
      <c r="D28" s="645">
        <f>D20*D26</f>
        <v>7188.2330999999995</v>
      </c>
      <c r="E28" s="645">
        <f>E20*E26</f>
        <v>7708.471800000001</v>
      </c>
    </row>
    <row r="29" spans="1:5" ht="25.5" customHeight="1">
      <c r="A29" s="639">
        <v>4</v>
      </c>
      <c r="B29" s="640" t="s">
        <v>48</v>
      </c>
      <c r="C29" s="645">
        <f>C22*C26</f>
        <v>73307.98976615629</v>
      </c>
      <c r="D29" s="645">
        <f>D22*D26</f>
        <v>73239.19740988314</v>
      </c>
      <c r="E29" s="645">
        <f>E22*E26</f>
        <v>77758.64963968995</v>
      </c>
    </row>
    <row r="30" spans="1:5" ht="25.5" customHeight="1">
      <c r="A30" s="639">
        <v>5</v>
      </c>
      <c r="B30" s="640" t="s">
        <v>49</v>
      </c>
      <c r="C30" s="645">
        <f>C23*C26</f>
        <v>16388.75094091863</v>
      </c>
      <c r="D30" s="645">
        <f>D23*D26</f>
        <v>16451.44090979247</v>
      </c>
      <c r="E30" s="645">
        <f>E23*E26</f>
        <v>17194.45315849132</v>
      </c>
    </row>
    <row r="31" spans="1:5" ht="25.5" customHeight="1">
      <c r="A31" s="639"/>
      <c r="B31" s="640"/>
      <c r="C31" s="645"/>
      <c r="D31" s="645"/>
      <c r="E31" s="645"/>
    </row>
    <row r="32" spans="1:5" ht="39" customHeight="1">
      <c r="A32" s="629" t="s">
        <v>457</v>
      </c>
      <c r="B32" s="634" t="s">
        <v>50</v>
      </c>
      <c r="C32" s="648"/>
      <c r="D32" s="648"/>
      <c r="E32" s="645"/>
    </row>
    <row r="33" spans="1:5" ht="25.5" customHeight="1">
      <c r="A33" s="639">
        <v>1</v>
      </c>
      <c r="B33" s="640" t="s">
        <v>51</v>
      </c>
      <c r="C33" s="641">
        <f>IF(C19=0,0,C12/C19)</f>
        <v>5422.138756503075</v>
      </c>
      <c r="D33" s="641">
        <f>IF(D19=0,0,D12/D19)</f>
        <v>5749.414399113901</v>
      </c>
      <c r="E33" s="641">
        <f>IF(E19=0,0,E12/E19)</f>
        <v>6171.6456736993105</v>
      </c>
    </row>
    <row r="34" spans="1:5" ht="25.5" customHeight="1">
      <c r="A34" s="639">
        <v>2</v>
      </c>
      <c r="B34" s="640" t="s">
        <v>52</v>
      </c>
      <c r="C34" s="641">
        <f>IF(C20=0,0,C12/C20)</f>
        <v>24253.59283970708</v>
      </c>
      <c r="D34" s="641">
        <f>IF(D20=0,0,D12/D20)</f>
        <v>25595.478139381987</v>
      </c>
      <c r="E34" s="641">
        <f>IF(E20=0,0,E12/E20)</f>
        <v>27910.0957278481</v>
      </c>
    </row>
    <row r="35" spans="1:5" ht="25.5" customHeight="1">
      <c r="A35" s="639">
        <v>3</v>
      </c>
      <c r="B35" s="640" t="s">
        <v>53</v>
      </c>
      <c r="C35" s="641">
        <f>IF(C22=0,0,C12/C22)</f>
        <v>2425.4549059555425</v>
      </c>
      <c r="D35" s="641">
        <f>IF(D22=0,0,D12/D22)</f>
        <v>2512.1283367177402</v>
      </c>
      <c r="E35" s="641">
        <f>IF(E22=0,0,E12/E22)</f>
        <v>2766.8199853049227</v>
      </c>
    </row>
    <row r="36" spans="1:5" ht="25.5" customHeight="1">
      <c r="A36" s="639">
        <v>4</v>
      </c>
      <c r="B36" s="640" t="s">
        <v>54</v>
      </c>
      <c r="C36" s="641">
        <f>IF(C23=0,0,C12/C23)</f>
        <v>10849.223596419853</v>
      </c>
      <c r="D36" s="641">
        <f>IF(D23=0,0,D12/D23)</f>
        <v>11183.595660749506</v>
      </c>
      <c r="E36" s="641">
        <f>IF(E23=0,0,E12/E23)</f>
        <v>12512.418037974685</v>
      </c>
    </row>
    <row r="37" spans="1:5" ht="25.5" customHeight="1">
      <c r="A37" s="639">
        <v>5</v>
      </c>
      <c r="B37" s="640" t="s">
        <v>55</v>
      </c>
      <c r="C37" s="641">
        <f>IF(C29=0,0,C12/C29)</f>
        <v>2033.0434441786554</v>
      </c>
      <c r="D37" s="641">
        <f>IF(D29=0,0,D12/D29)</f>
        <v>2126.2233135693295</v>
      </c>
      <c r="E37" s="641">
        <f>IF(E29=0,0,E12/E29)</f>
        <v>2268.452523511484</v>
      </c>
    </row>
    <row r="38" spans="1:5" ht="25.5" customHeight="1">
      <c r="A38" s="639">
        <v>6</v>
      </c>
      <c r="B38" s="640" t="s">
        <v>56</v>
      </c>
      <c r="C38" s="641">
        <f>IF(C30=0,0,C12/C30)</f>
        <v>9093.940626548201</v>
      </c>
      <c r="D38" s="641">
        <f>IF(D30=0,0,D12/D30)</f>
        <v>9465.607897440055</v>
      </c>
      <c r="E38" s="641">
        <f>IF(E30=0,0,E12/E30)</f>
        <v>10258.645818747109</v>
      </c>
    </row>
    <row r="39" spans="1:5" ht="25.5" customHeight="1">
      <c r="A39" s="639">
        <v>7</v>
      </c>
      <c r="B39" s="640" t="s">
        <v>57</v>
      </c>
      <c r="C39" s="641">
        <f>IF(C22=0,0,C10/C22)</f>
        <v>1084.96513368792</v>
      </c>
      <c r="D39" s="641">
        <f>IF(D22=0,0,D10/D22)</f>
        <v>1097.6402711748972</v>
      </c>
      <c r="E39" s="641">
        <f>IF(E22=0,0,E10/E22)</f>
        <v>1240.397332547142</v>
      </c>
    </row>
    <row r="40" spans="1:5" ht="25.5" customHeight="1">
      <c r="A40" s="639">
        <v>8</v>
      </c>
      <c r="B40" s="640" t="s">
        <v>58</v>
      </c>
      <c r="C40" s="641">
        <f>IF(C23=0,0,C10/C23)</f>
        <v>4853.122315651725</v>
      </c>
      <c r="D40" s="641">
        <f>IF(D23=0,0,D10/D23)</f>
        <v>4886.519846280751</v>
      </c>
      <c r="E40" s="641">
        <f>IF(E23=0,0,E10/E23)</f>
        <v>5609.461417963586</v>
      </c>
    </row>
    <row r="41" spans="1:5" ht="25.5" customHeight="1">
      <c r="A41" s="639"/>
      <c r="B41" s="640"/>
      <c r="C41" s="641"/>
      <c r="D41" s="641"/>
      <c r="E41" s="641"/>
    </row>
    <row r="42" spans="1:5" ht="39.75" customHeight="1">
      <c r="A42" s="629" t="s">
        <v>469</v>
      </c>
      <c r="B42" s="634" t="s">
        <v>59</v>
      </c>
      <c r="C42" s="641"/>
      <c r="D42" s="641"/>
      <c r="E42" s="641"/>
    </row>
    <row r="43" spans="1:5" ht="25.5" customHeight="1">
      <c r="A43" s="639">
        <v>1</v>
      </c>
      <c r="B43" s="640" t="s">
        <v>60</v>
      </c>
      <c r="C43" s="641">
        <f>IF(C19=0,0,C13/C19)</f>
        <v>3124.0864408629536</v>
      </c>
      <c r="D43" s="641">
        <f>IF(D19=0,0,D13/D19)</f>
        <v>3246.7826472217093</v>
      </c>
      <c r="E43" s="641">
        <f>IF(E19=0,0,E13/E19)</f>
        <v>3347.6291942199364</v>
      </c>
    </row>
    <row r="44" spans="1:5" ht="25.5" customHeight="1">
      <c r="A44" s="639">
        <v>2</v>
      </c>
      <c r="B44" s="640" t="s">
        <v>61</v>
      </c>
      <c r="C44" s="641">
        <f>IF(C20=0,0,C13/C20)</f>
        <v>13974.249633848658</v>
      </c>
      <c r="D44" s="641">
        <f>IF(D20=0,0,D13/D20)</f>
        <v>14454.15976331361</v>
      </c>
      <c r="E44" s="641">
        <f>IF(E20=0,0,E13/E20)</f>
        <v>15139.01740506329</v>
      </c>
    </row>
    <row r="45" spans="1:5" ht="25.5" customHeight="1">
      <c r="A45" s="639">
        <v>3</v>
      </c>
      <c r="B45" s="640" t="s">
        <v>62</v>
      </c>
      <c r="C45" s="641">
        <f>IF(C22=0,0,C13/C22)</f>
        <v>1397.4800581287823</v>
      </c>
      <c r="D45" s="641">
        <f>IF(D22=0,0,D13/D22)</f>
        <v>1418.6374689753009</v>
      </c>
      <c r="E45" s="641">
        <f>IF(E22=0,0,E13/E22)</f>
        <v>1500.7808042884744</v>
      </c>
    </row>
    <row r="46" spans="1:5" ht="25.5" customHeight="1">
      <c r="A46" s="639">
        <v>4</v>
      </c>
      <c r="B46" s="640" t="s">
        <v>63</v>
      </c>
      <c r="C46" s="641">
        <f>IF(C23=0,0,C13/C23)</f>
        <v>6251.02267824017</v>
      </c>
      <c r="D46" s="641">
        <f>IF(D23=0,0,D13/D23)</f>
        <v>6315.548298355691</v>
      </c>
      <c r="E46" s="641">
        <f>IF(E23=0,0,E13/E23)</f>
        <v>6786.996229014065</v>
      </c>
    </row>
    <row r="47" spans="1:5" ht="25.5" customHeight="1">
      <c r="A47" s="639">
        <v>5</v>
      </c>
      <c r="B47" s="640" t="s">
        <v>64</v>
      </c>
      <c r="C47" s="641">
        <f>IF(C29=0,0,C13/C29)</f>
        <v>1171.3834231973983</v>
      </c>
      <c r="D47" s="641">
        <f>IF(D29=0,0,D13/D29)</f>
        <v>1200.710973221741</v>
      </c>
      <c r="E47" s="641">
        <f>IF(E29=0,0,E13/E29)</f>
        <v>1230.4559099643016</v>
      </c>
    </row>
    <row r="48" spans="1:5" ht="25.5" customHeight="1">
      <c r="A48" s="639">
        <v>6</v>
      </c>
      <c r="B48" s="640" t="s">
        <v>65</v>
      </c>
      <c r="C48" s="641">
        <f>IF(C30=0,0,C13/C30)</f>
        <v>5239.6771608505915</v>
      </c>
      <c r="D48" s="641">
        <f>IF(D30=0,0,D13/D30)</f>
        <v>5345.374212641495</v>
      </c>
      <c r="E48" s="641">
        <f>IF(E30=0,0,E13/E30)</f>
        <v>5564.503221944574</v>
      </c>
    </row>
    <row r="49" spans="1:5" ht="25.5" customHeight="1">
      <c r="A49" s="639"/>
      <c r="B49" s="640"/>
      <c r="C49" s="641"/>
      <c r="D49" s="641"/>
      <c r="E49" s="641"/>
    </row>
    <row r="50" spans="1:5" ht="37.5" customHeight="1">
      <c r="A50" s="629" t="s">
        <v>481</v>
      </c>
      <c r="B50" s="634" t="s">
        <v>66</v>
      </c>
      <c r="C50" s="648"/>
      <c r="D50" s="648"/>
      <c r="E50" s="641"/>
    </row>
    <row r="51" spans="1:5" ht="25.5" customHeight="1">
      <c r="A51" s="639">
        <v>1</v>
      </c>
      <c r="B51" s="640" t="s">
        <v>67</v>
      </c>
      <c r="C51" s="641">
        <f>IF(C19=0,0,C16/C19)</f>
        <v>3305.1568377778585</v>
      </c>
      <c r="D51" s="641">
        <f>IF(D19=0,0,D16/D19)</f>
        <v>3452.2748015506736</v>
      </c>
      <c r="E51" s="641">
        <f>IF(E19=0,0,E16/E19)</f>
        <v>3512.905741576572</v>
      </c>
    </row>
    <row r="52" spans="1:5" ht="25.5" customHeight="1">
      <c r="A52" s="639">
        <v>2</v>
      </c>
      <c r="B52" s="640" t="s">
        <v>68</v>
      </c>
      <c r="C52" s="641">
        <f>IF(C20=0,0,C16/C20)</f>
        <v>14784.189747762408</v>
      </c>
      <c r="D52" s="641">
        <f>IF(D20=0,0,D16/D20)</f>
        <v>15368.978139381985</v>
      </c>
      <c r="E52" s="641">
        <f>IF(E20=0,0,E16/E20)</f>
        <v>15886.44920886076</v>
      </c>
    </row>
    <row r="53" spans="1:5" ht="25.5" customHeight="1">
      <c r="A53" s="639">
        <v>3</v>
      </c>
      <c r="B53" s="640" t="s">
        <v>69</v>
      </c>
      <c r="C53" s="641">
        <f>IF(C22=0,0,C16/C22)</f>
        <v>1478.47726278236</v>
      </c>
      <c r="D53" s="641">
        <f>IF(D22=0,0,D16/D22)</f>
        <v>1508.4244677942636</v>
      </c>
      <c r="E53" s="641">
        <f>IF(E22=0,0,E16/E22)</f>
        <v>1574.8761880006819</v>
      </c>
    </row>
    <row r="54" spans="1:5" ht="25.5" customHeight="1">
      <c r="A54" s="639">
        <v>4</v>
      </c>
      <c r="B54" s="640" t="s">
        <v>70</v>
      </c>
      <c r="C54" s="641">
        <f>IF(C23=0,0,C16/C23)</f>
        <v>6613.3286447678975</v>
      </c>
      <c r="D54" s="641">
        <f>IF(D23=0,0,D16/D23)</f>
        <v>6715.26573146082</v>
      </c>
      <c r="E54" s="641">
        <f>IF(E23=0,0,E16/E23)</f>
        <v>7122.078533108779</v>
      </c>
    </row>
    <row r="55" spans="1:5" ht="25.5" customHeight="1">
      <c r="A55" s="639">
        <v>5</v>
      </c>
      <c r="B55" s="640" t="s">
        <v>71</v>
      </c>
      <c r="C55" s="641">
        <f>IF(C29=0,0,C16/C29)</f>
        <v>1239.276186535696</v>
      </c>
      <c r="D55" s="641">
        <f>IF(D29=0,0,D16/D29)</f>
        <v>1276.7051839290382</v>
      </c>
      <c r="E55" s="641">
        <f>IF(E29=0,0,E16/E29)</f>
        <v>1291.2050230454638</v>
      </c>
    </row>
    <row r="56" spans="1:5" ht="25.5" customHeight="1">
      <c r="A56" s="639">
        <v>6</v>
      </c>
      <c r="B56" s="640" t="s">
        <v>72</v>
      </c>
      <c r="C56" s="641">
        <f>IF(C30=0,0,C16/C30)</f>
        <v>5543.36607637212</v>
      </c>
      <c r="D56" s="641">
        <f>IF(D30=0,0,D16/D30)</f>
        <v>5683.688347586785</v>
      </c>
      <c r="E56" s="641">
        <f>IF(E30=0,0,E16/E30)</f>
        <v>5839.229551212406</v>
      </c>
    </row>
    <row r="57" spans="1:5" ht="25.5" customHeight="1">
      <c r="A57" s="639"/>
      <c r="B57" s="640"/>
      <c r="C57" s="641"/>
      <c r="D57" s="641"/>
      <c r="E57" s="641"/>
    </row>
    <row r="58" spans="1:5" ht="25.5" customHeight="1">
      <c r="A58" s="629" t="s">
        <v>485</v>
      </c>
      <c r="B58" s="642" t="s">
        <v>73</v>
      </c>
      <c r="C58" s="641"/>
      <c r="D58" s="641"/>
      <c r="E58" s="641"/>
    </row>
    <row r="59" spans="1:5" ht="25.5" customHeight="1">
      <c r="A59" s="639">
        <v>1</v>
      </c>
      <c r="B59" s="640" t="s">
        <v>74</v>
      </c>
      <c r="C59" s="649">
        <v>16070654</v>
      </c>
      <c r="D59" s="649">
        <v>17457513</v>
      </c>
      <c r="E59" s="649">
        <v>18901408</v>
      </c>
    </row>
    <row r="60" spans="1:5" ht="25.5" customHeight="1">
      <c r="A60" s="639">
        <v>2</v>
      </c>
      <c r="B60" s="640" t="s">
        <v>75</v>
      </c>
      <c r="C60" s="649">
        <v>3992535</v>
      </c>
      <c r="D60" s="649">
        <v>4471462</v>
      </c>
      <c r="E60" s="649">
        <v>5169877</v>
      </c>
    </row>
    <row r="61" spans="1:5" ht="25.5" customHeight="1">
      <c r="A61" s="650">
        <v>3</v>
      </c>
      <c r="B61" s="651" t="s">
        <v>76</v>
      </c>
      <c r="C61" s="652">
        <f>C59+C60</f>
        <v>20063189</v>
      </c>
      <c r="D61" s="652">
        <f>D59+D60</f>
        <v>21928975</v>
      </c>
      <c r="E61" s="652">
        <f>E59+E60</f>
        <v>24071285</v>
      </c>
    </row>
    <row r="62" spans="1:5" ht="25.5" customHeight="1">
      <c r="A62" s="639"/>
      <c r="B62" s="640"/>
      <c r="C62" s="649"/>
      <c r="D62" s="649"/>
      <c r="E62" s="649"/>
    </row>
    <row r="63" spans="1:6" ht="25.5" customHeight="1">
      <c r="A63" s="629" t="s">
        <v>127</v>
      </c>
      <c r="B63" s="642" t="s">
        <v>77</v>
      </c>
      <c r="C63" s="640"/>
      <c r="D63" s="640"/>
      <c r="E63" s="649"/>
      <c r="F63" s="653"/>
    </row>
    <row r="64" spans="1:6" ht="25.5" customHeight="1">
      <c r="A64" s="639">
        <v>1</v>
      </c>
      <c r="B64" s="640" t="s">
        <v>78</v>
      </c>
      <c r="C64" s="641">
        <v>2426326</v>
      </c>
      <c r="D64" s="641">
        <v>2698480</v>
      </c>
      <c r="E64" s="649">
        <v>3537716</v>
      </c>
      <c r="F64" s="653"/>
    </row>
    <row r="65" spans="1:6" ht="25.5" customHeight="1">
      <c r="A65" s="639">
        <v>2</v>
      </c>
      <c r="B65" s="640" t="s">
        <v>79</v>
      </c>
      <c r="C65" s="649">
        <v>602788</v>
      </c>
      <c r="D65" s="649">
        <v>691172</v>
      </c>
      <c r="E65" s="649">
        <v>967629</v>
      </c>
      <c r="F65" s="653"/>
    </row>
    <row r="66" spans="1:6" ht="25.5" customHeight="1">
      <c r="A66" s="650">
        <v>3</v>
      </c>
      <c r="B66" s="651" t="s">
        <v>80</v>
      </c>
      <c r="C66" s="654">
        <f>C64+C65</f>
        <v>3029114</v>
      </c>
      <c r="D66" s="654">
        <f>D64+D65</f>
        <v>3389652</v>
      </c>
      <c r="E66" s="654">
        <f>E64+E65</f>
        <v>4505345</v>
      </c>
      <c r="F66" s="655"/>
    </row>
    <row r="67" spans="1:5" ht="25.5" customHeight="1">
      <c r="A67" s="639"/>
      <c r="B67" s="640"/>
      <c r="C67" s="649"/>
      <c r="D67" s="649"/>
      <c r="E67" s="649"/>
    </row>
    <row r="68" spans="1:5" ht="25.5" customHeight="1">
      <c r="A68" s="629" t="s">
        <v>511</v>
      </c>
      <c r="B68" s="642" t="s">
        <v>81</v>
      </c>
      <c r="C68" s="649"/>
      <c r="D68" s="649"/>
      <c r="E68" s="649"/>
    </row>
    <row r="69" spans="1:5" ht="25.5" customHeight="1">
      <c r="A69" s="639">
        <v>1</v>
      </c>
      <c r="B69" s="640" t="s">
        <v>82</v>
      </c>
      <c r="C69" s="649">
        <v>22179599</v>
      </c>
      <c r="D69" s="649">
        <v>22688049</v>
      </c>
      <c r="E69" s="649">
        <v>23798919</v>
      </c>
    </row>
    <row r="70" spans="1:5" ht="25.5" customHeight="1">
      <c r="A70" s="639">
        <v>2</v>
      </c>
      <c r="B70" s="640" t="s">
        <v>83</v>
      </c>
      <c r="C70" s="649">
        <v>5510219</v>
      </c>
      <c r="D70" s="649">
        <v>5811181</v>
      </c>
      <c r="E70" s="649">
        <v>6509436</v>
      </c>
    </row>
    <row r="71" spans="1:5" ht="25.5" customHeight="1">
      <c r="A71" s="650">
        <v>3</v>
      </c>
      <c r="B71" s="651" t="s">
        <v>84</v>
      </c>
      <c r="C71" s="652">
        <f>C69+C70</f>
        <v>27689818</v>
      </c>
      <c r="D71" s="652">
        <f>D69+D70</f>
        <v>28499230</v>
      </c>
      <c r="E71" s="652">
        <f>E69+E70</f>
        <v>30308355</v>
      </c>
    </row>
    <row r="72" spans="1:5" ht="25.5" customHeight="1">
      <c r="A72" s="639"/>
      <c r="B72" s="640"/>
      <c r="C72" s="649"/>
      <c r="D72" s="649"/>
      <c r="E72" s="649"/>
    </row>
    <row r="73" spans="1:5" ht="25.5" customHeight="1">
      <c r="A73" s="639"/>
      <c r="B73" s="640"/>
      <c r="C73" s="649"/>
      <c r="D73" s="649"/>
      <c r="E73" s="649"/>
    </row>
    <row r="74" spans="1:5" ht="25.5" customHeight="1">
      <c r="A74" s="629" t="s">
        <v>527</v>
      </c>
      <c r="B74" s="642" t="s">
        <v>85</v>
      </c>
      <c r="C74" s="641"/>
      <c r="D74" s="641"/>
      <c r="E74" s="641"/>
    </row>
    <row r="75" spans="1:5" ht="25.5" customHeight="1">
      <c r="A75" s="639">
        <v>1</v>
      </c>
      <c r="B75" s="640" t="s">
        <v>86</v>
      </c>
      <c r="C75" s="641">
        <f aca="true" t="shared" si="0" ref="C75:E76">+C59+C64+C69</f>
        <v>40676579</v>
      </c>
      <c r="D75" s="641">
        <f t="shared" si="0"/>
        <v>42844042</v>
      </c>
      <c r="E75" s="641">
        <f t="shared" si="0"/>
        <v>46238043</v>
      </c>
    </row>
    <row r="76" spans="1:5" ht="25.5" customHeight="1">
      <c r="A76" s="639">
        <v>2</v>
      </c>
      <c r="B76" s="640" t="s">
        <v>87</v>
      </c>
      <c r="C76" s="641">
        <f t="shared" si="0"/>
        <v>10105542</v>
      </c>
      <c r="D76" s="641">
        <f t="shared" si="0"/>
        <v>10973815</v>
      </c>
      <c r="E76" s="641">
        <f t="shared" si="0"/>
        <v>12646942</v>
      </c>
    </row>
    <row r="77" spans="1:5" ht="25.5" customHeight="1">
      <c r="A77" s="650">
        <v>3</v>
      </c>
      <c r="B77" s="651" t="s">
        <v>85</v>
      </c>
      <c r="C77" s="654">
        <f>C75+C76</f>
        <v>50782121</v>
      </c>
      <c r="D77" s="654">
        <f>D75+D76</f>
        <v>53817857</v>
      </c>
      <c r="E77" s="654">
        <f>E75+E76</f>
        <v>58884985</v>
      </c>
    </row>
    <row r="78" spans="1:5" ht="25.5" customHeight="1">
      <c r="A78" s="650"/>
      <c r="B78" s="651"/>
      <c r="C78" s="654"/>
      <c r="D78" s="654"/>
      <c r="E78" s="654"/>
    </row>
    <row r="79" spans="1:5" ht="25.5" customHeight="1">
      <c r="A79" s="629" t="s">
        <v>536</v>
      </c>
      <c r="B79" s="642" t="s">
        <v>88</v>
      </c>
      <c r="C79" s="649"/>
      <c r="D79" s="649"/>
      <c r="E79" s="649"/>
    </row>
    <row r="80" spans="1:5" ht="25.5" customHeight="1">
      <c r="A80" s="639">
        <v>1</v>
      </c>
      <c r="B80" s="640" t="s">
        <v>693</v>
      </c>
      <c r="C80" s="646">
        <v>246.4</v>
      </c>
      <c r="D80" s="646">
        <v>270.1</v>
      </c>
      <c r="E80" s="646">
        <v>276.8</v>
      </c>
    </row>
    <row r="81" spans="1:5" ht="25.5" customHeight="1">
      <c r="A81" s="639">
        <v>2</v>
      </c>
      <c r="B81" s="640" t="s">
        <v>694</v>
      </c>
      <c r="C81" s="646">
        <v>12.5</v>
      </c>
      <c r="D81" s="646">
        <v>13.5</v>
      </c>
      <c r="E81" s="646">
        <v>18</v>
      </c>
    </row>
    <row r="82" spans="1:5" ht="25.5" customHeight="1">
      <c r="A82" s="639">
        <v>3</v>
      </c>
      <c r="B82" s="640" t="s">
        <v>89</v>
      </c>
      <c r="C82" s="646">
        <v>396.1</v>
      </c>
      <c r="D82" s="646">
        <v>389.3</v>
      </c>
      <c r="E82" s="646">
        <v>390</v>
      </c>
    </row>
    <row r="83" spans="1:5" ht="25.5" customHeight="1">
      <c r="A83" s="650">
        <v>4</v>
      </c>
      <c r="B83" s="651" t="s">
        <v>88</v>
      </c>
      <c r="C83" s="656">
        <f>C80+C81+C82</f>
        <v>655</v>
      </c>
      <c r="D83" s="656">
        <f>D80+D81+D82</f>
        <v>672.9000000000001</v>
      </c>
      <c r="E83" s="656">
        <f>E80+E81+E82</f>
        <v>684.8</v>
      </c>
    </row>
    <row r="84" spans="1:5" ht="25.5" customHeight="1">
      <c r="A84" s="639"/>
      <c r="B84" s="640"/>
      <c r="C84" s="657"/>
      <c r="D84" s="657"/>
      <c r="E84" s="657"/>
    </row>
    <row r="85" spans="1:5" ht="25.5" customHeight="1">
      <c r="A85" s="629" t="s">
        <v>539</v>
      </c>
      <c r="B85" s="642" t="s">
        <v>90</v>
      </c>
      <c r="C85" s="657"/>
      <c r="D85" s="657"/>
      <c r="E85" s="657"/>
    </row>
    <row r="86" spans="1:5" ht="25.5" customHeight="1">
      <c r="A86" s="639">
        <v>1</v>
      </c>
      <c r="B86" s="640" t="s">
        <v>91</v>
      </c>
      <c r="C86" s="649">
        <f>IF(C80=0,0,C59/C80)</f>
        <v>65221.81006493506</v>
      </c>
      <c r="D86" s="649">
        <f>IF(D80=0,0,D59/D80)</f>
        <v>64633.517215845975</v>
      </c>
      <c r="E86" s="649">
        <f>IF(E80=0,0,E59/E80)</f>
        <v>68285.43352601156</v>
      </c>
    </row>
    <row r="87" spans="1:5" ht="25.5" customHeight="1">
      <c r="A87" s="639">
        <v>2</v>
      </c>
      <c r="B87" s="640" t="s">
        <v>92</v>
      </c>
      <c r="C87" s="649">
        <f>IF(C80=0,0,C60/C80)</f>
        <v>16203.469967532466</v>
      </c>
      <c r="D87" s="649">
        <f>IF(D80=0,0,D60/D80)</f>
        <v>16554.838948537577</v>
      </c>
      <c r="E87" s="649">
        <f>IF(E80=0,0,E60/E80)</f>
        <v>18677.301300578034</v>
      </c>
    </row>
    <row r="88" spans="1:5" ht="25.5" customHeight="1">
      <c r="A88" s="650">
        <v>3</v>
      </c>
      <c r="B88" s="651" t="s">
        <v>93</v>
      </c>
      <c r="C88" s="652">
        <f>+C86+C87</f>
        <v>81425.28003246753</v>
      </c>
      <c r="D88" s="652">
        <f>+D86+D87</f>
        <v>81188.35616438356</v>
      </c>
      <c r="E88" s="652">
        <f>+E86+E87</f>
        <v>86962.7348265896</v>
      </c>
    </row>
    <row r="89" spans="1:5" ht="25.5" customHeight="1">
      <c r="A89" s="639"/>
      <c r="B89" s="640"/>
      <c r="C89" s="649"/>
      <c r="D89" s="649"/>
      <c r="E89" s="649"/>
    </row>
    <row r="90" spans="1:2" ht="25.5" customHeight="1">
      <c r="A90" s="629" t="s">
        <v>691</v>
      </c>
      <c r="B90" s="642" t="s">
        <v>94</v>
      </c>
    </row>
    <row r="91" spans="1:5" ht="25.5" customHeight="1">
      <c r="A91" s="639">
        <v>1</v>
      </c>
      <c r="B91" s="640" t="s">
        <v>95</v>
      </c>
      <c r="C91" s="641">
        <f>IF(C81=0,0,C64/C81)</f>
        <v>194106.08</v>
      </c>
      <c r="D91" s="641">
        <f>IF(D81=0,0,D64/D81)</f>
        <v>199887.40740740742</v>
      </c>
      <c r="E91" s="641">
        <f>IF(E81=0,0,E64/E81)</f>
        <v>196539.77777777778</v>
      </c>
    </row>
    <row r="92" spans="1:5" ht="25.5" customHeight="1">
      <c r="A92" s="639">
        <v>2</v>
      </c>
      <c r="B92" s="640" t="s">
        <v>96</v>
      </c>
      <c r="C92" s="641">
        <f>IF(C81=0,0,C65/C81)</f>
        <v>48223.04</v>
      </c>
      <c r="D92" s="641">
        <f>IF(D81=0,0,D65/D81)</f>
        <v>51197.92592592593</v>
      </c>
      <c r="E92" s="641">
        <f>IF(E81=0,0,E65/E81)</f>
        <v>53757.166666666664</v>
      </c>
    </row>
    <row r="93" spans="1:5" ht="25.5" customHeight="1">
      <c r="A93" s="650">
        <v>3</v>
      </c>
      <c r="B93" s="651" t="s">
        <v>97</v>
      </c>
      <c r="C93" s="654">
        <f>+C91+C92</f>
        <v>242329.12</v>
      </c>
      <c r="D93" s="654">
        <f>+D91+D92</f>
        <v>251085.33333333334</v>
      </c>
      <c r="E93" s="654">
        <f>+E91+E92</f>
        <v>250296.94444444444</v>
      </c>
    </row>
    <row r="94" spans="1:5" ht="25.5" customHeight="1">
      <c r="A94" s="639"/>
      <c r="B94" s="640"/>
      <c r="C94" s="649"/>
      <c r="D94" s="649"/>
      <c r="E94" s="649"/>
    </row>
    <row r="95" spans="1:5" ht="25.5" customHeight="1">
      <c r="A95" s="629" t="s">
        <v>98</v>
      </c>
      <c r="B95" s="642" t="s">
        <v>99</v>
      </c>
      <c r="C95" s="649"/>
      <c r="D95" s="649"/>
      <c r="E95" s="649"/>
    </row>
    <row r="96" spans="1:5" ht="25.5" customHeight="1">
      <c r="A96" s="639">
        <v>1</v>
      </c>
      <c r="B96" s="640" t="s">
        <v>100</v>
      </c>
      <c r="C96" s="649">
        <f>IF(C82=0,0,C69/C82)</f>
        <v>55994.948245392574</v>
      </c>
      <c r="D96" s="649">
        <f>IF(D82=0,0,D69/D82)</f>
        <v>58279.088106858464</v>
      </c>
      <c r="E96" s="649">
        <f>IF(E82=0,0,E69/E82)</f>
        <v>61022.86923076923</v>
      </c>
    </row>
    <row r="97" spans="1:5" ht="25.5" customHeight="1">
      <c r="A97" s="639">
        <v>2</v>
      </c>
      <c r="B97" s="640" t="s">
        <v>101</v>
      </c>
      <c r="C97" s="649">
        <f>IF(C82=0,0,C70/C82)</f>
        <v>13911.181519818227</v>
      </c>
      <c r="D97" s="649">
        <f>IF(D82=0,0,D70/D82)</f>
        <v>14927.256614436166</v>
      </c>
      <c r="E97" s="649">
        <f>IF(E82=0,0,E70/E82)</f>
        <v>16690.861538461537</v>
      </c>
    </row>
    <row r="98" spans="1:5" ht="25.5" customHeight="1">
      <c r="A98" s="650">
        <v>3</v>
      </c>
      <c r="B98" s="651" t="s">
        <v>102</v>
      </c>
      <c r="C98" s="654">
        <f>+C96+C97</f>
        <v>69906.1297652108</v>
      </c>
      <c r="D98" s="654">
        <f>+D96+D97</f>
        <v>73206.34472129463</v>
      </c>
      <c r="E98" s="654">
        <f>+E96+E97</f>
        <v>77713.73076923077</v>
      </c>
    </row>
    <row r="99" spans="1:5" ht="25.5" customHeight="1">
      <c r="A99" s="639"/>
      <c r="B99" s="640"/>
      <c r="C99" s="649"/>
      <c r="D99" s="649"/>
      <c r="E99" s="649"/>
    </row>
    <row r="100" spans="1:2" ht="25.5" customHeight="1">
      <c r="A100" s="629" t="s">
        <v>103</v>
      </c>
      <c r="B100" s="642" t="s">
        <v>104</v>
      </c>
    </row>
    <row r="101" spans="1:5" ht="25.5" customHeight="1">
      <c r="A101" s="639">
        <v>1</v>
      </c>
      <c r="B101" s="640" t="s">
        <v>105</v>
      </c>
      <c r="C101" s="641">
        <f>IF(C83=0,0,C75/C83)</f>
        <v>62101.647328244275</v>
      </c>
      <c r="D101" s="641">
        <f>IF(D83=0,0,D75/D83)</f>
        <v>63670.741566354576</v>
      </c>
      <c r="E101" s="641">
        <f>IF(E83=0,0,E75/E83)</f>
        <v>67520.50671728973</v>
      </c>
    </row>
    <row r="102" spans="1:5" ht="25.5" customHeight="1">
      <c r="A102" s="639">
        <v>2</v>
      </c>
      <c r="B102" s="640" t="s">
        <v>106</v>
      </c>
      <c r="C102" s="658">
        <f>IF(C83=0,0,C76/C83)</f>
        <v>15428.308396946564</v>
      </c>
      <c r="D102" s="658">
        <f>IF(D83=0,0,D76/D83)</f>
        <v>16308.240451775893</v>
      </c>
      <c r="E102" s="658">
        <f>IF(E83=0,0,E76/E83)</f>
        <v>18468.081191588786</v>
      </c>
    </row>
    <row r="103" spans="1:5" ht="25.5" customHeight="1">
      <c r="A103" s="650">
        <v>3</v>
      </c>
      <c r="B103" s="651" t="s">
        <v>104</v>
      </c>
      <c r="C103" s="654">
        <f>+C101+C102</f>
        <v>77529.95572519084</v>
      </c>
      <c r="D103" s="654">
        <f>+D101+D102</f>
        <v>79978.98201813047</v>
      </c>
      <c r="E103" s="654">
        <f>+E101+E102</f>
        <v>85988.58790887852</v>
      </c>
    </row>
    <row r="104" spans="1:5" ht="25.5" customHeight="1">
      <c r="A104" s="650"/>
      <c r="B104" s="651"/>
      <c r="C104" s="654"/>
      <c r="D104" s="654"/>
      <c r="E104" s="654"/>
    </row>
    <row r="105" spans="1:5" ht="25.5" customHeight="1">
      <c r="A105" s="650"/>
      <c r="B105" s="651"/>
      <c r="C105" s="654"/>
      <c r="D105" s="654"/>
      <c r="E105" s="654"/>
    </row>
    <row r="106" spans="1:5" ht="25.5" customHeight="1">
      <c r="A106" s="650"/>
      <c r="B106" s="651"/>
      <c r="C106" s="654"/>
      <c r="D106" s="654"/>
      <c r="E106" s="654"/>
    </row>
    <row r="107" spans="1:5" ht="30" customHeight="1">
      <c r="A107" s="629" t="s">
        <v>107</v>
      </c>
      <c r="B107" s="634" t="s">
        <v>108</v>
      </c>
      <c r="C107" s="659"/>
      <c r="D107" s="659"/>
      <c r="E107" s="641"/>
    </row>
    <row r="108" spans="1:5" ht="25.5" customHeight="1">
      <c r="A108" s="639">
        <v>1</v>
      </c>
      <c r="B108" s="640" t="s">
        <v>109</v>
      </c>
      <c r="C108" s="641">
        <f>IF(C19=0,0,C77/C19)</f>
        <v>1847.4959435369447</v>
      </c>
      <c r="D108" s="641">
        <f>IF(D19=0,0,D77/D19)</f>
        <v>1986.9985970094149</v>
      </c>
      <c r="E108" s="641">
        <f>IF(E19=0,0,E77/E19)</f>
        <v>2060.2842797662784</v>
      </c>
    </row>
    <row r="109" spans="1:5" ht="25.5" customHeight="1">
      <c r="A109" s="639">
        <v>2</v>
      </c>
      <c r="B109" s="640" t="s">
        <v>110</v>
      </c>
      <c r="C109" s="641">
        <f>IF(C20=0,0,C77/C20)</f>
        <v>8263.974125305127</v>
      </c>
      <c r="D109" s="641">
        <f>IF(D20=0,0,D77/D20)</f>
        <v>8845.80161078238</v>
      </c>
      <c r="E109" s="641">
        <f>IF(E20=0,0,E77/E20)</f>
        <v>9317.244462025317</v>
      </c>
    </row>
    <row r="110" spans="1:5" ht="25.5" customHeight="1">
      <c r="A110" s="639">
        <v>3</v>
      </c>
      <c r="B110" s="640" t="s">
        <v>111</v>
      </c>
      <c r="C110" s="641">
        <f>IF(C22=0,0,C77/C22)</f>
        <v>826.4299939964301</v>
      </c>
      <c r="D110" s="641">
        <f>IF(D22=0,0,D77/D22)</f>
        <v>868.1919816625236</v>
      </c>
      <c r="E110" s="641">
        <f>IF(E22=0,0,E77/E22)</f>
        <v>923.649221302433</v>
      </c>
    </row>
    <row r="111" spans="1:5" ht="25.5" customHeight="1">
      <c r="A111" s="639">
        <v>4</v>
      </c>
      <c r="B111" s="640" t="s">
        <v>112</v>
      </c>
      <c r="C111" s="641">
        <f>IF(C23=0,0,C77/C23)</f>
        <v>3696.6771757493693</v>
      </c>
      <c r="D111" s="641">
        <f>IF(D23=0,0,D77/D23)</f>
        <v>3865.052567937122</v>
      </c>
      <c r="E111" s="641">
        <f>IF(E23=0,0,E77/E23)</f>
        <v>4177.028226905829</v>
      </c>
    </row>
    <row r="112" spans="1:5" ht="25.5" customHeight="1">
      <c r="A112" s="639">
        <v>5</v>
      </c>
      <c r="B112" s="640" t="s">
        <v>113</v>
      </c>
      <c r="C112" s="641">
        <f>IF(C29=0,0,C77/C29)</f>
        <v>692.7228691168438</v>
      </c>
      <c r="D112" s="641">
        <f>IF(D29=0,0,D77/D29)</f>
        <v>734.8231398387449</v>
      </c>
      <c r="E112" s="641">
        <f>IF(E29=0,0,E77/E29)</f>
        <v>757.2789043129633</v>
      </c>
    </row>
    <row r="113" spans="1:5" ht="25.5" customHeight="1">
      <c r="A113" s="639">
        <v>6</v>
      </c>
      <c r="B113" s="640" t="s">
        <v>114</v>
      </c>
      <c r="C113" s="641">
        <f>IF(C30=0,0,C77/C30)</f>
        <v>3098.596176308329</v>
      </c>
      <c r="D113" s="641">
        <f>IF(D30=0,0,D77/D30)</f>
        <v>3271.3157039007897</v>
      </c>
      <c r="E113" s="641">
        <f>IF(E30=0,0,E77/E30)</f>
        <v>3424.6500576216463</v>
      </c>
    </row>
    <row r="116" spans="1:7" ht="12.75">
      <c r="A116" s="630"/>
      <c r="B116" s="630"/>
      <c r="C116" s="630"/>
      <c r="D116" s="630"/>
      <c r="E116" s="630"/>
      <c r="F116" s="630"/>
      <c r="G116" s="630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 r:id="rId1"/>
  <headerFooter alignWithMargins="0">
    <oddHeader>&amp;L&amp;12OFFICE OF HEALTH CARE ACCESS&amp;C&amp;12TWELVE MONTHS ACTUAL FILING&amp;R&amp;12CHARLOTTE HUNGERFORD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115</v>
      </c>
      <c r="C1" s="57"/>
      <c r="D1" s="57"/>
      <c r="E1" s="57"/>
      <c r="F1" s="58"/>
    </row>
    <row r="2" spans="1:6" ht="22.5" customHeight="1">
      <c r="A2" s="57"/>
      <c r="B2" s="57" t="s">
        <v>116</v>
      </c>
      <c r="C2" s="57"/>
      <c r="D2" s="57"/>
      <c r="E2" s="57"/>
      <c r="F2" s="58"/>
    </row>
    <row r="3" spans="1:6" ht="22.5" customHeight="1">
      <c r="A3" s="57"/>
      <c r="B3" s="57" t="s">
        <v>117</v>
      </c>
      <c r="C3" s="57"/>
      <c r="D3" s="57"/>
      <c r="E3" s="57"/>
      <c r="F3" s="58"/>
    </row>
    <row r="4" spans="1:6" ht="22.5" customHeight="1">
      <c r="A4" s="57"/>
      <c r="B4" s="57" t="s">
        <v>184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119</v>
      </c>
      <c r="D6" s="10" t="s">
        <v>120</v>
      </c>
      <c r="E6" s="59" t="s">
        <v>121</v>
      </c>
      <c r="F6" s="59" t="s">
        <v>122</v>
      </c>
    </row>
    <row r="7" spans="1:8" ht="15.75" customHeight="1">
      <c r="A7" s="61" t="s">
        <v>123</v>
      </c>
      <c r="B7" s="62" t="s">
        <v>124</v>
      </c>
      <c r="C7" s="14" t="s">
        <v>125</v>
      </c>
      <c r="D7" s="14" t="s">
        <v>125</v>
      </c>
      <c r="E7" s="63" t="s">
        <v>126</v>
      </c>
      <c r="F7" s="63" t="s">
        <v>126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129</v>
      </c>
      <c r="B11" s="30" t="s">
        <v>185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186</v>
      </c>
      <c r="C12" s="51">
        <v>155722889</v>
      </c>
      <c r="D12" s="51">
        <v>176391807</v>
      </c>
      <c r="E12" s="51">
        <f aca="true" t="shared" si="0" ref="E12:E19">D12-C12</f>
        <v>20668918</v>
      </c>
      <c r="F12" s="70">
        <f aca="true" t="shared" si="1" ref="F12:F19">IF(C12=0,0,E12/C12)</f>
        <v>0.13272883731305551</v>
      </c>
    </row>
    <row r="13" spans="1:6" ht="22.5" customHeight="1">
      <c r="A13" s="25">
        <v>2</v>
      </c>
      <c r="B13" s="48" t="s">
        <v>187</v>
      </c>
      <c r="C13" s="51">
        <v>66673273</v>
      </c>
      <c r="D13" s="51">
        <v>79275013</v>
      </c>
      <c r="E13" s="51">
        <f t="shared" si="0"/>
        <v>12601740</v>
      </c>
      <c r="F13" s="70">
        <f t="shared" si="1"/>
        <v>0.18900737031463868</v>
      </c>
    </row>
    <row r="14" spans="1:6" ht="22.5" customHeight="1">
      <c r="A14" s="25">
        <v>3</v>
      </c>
      <c r="B14" s="48" t="s">
        <v>188</v>
      </c>
      <c r="C14" s="51">
        <v>1110508</v>
      </c>
      <c r="D14" s="51">
        <v>1438204</v>
      </c>
      <c r="E14" s="51">
        <f t="shared" si="0"/>
        <v>327696</v>
      </c>
      <c r="F14" s="70">
        <f t="shared" si="1"/>
        <v>0.29508657299181995</v>
      </c>
    </row>
    <row r="15" spans="1:7" ht="22.5" customHeight="1">
      <c r="A15" s="25">
        <v>4</v>
      </c>
      <c r="B15" s="48" t="s">
        <v>189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190</v>
      </c>
      <c r="C16" s="27">
        <f>C12-C13-C14-C15</f>
        <v>87939108</v>
      </c>
      <c r="D16" s="27">
        <f>D12-D13-D14-D15</f>
        <v>95678590</v>
      </c>
      <c r="E16" s="27">
        <f t="shared" si="0"/>
        <v>7739482</v>
      </c>
      <c r="F16" s="28">
        <f t="shared" si="1"/>
        <v>0.0880095577044061</v>
      </c>
    </row>
    <row r="17" spans="1:7" ht="22.5" customHeight="1">
      <c r="A17" s="25">
        <v>5</v>
      </c>
      <c r="B17" s="48" t="s">
        <v>191</v>
      </c>
      <c r="C17" s="51">
        <v>5802825</v>
      </c>
      <c r="D17" s="51">
        <v>5573529</v>
      </c>
      <c r="E17" s="51">
        <f t="shared" si="0"/>
        <v>-229296</v>
      </c>
      <c r="F17" s="70">
        <f t="shared" si="1"/>
        <v>-0.03951454679401843</v>
      </c>
      <c r="G17" s="64"/>
    </row>
    <row r="18" spans="1:7" ht="22.5" customHeight="1">
      <c r="A18" s="25">
        <v>6</v>
      </c>
      <c r="B18" s="45" t="s">
        <v>192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6" ht="22.5" customHeight="1">
      <c r="A19" s="29"/>
      <c r="B19" s="71" t="s">
        <v>193</v>
      </c>
      <c r="C19" s="27">
        <f>SUM(C16:C18)</f>
        <v>93741933</v>
      </c>
      <c r="D19" s="27">
        <f>SUM(D16:D18)</f>
        <v>101252119</v>
      </c>
      <c r="E19" s="27">
        <f t="shared" si="0"/>
        <v>7510186</v>
      </c>
      <c r="F19" s="28">
        <f t="shared" si="1"/>
        <v>0.08011554444903542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141</v>
      </c>
      <c r="B21" s="30" t="s">
        <v>194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195</v>
      </c>
      <c r="C22" s="51">
        <v>42844042</v>
      </c>
      <c r="D22" s="51">
        <v>46238043</v>
      </c>
      <c r="E22" s="51">
        <f aca="true" t="shared" si="2" ref="E22:E31">D22-C22</f>
        <v>3394001</v>
      </c>
      <c r="F22" s="70">
        <f aca="true" t="shared" si="3" ref="F22:F31">IF(C22=0,0,E22/C22)</f>
        <v>0.07921757242232187</v>
      </c>
    </row>
    <row r="23" spans="1:6" ht="22.5" customHeight="1">
      <c r="A23" s="25">
        <v>2</v>
      </c>
      <c r="B23" s="48" t="s">
        <v>196</v>
      </c>
      <c r="C23" s="51">
        <v>10973815</v>
      </c>
      <c r="D23" s="51">
        <v>12646942</v>
      </c>
      <c r="E23" s="51">
        <f t="shared" si="2"/>
        <v>1673127</v>
      </c>
      <c r="F23" s="70">
        <f t="shared" si="3"/>
        <v>0.15246539147962673</v>
      </c>
    </row>
    <row r="24" spans="1:7" ht="22.5" customHeight="1">
      <c r="A24" s="25">
        <v>3</v>
      </c>
      <c r="B24" s="48" t="s">
        <v>197</v>
      </c>
      <c r="C24" s="51">
        <v>1103875</v>
      </c>
      <c r="D24" s="51">
        <v>908307</v>
      </c>
      <c r="E24" s="51">
        <f t="shared" si="2"/>
        <v>-195568</v>
      </c>
      <c r="F24" s="70">
        <f t="shared" si="3"/>
        <v>-0.17716498697769223</v>
      </c>
      <c r="G24" s="64"/>
    </row>
    <row r="25" spans="1:6" ht="22.5" customHeight="1">
      <c r="A25" s="25">
        <v>4</v>
      </c>
      <c r="B25" s="48" t="s">
        <v>198</v>
      </c>
      <c r="C25" s="51">
        <v>10269804</v>
      </c>
      <c r="D25" s="51">
        <v>11753018</v>
      </c>
      <c r="E25" s="51">
        <f t="shared" si="2"/>
        <v>1483214</v>
      </c>
      <c r="F25" s="70">
        <f t="shared" si="3"/>
        <v>0.1444247621473594</v>
      </c>
    </row>
    <row r="26" spans="1:6" ht="22.5" customHeight="1">
      <c r="A26" s="25">
        <v>5</v>
      </c>
      <c r="B26" s="48" t="s">
        <v>199</v>
      </c>
      <c r="C26" s="51">
        <v>5906031</v>
      </c>
      <c r="D26" s="51">
        <v>6176454</v>
      </c>
      <c r="E26" s="51">
        <f t="shared" si="2"/>
        <v>270423</v>
      </c>
      <c r="F26" s="70">
        <f t="shared" si="3"/>
        <v>0.04578760253713535</v>
      </c>
    </row>
    <row r="27" spans="1:6" ht="22.5" customHeight="1">
      <c r="A27" s="25">
        <v>6</v>
      </c>
      <c r="B27" s="48" t="s">
        <v>200</v>
      </c>
      <c r="C27" s="51">
        <v>2441497</v>
      </c>
      <c r="D27" s="51">
        <v>2247042</v>
      </c>
      <c r="E27" s="51">
        <f t="shared" si="2"/>
        <v>-194455</v>
      </c>
      <c r="F27" s="70">
        <f t="shared" si="3"/>
        <v>-0.07964580746976138</v>
      </c>
    </row>
    <row r="28" spans="1:6" ht="22.5" customHeight="1">
      <c r="A28" s="25">
        <v>7</v>
      </c>
      <c r="B28" s="48" t="s">
        <v>201</v>
      </c>
      <c r="C28" s="51">
        <v>528927</v>
      </c>
      <c r="D28" s="51">
        <v>417080</v>
      </c>
      <c r="E28" s="51">
        <f t="shared" si="2"/>
        <v>-111847</v>
      </c>
      <c r="F28" s="70">
        <f t="shared" si="3"/>
        <v>-0.21146018259608604</v>
      </c>
    </row>
    <row r="29" spans="1:6" ht="22.5" customHeight="1">
      <c r="A29" s="25">
        <v>8</v>
      </c>
      <c r="B29" s="48" t="s">
        <v>202</v>
      </c>
      <c r="C29" s="51">
        <v>1180250</v>
      </c>
      <c r="D29" s="51">
        <v>1082238</v>
      </c>
      <c r="E29" s="51">
        <f t="shared" si="2"/>
        <v>-98012</v>
      </c>
      <c r="F29" s="70">
        <f t="shared" si="3"/>
        <v>-0.08304342300360093</v>
      </c>
    </row>
    <row r="30" spans="1:6" ht="22.5" customHeight="1">
      <c r="A30" s="25">
        <v>9</v>
      </c>
      <c r="B30" s="48" t="s">
        <v>203</v>
      </c>
      <c r="C30" s="51">
        <v>18256622</v>
      </c>
      <c r="D30" s="51">
        <v>18933235</v>
      </c>
      <c r="E30" s="51">
        <f t="shared" si="2"/>
        <v>676613</v>
      </c>
      <c r="F30" s="70">
        <f t="shared" si="3"/>
        <v>0.03706123728694169</v>
      </c>
    </row>
    <row r="31" spans="1:6" ht="22.5" customHeight="1">
      <c r="A31" s="29"/>
      <c r="B31" s="71" t="s">
        <v>204</v>
      </c>
      <c r="C31" s="27">
        <f>SUM(C22:C30)</f>
        <v>93504863</v>
      </c>
      <c r="D31" s="27">
        <f>SUM(D22:D30)</f>
        <v>100402359</v>
      </c>
      <c r="E31" s="27">
        <f t="shared" si="2"/>
        <v>6897496</v>
      </c>
      <c r="F31" s="28">
        <f t="shared" si="3"/>
        <v>0.07376617406519274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205</v>
      </c>
      <c r="C33" s="27">
        <f>+C19-C31</f>
        <v>237070</v>
      </c>
      <c r="D33" s="27">
        <f>+D19-D31</f>
        <v>849760</v>
      </c>
      <c r="E33" s="27">
        <f>D33-C33</f>
        <v>612690</v>
      </c>
      <c r="F33" s="28">
        <f>IF(C33=0,0,E33/C33)</f>
        <v>2.584426540684186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151</v>
      </c>
      <c r="B35" s="30" t="s">
        <v>206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207</v>
      </c>
      <c r="C36" s="51">
        <v>1576449</v>
      </c>
      <c r="D36" s="51">
        <v>0</v>
      </c>
      <c r="E36" s="51">
        <f>D36-C36</f>
        <v>-1576449</v>
      </c>
      <c r="F36" s="70">
        <f>IF(C36=0,0,E36/C36)</f>
        <v>-1</v>
      </c>
    </row>
    <row r="37" spans="1:6" ht="22.5" customHeight="1">
      <c r="A37" s="44">
        <v>2</v>
      </c>
      <c r="B37" s="48" t="s">
        <v>208</v>
      </c>
      <c r="C37" s="51">
        <v>192033</v>
      </c>
      <c r="D37" s="51">
        <v>188183</v>
      </c>
      <c r="E37" s="51">
        <f>D37-C37</f>
        <v>-3850</v>
      </c>
      <c r="F37" s="70">
        <f>IF(C37=0,0,E37/C37)</f>
        <v>-0.02004863747376753</v>
      </c>
    </row>
    <row r="38" spans="1:6" ht="22.5" customHeight="1">
      <c r="A38" s="44">
        <v>3</v>
      </c>
      <c r="B38" s="48" t="s">
        <v>209</v>
      </c>
      <c r="C38" s="51">
        <v>-941161</v>
      </c>
      <c r="D38" s="51">
        <v>-858082</v>
      </c>
      <c r="E38" s="51">
        <f>D38-C38</f>
        <v>83079</v>
      </c>
      <c r="F38" s="70">
        <f>IF(C38=0,0,E38/C38)</f>
        <v>-0.08827288848560448</v>
      </c>
    </row>
    <row r="39" spans="1:6" ht="22.5" customHeight="1">
      <c r="A39" s="20"/>
      <c r="B39" s="71" t="s">
        <v>210</v>
      </c>
      <c r="C39" s="27">
        <f>SUM(C36:C38)</f>
        <v>827321</v>
      </c>
      <c r="D39" s="27">
        <f>SUM(D36:D38)</f>
        <v>-669899</v>
      </c>
      <c r="E39" s="27">
        <f>D39-C39</f>
        <v>-1497220</v>
      </c>
      <c r="F39" s="28">
        <f>IF(C39=0,0,E39/C39)</f>
        <v>-1.8097207734361873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211</v>
      </c>
      <c r="C41" s="27">
        <f>C33+C39</f>
        <v>1064391</v>
      </c>
      <c r="D41" s="27">
        <f>D33+D39</f>
        <v>179861</v>
      </c>
      <c r="E41" s="27">
        <f>D41-C41</f>
        <v>-884530</v>
      </c>
      <c r="F41" s="28">
        <f>IF(C41=0,0,E41/C41)</f>
        <v>-0.8310198038126967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212</v>
      </c>
      <c r="C43" s="27"/>
      <c r="D43" s="27"/>
      <c r="E43" s="27"/>
      <c r="F43" s="28"/>
    </row>
    <row r="44" spans="1:6" ht="22.5" customHeight="1">
      <c r="A44" s="44"/>
      <c r="B44" s="48" t="s">
        <v>213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214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215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216</v>
      </c>
      <c r="C48" s="27">
        <f>C41+C46</f>
        <v>1064391</v>
      </c>
      <c r="D48" s="27">
        <f>D41+D46</f>
        <v>179861</v>
      </c>
      <c r="E48" s="27">
        <f>D48-C48</f>
        <v>-884530</v>
      </c>
      <c r="F48" s="28">
        <f>IF(C48=0,0,E48/C48)</f>
        <v>-0.8310198038126967</v>
      </c>
    </row>
    <row r="49" spans="1:6" ht="22.5" customHeight="1">
      <c r="A49" s="44"/>
      <c r="B49" s="48" t="s">
        <v>217</v>
      </c>
      <c r="C49" s="51">
        <v>0</v>
      </c>
      <c r="D49" s="51">
        <v>1485596</v>
      </c>
      <c r="E49" s="51">
        <f>D49-C49</f>
        <v>1485596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FILING&amp;RCHARLOTTE HUNGERFORD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zoomScale="75" zoomScaleNormal="75" zoomScalePageLayoutView="0" workbookViewId="0" topLeftCell="A1">
      <selection activeCell="D93" sqref="D93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19.57421875" style="75" customWidth="1"/>
    <col min="5" max="5" width="20.00390625" style="75" bestFit="1" customWidth="1"/>
    <col min="6" max="6" width="21.421875" style="75" bestFit="1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5" t="s">
        <v>115</v>
      </c>
      <c r="B2" s="675"/>
      <c r="C2" s="675"/>
      <c r="D2" s="675"/>
      <c r="E2" s="675"/>
      <c r="F2" s="675"/>
    </row>
    <row r="3" spans="1:6" ht="18" customHeight="1">
      <c r="A3" s="675" t="s">
        <v>116</v>
      </c>
      <c r="B3" s="675"/>
      <c r="C3" s="675"/>
      <c r="D3" s="675"/>
      <c r="E3" s="675"/>
      <c r="F3" s="675"/>
    </row>
    <row r="4" spans="1:6" ht="18" customHeight="1">
      <c r="A4" s="675" t="s">
        <v>117</v>
      </c>
      <c r="B4" s="675"/>
      <c r="C4" s="675"/>
      <c r="D4" s="675"/>
      <c r="E4" s="675"/>
      <c r="F4" s="675"/>
    </row>
    <row r="5" spans="1:6" ht="18" customHeight="1">
      <c r="A5" s="675" t="s">
        <v>218</v>
      </c>
      <c r="B5" s="675"/>
      <c r="C5" s="675"/>
      <c r="D5" s="675"/>
      <c r="E5" s="675"/>
      <c r="F5" s="675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123</v>
      </c>
      <c r="B8" s="87" t="s">
        <v>219</v>
      </c>
      <c r="C8" s="88" t="s">
        <v>220</v>
      </c>
      <c r="D8" s="89" t="s">
        <v>221</v>
      </c>
      <c r="E8" s="90" t="s">
        <v>222</v>
      </c>
      <c r="F8" s="91" t="s">
        <v>223</v>
      </c>
    </row>
    <row r="9" spans="1:6" ht="18" customHeight="1">
      <c r="A9" s="92"/>
      <c r="B9" s="93"/>
      <c r="C9" s="662"/>
      <c r="D9" s="663"/>
      <c r="E9" s="663"/>
      <c r="F9" s="664"/>
    </row>
    <row r="10" spans="1:6" ht="18" customHeight="1">
      <c r="A10" s="665" t="s">
        <v>127</v>
      </c>
      <c r="B10" s="667" t="s">
        <v>224</v>
      </c>
      <c r="C10" s="669"/>
      <c r="D10" s="670"/>
      <c r="E10" s="670"/>
      <c r="F10" s="671"/>
    </row>
    <row r="11" spans="1:6" ht="18" customHeight="1">
      <c r="A11" s="666"/>
      <c r="B11" s="668"/>
      <c r="C11" s="672"/>
      <c r="D11" s="673"/>
      <c r="E11" s="673"/>
      <c r="F11" s="674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225</v>
      </c>
      <c r="B13" s="95" t="s">
        <v>226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227</v>
      </c>
      <c r="C14" s="97">
        <v>39109512</v>
      </c>
      <c r="D14" s="97">
        <v>46591298</v>
      </c>
      <c r="E14" s="97">
        <f aca="true" t="shared" si="0" ref="E14:E25">D14-C14</f>
        <v>7481786</v>
      </c>
      <c r="F14" s="98">
        <f aca="true" t="shared" si="1" ref="F14:F25">IF(C14=0,0,E14/C14)</f>
        <v>0.19130348647664025</v>
      </c>
    </row>
    <row r="15" spans="1:6" ht="18" customHeight="1">
      <c r="A15" s="99">
        <v>2</v>
      </c>
      <c r="B15" s="100" t="s">
        <v>228</v>
      </c>
      <c r="C15" s="97">
        <v>1230364</v>
      </c>
      <c r="D15" s="97">
        <v>2715679</v>
      </c>
      <c r="E15" s="97">
        <f t="shared" si="0"/>
        <v>1485315</v>
      </c>
      <c r="F15" s="98">
        <f t="shared" si="1"/>
        <v>1.207215913339467</v>
      </c>
    </row>
    <row r="16" spans="1:6" ht="18" customHeight="1">
      <c r="A16" s="99">
        <v>3</v>
      </c>
      <c r="B16" s="100" t="s">
        <v>229</v>
      </c>
      <c r="C16" s="97">
        <v>3854113</v>
      </c>
      <c r="D16" s="97">
        <v>3158962</v>
      </c>
      <c r="E16" s="97">
        <f t="shared" si="0"/>
        <v>-695151</v>
      </c>
      <c r="F16" s="98">
        <f t="shared" si="1"/>
        <v>-0.1803660141775812</v>
      </c>
    </row>
    <row r="17" spans="1:6" ht="18" customHeight="1">
      <c r="A17" s="99">
        <v>4</v>
      </c>
      <c r="B17" s="100" t="s">
        <v>230</v>
      </c>
      <c r="C17" s="97">
        <v>2743646</v>
      </c>
      <c r="D17" s="97">
        <v>2753894</v>
      </c>
      <c r="E17" s="97">
        <f t="shared" si="0"/>
        <v>10248</v>
      </c>
      <c r="F17" s="98">
        <f t="shared" si="1"/>
        <v>0.0037351757478916742</v>
      </c>
    </row>
    <row r="18" spans="1:6" ht="18" customHeight="1">
      <c r="A18" s="99">
        <v>5</v>
      </c>
      <c r="B18" s="100" t="s">
        <v>231</v>
      </c>
      <c r="C18" s="97">
        <v>148437</v>
      </c>
      <c r="D18" s="97">
        <v>360931</v>
      </c>
      <c r="E18" s="97">
        <f t="shared" si="0"/>
        <v>212494</v>
      </c>
      <c r="F18" s="98">
        <f t="shared" si="1"/>
        <v>1.4315433483565418</v>
      </c>
    </row>
    <row r="19" spans="1:6" ht="18" customHeight="1">
      <c r="A19" s="99">
        <v>6</v>
      </c>
      <c r="B19" s="100" t="s">
        <v>232</v>
      </c>
      <c r="C19" s="97">
        <v>3924835</v>
      </c>
      <c r="D19" s="97">
        <v>3723126</v>
      </c>
      <c r="E19" s="97">
        <f t="shared" si="0"/>
        <v>-201709</v>
      </c>
      <c r="F19" s="98">
        <f t="shared" si="1"/>
        <v>-0.05139298849505775</v>
      </c>
    </row>
    <row r="20" spans="1:6" ht="18" customHeight="1">
      <c r="A20" s="99">
        <v>7</v>
      </c>
      <c r="B20" s="100" t="s">
        <v>233</v>
      </c>
      <c r="C20" s="97">
        <v>12695029</v>
      </c>
      <c r="D20" s="97">
        <v>14714258</v>
      </c>
      <c r="E20" s="97">
        <f t="shared" si="0"/>
        <v>2019229</v>
      </c>
      <c r="F20" s="98">
        <f t="shared" si="1"/>
        <v>0.1590566669835886</v>
      </c>
    </row>
    <row r="21" spans="1:6" ht="18" customHeight="1">
      <c r="A21" s="99">
        <v>8</v>
      </c>
      <c r="B21" s="100" t="s">
        <v>234</v>
      </c>
      <c r="C21" s="97">
        <v>547334</v>
      </c>
      <c r="D21" s="97">
        <v>663719</v>
      </c>
      <c r="E21" s="97">
        <f t="shared" si="0"/>
        <v>116385</v>
      </c>
      <c r="F21" s="98">
        <f t="shared" si="1"/>
        <v>0.21263981408061622</v>
      </c>
    </row>
    <row r="22" spans="1:6" ht="18" customHeight="1">
      <c r="A22" s="99">
        <v>9</v>
      </c>
      <c r="B22" s="100" t="s">
        <v>235</v>
      </c>
      <c r="C22" s="97">
        <v>1553328</v>
      </c>
      <c r="D22" s="97">
        <v>1170201</v>
      </c>
      <c r="E22" s="97">
        <f t="shared" si="0"/>
        <v>-383127</v>
      </c>
      <c r="F22" s="98">
        <f t="shared" si="1"/>
        <v>-0.24664913012576867</v>
      </c>
    </row>
    <row r="23" spans="1:6" ht="18" customHeight="1">
      <c r="A23" s="99">
        <v>10</v>
      </c>
      <c r="B23" s="100" t="s">
        <v>236</v>
      </c>
      <c r="C23" s="97">
        <v>2183510</v>
      </c>
      <c r="D23" s="97">
        <v>3127920</v>
      </c>
      <c r="E23" s="97">
        <f t="shared" si="0"/>
        <v>944410</v>
      </c>
      <c r="F23" s="98">
        <f t="shared" si="1"/>
        <v>0.43251920073642897</v>
      </c>
    </row>
    <row r="24" spans="1:6" ht="18" customHeight="1">
      <c r="A24" s="99">
        <v>11</v>
      </c>
      <c r="B24" s="100" t="s">
        <v>237</v>
      </c>
      <c r="C24" s="97">
        <v>50888</v>
      </c>
      <c r="D24" s="97">
        <v>98494</v>
      </c>
      <c r="E24" s="97">
        <f t="shared" si="0"/>
        <v>47606</v>
      </c>
      <c r="F24" s="98">
        <f t="shared" si="1"/>
        <v>0.9355054236755227</v>
      </c>
    </row>
    <row r="25" spans="1:6" ht="18" customHeight="1">
      <c r="A25" s="101"/>
      <c r="B25" s="102" t="s">
        <v>238</v>
      </c>
      <c r="C25" s="103">
        <f>SUM(C14:C24)</f>
        <v>68040996</v>
      </c>
      <c r="D25" s="103">
        <f>SUM(D14:D24)</f>
        <v>79078482</v>
      </c>
      <c r="E25" s="103">
        <f t="shared" si="0"/>
        <v>11037486</v>
      </c>
      <c r="F25" s="104">
        <f t="shared" si="1"/>
        <v>0.16221817211494083</v>
      </c>
    </row>
    <row r="26" spans="1:6" ht="18" customHeight="1">
      <c r="A26" s="94" t="s">
        <v>239</v>
      </c>
      <c r="B26" s="95" t="s">
        <v>240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227</v>
      </c>
      <c r="C27" s="97">
        <v>28415231</v>
      </c>
      <c r="D27" s="97">
        <v>30009731</v>
      </c>
      <c r="E27" s="97">
        <f aca="true" t="shared" si="2" ref="E27:E38">D27-C27</f>
        <v>1594500</v>
      </c>
      <c r="F27" s="98">
        <f aca="true" t="shared" si="3" ref="F27:F38">IF(C27=0,0,E27/C27)</f>
        <v>0.05611427195506523</v>
      </c>
    </row>
    <row r="28" spans="1:6" ht="18" customHeight="1">
      <c r="A28" s="99">
        <v>2</v>
      </c>
      <c r="B28" s="100" t="s">
        <v>228</v>
      </c>
      <c r="C28" s="97">
        <v>1025019</v>
      </c>
      <c r="D28" s="97">
        <v>2185311</v>
      </c>
      <c r="E28" s="97">
        <f t="shared" si="2"/>
        <v>1160292</v>
      </c>
      <c r="F28" s="98">
        <f t="shared" si="3"/>
        <v>1.1319712122409438</v>
      </c>
    </row>
    <row r="29" spans="1:6" ht="18" customHeight="1">
      <c r="A29" s="99">
        <v>3</v>
      </c>
      <c r="B29" s="100" t="s">
        <v>229</v>
      </c>
      <c r="C29" s="97">
        <v>4111779</v>
      </c>
      <c r="D29" s="97">
        <v>4187736</v>
      </c>
      <c r="E29" s="97">
        <f t="shared" si="2"/>
        <v>75957</v>
      </c>
      <c r="F29" s="98">
        <f t="shared" si="3"/>
        <v>0.018473025909223235</v>
      </c>
    </row>
    <row r="30" spans="1:6" ht="18" customHeight="1">
      <c r="A30" s="99">
        <v>4</v>
      </c>
      <c r="B30" s="100" t="s">
        <v>230</v>
      </c>
      <c r="C30" s="97">
        <v>7984505</v>
      </c>
      <c r="D30" s="97">
        <v>9902556</v>
      </c>
      <c r="E30" s="97">
        <f t="shared" si="2"/>
        <v>1918051</v>
      </c>
      <c r="F30" s="98">
        <f t="shared" si="3"/>
        <v>0.24022165431670467</v>
      </c>
    </row>
    <row r="31" spans="1:6" ht="18" customHeight="1">
      <c r="A31" s="99">
        <v>5</v>
      </c>
      <c r="B31" s="100" t="s">
        <v>231</v>
      </c>
      <c r="C31" s="97">
        <v>253856</v>
      </c>
      <c r="D31" s="97">
        <v>338852</v>
      </c>
      <c r="E31" s="97">
        <f t="shared" si="2"/>
        <v>84996</v>
      </c>
      <c r="F31" s="98">
        <f t="shared" si="3"/>
        <v>0.33481974032522377</v>
      </c>
    </row>
    <row r="32" spans="1:6" ht="18" customHeight="1">
      <c r="A32" s="99">
        <v>6</v>
      </c>
      <c r="B32" s="100" t="s">
        <v>232</v>
      </c>
      <c r="C32" s="97">
        <v>7362374</v>
      </c>
      <c r="D32" s="97">
        <v>7307455</v>
      </c>
      <c r="E32" s="97">
        <f t="shared" si="2"/>
        <v>-54919</v>
      </c>
      <c r="F32" s="98">
        <f t="shared" si="3"/>
        <v>-0.007459414585567101</v>
      </c>
    </row>
    <row r="33" spans="1:6" ht="18" customHeight="1">
      <c r="A33" s="99">
        <v>7</v>
      </c>
      <c r="B33" s="100" t="s">
        <v>233</v>
      </c>
      <c r="C33" s="97">
        <v>30761600</v>
      </c>
      <c r="D33" s="97">
        <v>34315697</v>
      </c>
      <c r="E33" s="97">
        <f t="shared" si="2"/>
        <v>3554097</v>
      </c>
      <c r="F33" s="98">
        <f t="shared" si="3"/>
        <v>0.1155368056277957</v>
      </c>
    </row>
    <row r="34" spans="1:6" ht="18" customHeight="1">
      <c r="A34" s="99">
        <v>8</v>
      </c>
      <c r="B34" s="100" t="s">
        <v>234</v>
      </c>
      <c r="C34" s="97">
        <v>777092</v>
      </c>
      <c r="D34" s="97">
        <v>767407</v>
      </c>
      <c r="E34" s="97">
        <f t="shared" si="2"/>
        <v>-9685</v>
      </c>
      <c r="F34" s="98">
        <f t="shared" si="3"/>
        <v>-0.01246313177847668</v>
      </c>
    </row>
    <row r="35" spans="1:6" ht="18" customHeight="1">
      <c r="A35" s="99">
        <v>9</v>
      </c>
      <c r="B35" s="100" t="s">
        <v>235</v>
      </c>
      <c r="C35" s="97">
        <v>3246750</v>
      </c>
      <c r="D35" s="97">
        <v>3638115</v>
      </c>
      <c r="E35" s="97">
        <f t="shared" si="2"/>
        <v>391365</v>
      </c>
      <c r="F35" s="98">
        <f t="shared" si="3"/>
        <v>0.12054054054054054</v>
      </c>
    </row>
    <row r="36" spans="1:6" ht="18" customHeight="1">
      <c r="A36" s="99">
        <v>10</v>
      </c>
      <c r="B36" s="100" t="s">
        <v>236</v>
      </c>
      <c r="C36" s="97">
        <v>3637083</v>
      </c>
      <c r="D36" s="97">
        <v>4573431</v>
      </c>
      <c r="E36" s="97">
        <f t="shared" si="2"/>
        <v>936348</v>
      </c>
      <c r="F36" s="98">
        <f t="shared" si="3"/>
        <v>0.25744477098817925</v>
      </c>
    </row>
    <row r="37" spans="1:6" ht="18" customHeight="1">
      <c r="A37" s="99">
        <v>11</v>
      </c>
      <c r="B37" s="100" t="s">
        <v>237</v>
      </c>
      <c r="C37" s="97">
        <v>106604</v>
      </c>
      <c r="D37" s="97">
        <v>87032</v>
      </c>
      <c r="E37" s="97">
        <f t="shared" si="2"/>
        <v>-19572</v>
      </c>
      <c r="F37" s="98">
        <f t="shared" si="3"/>
        <v>-0.18359536227533677</v>
      </c>
    </row>
    <row r="38" spans="1:6" ht="18" customHeight="1">
      <c r="A38" s="101"/>
      <c r="B38" s="102" t="s">
        <v>241</v>
      </c>
      <c r="C38" s="103">
        <f>SUM(C27:C37)</f>
        <v>87681893</v>
      </c>
      <c r="D38" s="103">
        <f>SUM(D27:D37)</f>
        <v>97313323</v>
      </c>
      <c r="E38" s="103">
        <f t="shared" si="2"/>
        <v>9631430</v>
      </c>
      <c r="F38" s="104">
        <f t="shared" si="3"/>
        <v>0.10984514214354382</v>
      </c>
    </row>
    <row r="39" spans="1:6" ht="18" customHeight="1">
      <c r="A39" s="665" t="s">
        <v>242</v>
      </c>
      <c r="B39" s="667" t="s">
        <v>243</v>
      </c>
      <c r="C39" s="669"/>
      <c r="D39" s="670"/>
      <c r="E39" s="670"/>
      <c r="F39" s="671"/>
    </row>
    <row r="40" spans="1:6" ht="18" customHeight="1">
      <c r="A40" s="666"/>
      <c r="B40" s="668"/>
      <c r="C40" s="672"/>
      <c r="D40" s="673"/>
      <c r="E40" s="673"/>
      <c r="F40" s="674"/>
    </row>
    <row r="41" spans="1:6" ht="18" customHeight="1">
      <c r="A41" s="105">
        <v>1</v>
      </c>
      <c r="B41" s="106" t="s">
        <v>227</v>
      </c>
      <c r="C41" s="103">
        <f aca="true" t="shared" si="4" ref="C41:D51">+C27+C14</f>
        <v>67524743</v>
      </c>
      <c r="D41" s="103">
        <f t="shared" si="4"/>
        <v>76601029</v>
      </c>
      <c r="E41" s="107">
        <f aca="true" t="shared" si="5" ref="E41:E52">D41-C41</f>
        <v>9076286</v>
      </c>
      <c r="F41" s="108">
        <f aca="true" t="shared" si="6" ref="F41:F52">IF(C41=0,0,E41/C41)</f>
        <v>0.1344142250197087</v>
      </c>
    </row>
    <row r="42" spans="1:6" ht="18" customHeight="1">
      <c r="A42" s="105">
        <v>2</v>
      </c>
      <c r="B42" s="106" t="s">
        <v>228</v>
      </c>
      <c r="C42" s="103">
        <f t="shared" si="4"/>
        <v>2255383</v>
      </c>
      <c r="D42" s="103">
        <f t="shared" si="4"/>
        <v>4900990</v>
      </c>
      <c r="E42" s="107">
        <f t="shared" si="5"/>
        <v>2645607</v>
      </c>
      <c r="F42" s="108">
        <f t="shared" si="6"/>
        <v>1.173018950661595</v>
      </c>
    </row>
    <row r="43" spans="1:6" ht="18" customHeight="1">
      <c r="A43" s="105">
        <v>3</v>
      </c>
      <c r="B43" s="106" t="s">
        <v>229</v>
      </c>
      <c r="C43" s="103">
        <f t="shared" si="4"/>
        <v>7965892</v>
      </c>
      <c r="D43" s="103">
        <f t="shared" si="4"/>
        <v>7346698</v>
      </c>
      <c r="E43" s="107">
        <f t="shared" si="5"/>
        <v>-619194</v>
      </c>
      <c r="F43" s="108">
        <f t="shared" si="6"/>
        <v>-0.07773065464608357</v>
      </c>
    </row>
    <row r="44" spans="1:6" ht="18" customHeight="1">
      <c r="A44" s="105">
        <v>4</v>
      </c>
      <c r="B44" s="106" t="s">
        <v>230</v>
      </c>
      <c r="C44" s="103">
        <f t="shared" si="4"/>
        <v>10728151</v>
      </c>
      <c r="D44" s="103">
        <f t="shared" si="4"/>
        <v>12656450</v>
      </c>
      <c r="E44" s="107">
        <f t="shared" si="5"/>
        <v>1928299</v>
      </c>
      <c r="F44" s="108">
        <f t="shared" si="6"/>
        <v>0.17974197044765683</v>
      </c>
    </row>
    <row r="45" spans="1:6" ht="18" customHeight="1">
      <c r="A45" s="105">
        <v>5</v>
      </c>
      <c r="B45" s="106" t="s">
        <v>231</v>
      </c>
      <c r="C45" s="103">
        <f t="shared" si="4"/>
        <v>402293</v>
      </c>
      <c r="D45" s="103">
        <f t="shared" si="4"/>
        <v>699783</v>
      </c>
      <c r="E45" s="107">
        <f t="shared" si="5"/>
        <v>297490</v>
      </c>
      <c r="F45" s="108">
        <f t="shared" si="6"/>
        <v>0.7394858970949034</v>
      </c>
    </row>
    <row r="46" spans="1:6" ht="18" customHeight="1">
      <c r="A46" s="105">
        <v>6</v>
      </c>
      <c r="B46" s="106" t="s">
        <v>232</v>
      </c>
      <c r="C46" s="103">
        <f t="shared" si="4"/>
        <v>11287209</v>
      </c>
      <c r="D46" s="103">
        <f t="shared" si="4"/>
        <v>11030581</v>
      </c>
      <c r="E46" s="107">
        <f t="shared" si="5"/>
        <v>-256628</v>
      </c>
      <c r="F46" s="108">
        <f t="shared" si="6"/>
        <v>-0.02273617862484871</v>
      </c>
    </row>
    <row r="47" spans="1:6" ht="18" customHeight="1">
      <c r="A47" s="105">
        <v>7</v>
      </c>
      <c r="B47" s="106" t="s">
        <v>233</v>
      </c>
      <c r="C47" s="103">
        <f t="shared" si="4"/>
        <v>43456629</v>
      </c>
      <c r="D47" s="103">
        <f t="shared" si="4"/>
        <v>49029955</v>
      </c>
      <c r="E47" s="107">
        <f t="shared" si="5"/>
        <v>5573326</v>
      </c>
      <c r="F47" s="108">
        <f t="shared" si="6"/>
        <v>0.12825030675987317</v>
      </c>
    </row>
    <row r="48" spans="1:6" ht="18" customHeight="1">
      <c r="A48" s="105">
        <v>8</v>
      </c>
      <c r="B48" s="106" t="s">
        <v>234</v>
      </c>
      <c r="C48" s="103">
        <f t="shared" si="4"/>
        <v>1324426</v>
      </c>
      <c r="D48" s="103">
        <f t="shared" si="4"/>
        <v>1431126</v>
      </c>
      <c r="E48" s="107">
        <f t="shared" si="5"/>
        <v>106700</v>
      </c>
      <c r="F48" s="108">
        <f t="shared" si="6"/>
        <v>0.08056320247412842</v>
      </c>
    </row>
    <row r="49" spans="1:6" ht="18" customHeight="1">
      <c r="A49" s="105">
        <v>9</v>
      </c>
      <c r="B49" s="106" t="s">
        <v>235</v>
      </c>
      <c r="C49" s="103">
        <f t="shared" si="4"/>
        <v>4800078</v>
      </c>
      <c r="D49" s="103">
        <f t="shared" si="4"/>
        <v>4808316</v>
      </c>
      <c r="E49" s="107">
        <f t="shared" si="5"/>
        <v>8238</v>
      </c>
      <c r="F49" s="108">
        <f t="shared" si="6"/>
        <v>0.00171622211139069</v>
      </c>
    </row>
    <row r="50" spans="1:6" ht="18" customHeight="1">
      <c r="A50" s="105">
        <v>10</v>
      </c>
      <c r="B50" s="106" t="s">
        <v>236</v>
      </c>
      <c r="C50" s="103">
        <f t="shared" si="4"/>
        <v>5820593</v>
      </c>
      <c r="D50" s="103">
        <f t="shared" si="4"/>
        <v>7701351</v>
      </c>
      <c r="E50" s="107">
        <f t="shared" si="5"/>
        <v>1880758</v>
      </c>
      <c r="F50" s="108">
        <f t="shared" si="6"/>
        <v>0.32312137268487934</v>
      </c>
    </row>
    <row r="51" spans="1:6" ht="18" customHeight="1" thickBot="1">
      <c r="A51" s="105">
        <v>11</v>
      </c>
      <c r="B51" s="106" t="s">
        <v>237</v>
      </c>
      <c r="C51" s="103">
        <f t="shared" si="4"/>
        <v>157492</v>
      </c>
      <c r="D51" s="103">
        <f t="shared" si="4"/>
        <v>185526</v>
      </c>
      <c r="E51" s="107">
        <f t="shared" si="5"/>
        <v>28034</v>
      </c>
      <c r="F51" s="108">
        <f t="shared" si="6"/>
        <v>0.17800269220023873</v>
      </c>
    </row>
    <row r="52" spans="1:6" ht="18.75" customHeight="1" thickBot="1">
      <c r="A52" s="109"/>
      <c r="B52" s="110" t="s">
        <v>243</v>
      </c>
      <c r="C52" s="111">
        <f>SUM(C41:C51)</f>
        <v>155722889</v>
      </c>
      <c r="D52" s="112">
        <f>SUM(D41:D51)</f>
        <v>176391805</v>
      </c>
      <c r="E52" s="111">
        <f t="shared" si="5"/>
        <v>20668916</v>
      </c>
      <c r="F52" s="113">
        <f t="shared" si="6"/>
        <v>0.1327288244697284</v>
      </c>
    </row>
    <row r="53" spans="1:6" ht="18" customHeight="1">
      <c r="A53" s="665" t="s">
        <v>159</v>
      </c>
      <c r="B53" s="667" t="s">
        <v>244</v>
      </c>
      <c r="C53" s="669"/>
      <c r="D53" s="670"/>
      <c r="E53" s="670"/>
      <c r="F53" s="671"/>
    </row>
    <row r="54" spans="1:6" ht="18" customHeight="1">
      <c r="A54" s="666"/>
      <c r="B54" s="668"/>
      <c r="C54" s="672"/>
      <c r="D54" s="673"/>
      <c r="E54" s="673"/>
      <c r="F54" s="674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225</v>
      </c>
      <c r="B56" s="95" t="s">
        <v>245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227</v>
      </c>
      <c r="C57" s="97">
        <v>27408407</v>
      </c>
      <c r="D57" s="97">
        <v>31396741</v>
      </c>
      <c r="E57" s="97">
        <f aca="true" t="shared" si="7" ref="E57:E68">D57-C57</f>
        <v>3988334</v>
      </c>
      <c r="F57" s="98">
        <f aca="true" t="shared" si="8" ref="F57:F68">IF(C57=0,0,E57/C57)</f>
        <v>0.1455149874270329</v>
      </c>
    </row>
    <row r="58" spans="1:6" ht="18" customHeight="1">
      <c r="A58" s="99">
        <v>2</v>
      </c>
      <c r="B58" s="100" t="s">
        <v>228</v>
      </c>
      <c r="C58" s="97">
        <v>749107</v>
      </c>
      <c r="D58" s="97">
        <v>1539038</v>
      </c>
      <c r="E58" s="97">
        <f t="shared" si="7"/>
        <v>789931</v>
      </c>
      <c r="F58" s="98">
        <f t="shared" si="8"/>
        <v>1.0544968876275351</v>
      </c>
    </row>
    <row r="59" spans="1:6" ht="18" customHeight="1">
      <c r="A59" s="99">
        <v>3</v>
      </c>
      <c r="B59" s="100" t="s">
        <v>229</v>
      </c>
      <c r="C59" s="97">
        <v>1669774</v>
      </c>
      <c r="D59" s="97">
        <v>1555834</v>
      </c>
      <c r="E59" s="97">
        <f t="shared" si="7"/>
        <v>-113940</v>
      </c>
      <c r="F59" s="98">
        <f t="shared" si="8"/>
        <v>-0.06823677934858251</v>
      </c>
    </row>
    <row r="60" spans="1:6" ht="18" customHeight="1">
      <c r="A60" s="99">
        <v>4</v>
      </c>
      <c r="B60" s="100" t="s">
        <v>230</v>
      </c>
      <c r="C60" s="97">
        <v>1479823</v>
      </c>
      <c r="D60" s="97">
        <v>1415306</v>
      </c>
      <c r="E60" s="97">
        <f t="shared" si="7"/>
        <v>-64517</v>
      </c>
      <c r="F60" s="98">
        <f t="shared" si="8"/>
        <v>-0.043597781626586424</v>
      </c>
    </row>
    <row r="61" spans="1:6" ht="18" customHeight="1">
      <c r="A61" s="99">
        <v>5</v>
      </c>
      <c r="B61" s="100" t="s">
        <v>231</v>
      </c>
      <c r="C61" s="97">
        <v>97732</v>
      </c>
      <c r="D61" s="97">
        <v>167102</v>
      </c>
      <c r="E61" s="97">
        <f t="shared" si="7"/>
        <v>69370</v>
      </c>
      <c r="F61" s="98">
        <f t="shared" si="8"/>
        <v>0.7097982237138296</v>
      </c>
    </row>
    <row r="62" spans="1:6" ht="18" customHeight="1">
      <c r="A62" s="99">
        <v>6</v>
      </c>
      <c r="B62" s="100" t="s">
        <v>232</v>
      </c>
      <c r="C62" s="97">
        <v>2753424</v>
      </c>
      <c r="D62" s="97">
        <v>2567108</v>
      </c>
      <c r="E62" s="97">
        <f t="shared" si="7"/>
        <v>-186316</v>
      </c>
      <c r="F62" s="98">
        <f t="shared" si="8"/>
        <v>-0.067667021134413</v>
      </c>
    </row>
    <row r="63" spans="1:6" ht="18" customHeight="1">
      <c r="A63" s="99">
        <v>7</v>
      </c>
      <c r="B63" s="100" t="s">
        <v>233</v>
      </c>
      <c r="C63" s="97">
        <v>8310979</v>
      </c>
      <c r="D63" s="97">
        <v>10134901</v>
      </c>
      <c r="E63" s="97">
        <f t="shared" si="7"/>
        <v>1823922</v>
      </c>
      <c r="F63" s="98">
        <f t="shared" si="8"/>
        <v>0.21945934407968062</v>
      </c>
    </row>
    <row r="64" spans="1:6" ht="18" customHeight="1">
      <c r="A64" s="99">
        <v>8</v>
      </c>
      <c r="B64" s="100" t="s">
        <v>234</v>
      </c>
      <c r="C64" s="97">
        <v>489849</v>
      </c>
      <c r="D64" s="97">
        <v>471699</v>
      </c>
      <c r="E64" s="97">
        <f t="shared" si="7"/>
        <v>-18150</v>
      </c>
      <c r="F64" s="98">
        <f t="shared" si="8"/>
        <v>-0.03705223446408996</v>
      </c>
    </row>
    <row r="65" spans="1:6" ht="18" customHeight="1">
      <c r="A65" s="99">
        <v>9</v>
      </c>
      <c r="B65" s="100" t="s">
        <v>235</v>
      </c>
      <c r="C65" s="97">
        <v>286382</v>
      </c>
      <c r="D65" s="97">
        <v>311253</v>
      </c>
      <c r="E65" s="97">
        <f t="shared" si="7"/>
        <v>24871</v>
      </c>
      <c r="F65" s="98">
        <f t="shared" si="8"/>
        <v>0.0868455419684198</v>
      </c>
    </row>
    <row r="66" spans="1:6" ht="18" customHeight="1">
      <c r="A66" s="99">
        <v>10</v>
      </c>
      <c r="B66" s="100" t="s">
        <v>236</v>
      </c>
      <c r="C66" s="97">
        <v>658087</v>
      </c>
      <c r="D66" s="97">
        <v>864115</v>
      </c>
      <c r="E66" s="97">
        <f t="shared" si="7"/>
        <v>206028</v>
      </c>
      <c r="F66" s="98">
        <f t="shared" si="8"/>
        <v>0.31307106811105523</v>
      </c>
    </row>
    <row r="67" spans="1:6" ht="18" customHeight="1">
      <c r="A67" s="99">
        <v>11</v>
      </c>
      <c r="B67" s="100" t="s">
        <v>237</v>
      </c>
      <c r="C67" s="97">
        <v>13656</v>
      </c>
      <c r="D67" s="97">
        <v>15908</v>
      </c>
      <c r="E67" s="97">
        <f t="shared" si="7"/>
        <v>2252</v>
      </c>
      <c r="F67" s="98">
        <f t="shared" si="8"/>
        <v>0.16490919742237845</v>
      </c>
    </row>
    <row r="68" spans="1:6" ht="18" customHeight="1">
      <c r="A68" s="101"/>
      <c r="B68" s="102" t="s">
        <v>246</v>
      </c>
      <c r="C68" s="103">
        <f>SUM(C57:C67)</f>
        <v>43917220</v>
      </c>
      <c r="D68" s="103">
        <f>SUM(D57:D67)</f>
        <v>50439005</v>
      </c>
      <c r="E68" s="103">
        <f t="shared" si="7"/>
        <v>6521785</v>
      </c>
      <c r="F68" s="104">
        <f t="shared" si="8"/>
        <v>0.14850177219778482</v>
      </c>
    </row>
    <row r="69" spans="1:6" ht="18" customHeight="1">
      <c r="A69" s="94" t="s">
        <v>239</v>
      </c>
      <c r="B69" s="95" t="s">
        <v>247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227</v>
      </c>
      <c r="C70" s="97">
        <v>12704660</v>
      </c>
      <c r="D70" s="97">
        <v>12634110</v>
      </c>
      <c r="E70" s="97">
        <f aca="true" t="shared" si="9" ref="E70:E81">D70-C70</f>
        <v>-70550</v>
      </c>
      <c r="F70" s="98">
        <f aca="true" t="shared" si="10" ref="F70:F81">IF(C70=0,0,E70/C70)</f>
        <v>-0.005553080523209594</v>
      </c>
    </row>
    <row r="71" spans="1:6" ht="18" customHeight="1">
      <c r="A71" s="99">
        <v>2</v>
      </c>
      <c r="B71" s="100" t="s">
        <v>228</v>
      </c>
      <c r="C71" s="97">
        <v>495211</v>
      </c>
      <c r="D71" s="97">
        <v>854426</v>
      </c>
      <c r="E71" s="97">
        <f t="shared" si="9"/>
        <v>359215</v>
      </c>
      <c r="F71" s="98">
        <f t="shared" si="10"/>
        <v>0.7253776672973743</v>
      </c>
    </row>
    <row r="72" spans="1:6" ht="18" customHeight="1">
      <c r="A72" s="99">
        <v>3</v>
      </c>
      <c r="B72" s="100" t="s">
        <v>229</v>
      </c>
      <c r="C72" s="97">
        <v>852920</v>
      </c>
      <c r="D72" s="97">
        <v>1193536</v>
      </c>
      <c r="E72" s="97">
        <f t="shared" si="9"/>
        <v>340616</v>
      </c>
      <c r="F72" s="98">
        <f t="shared" si="10"/>
        <v>0.39935281151807905</v>
      </c>
    </row>
    <row r="73" spans="1:6" ht="18" customHeight="1">
      <c r="A73" s="99">
        <v>4</v>
      </c>
      <c r="B73" s="100" t="s">
        <v>230</v>
      </c>
      <c r="C73" s="97">
        <v>3180873</v>
      </c>
      <c r="D73" s="97">
        <v>3731012</v>
      </c>
      <c r="E73" s="97">
        <f t="shared" si="9"/>
        <v>550139</v>
      </c>
      <c r="F73" s="98">
        <f t="shared" si="10"/>
        <v>0.17295220525937377</v>
      </c>
    </row>
    <row r="74" spans="1:6" ht="18" customHeight="1">
      <c r="A74" s="99">
        <v>5</v>
      </c>
      <c r="B74" s="100" t="s">
        <v>231</v>
      </c>
      <c r="C74" s="97">
        <v>147649</v>
      </c>
      <c r="D74" s="97">
        <v>153650</v>
      </c>
      <c r="E74" s="97">
        <f t="shared" si="9"/>
        <v>6001</v>
      </c>
      <c r="F74" s="98">
        <f t="shared" si="10"/>
        <v>0.04064368874831526</v>
      </c>
    </row>
    <row r="75" spans="1:6" ht="18" customHeight="1">
      <c r="A75" s="99">
        <v>6</v>
      </c>
      <c r="B75" s="100" t="s">
        <v>232</v>
      </c>
      <c r="C75" s="97">
        <v>4723106</v>
      </c>
      <c r="D75" s="97">
        <v>4473741</v>
      </c>
      <c r="E75" s="97">
        <f t="shared" si="9"/>
        <v>-249365</v>
      </c>
      <c r="F75" s="98">
        <f t="shared" si="10"/>
        <v>-0.0527968248013066</v>
      </c>
    </row>
    <row r="76" spans="1:6" ht="18" customHeight="1">
      <c r="A76" s="99">
        <v>7</v>
      </c>
      <c r="B76" s="100" t="s">
        <v>233</v>
      </c>
      <c r="C76" s="97">
        <v>15687709</v>
      </c>
      <c r="D76" s="97">
        <v>16680240</v>
      </c>
      <c r="E76" s="97">
        <f t="shared" si="9"/>
        <v>992531</v>
      </c>
      <c r="F76" s="98">
        <f t="shared" si="10"/>
        <v>0.06326806546449835</v>
      </c>
    </row>
    <row r="77" spans="1:6" ht="18" customHeight="1">
      <c r="A77" s="99">
        <v>8</v>
      </c>
      <c r="B77" s="100" t="s">
        <v>234</v>
      </c>
      <c r="C77" s="97">
        <v>676575</v>
      </c>
      <c r="D77" s="97">
        <v>622495</v>
      </c>
      <c r="E77" s="97">
        <f t="shared" si="9"/>
        <v>-54080</v>
      </c>
      <c r="F77" s="98">
        <f t="shared" si="10"/>
        <v>-0.07993201049403244</v>
      </c>
    </row>
    <row r="78" spans="1:6" ht="18" customHeight="1">
      <c r="A78" s="99">
        <v>9</v>
      </c>
      <c r="B78" s="100" t="s">
        <v>235</v>
      </c>
      <c r="C78" s="97">
        <v>598592</v>
      </c>
      <c r="D78" s="97">
        <v>967674</v>
      </c>
      <c r="E78" s="97">
        <f t="shared" si="9"/>
        <v>369082</v>
      </c>
      <c r="F78" s="98">
        <f t="shared" si="10"/>
        <v>0.6165835828076554</v>
      </c>
    </row>
    <row r="79" spans="1:6" ht="18" customHeight="1">
      <c r="A79" s="99">
        <v>10</v>
      </c>
      <c r="B79" s="100" t="s">
        <v>236</v>
      </c>
      <c r="C79" s="97">
        <v>820812</v>
      </c>
      <c r="D79" s="97">
        <v>1014164</v>
      </c>
      <c r="E79" s="97">
        <f t="shared" si="9"/>
        <v>193352</v>
      </c>
      <c r="F79" s="98">
        <f t="shared" si="10"/>
        <v>0.2355618582574329</v>
      </c>
    </row>
    <row r="80" spans="1:6" ht="18" customHeight="1">
      <c r="A80" s="99">
        <v>11</v>
      </c>
      <c r="B80" s="100" t="s">
        <v>237</v>
      </c>
      <c r="C80" s="97">
        <v>30552</v>
      </c>
      <c r="D80" s="97">
        <v>25229</v>
      </c>
      <c r="E80" s="97">
        <f t="shared" si="9"/>
        <v>-5323</v>
      </c>
      <c r="F80" s="98">
        <f t="shared" si="10"/>
        <v>-0.17422754647813563</v>
      </c>
    </row>
    <row r="81" spans="1:6" ht="18" customHeight="1">
      <c r="A81" s="101"/>
      <c r="B81" s="102" t="s">
        <v>248</v>
      </c>
      <c r="C81" s="103">
        <f>SUM(C70:C80)</f>
        <v>39918659</v>
      </c>
      <c r="D81" s="103">
        <f>SUM(D70:D80)</f>
        <v>42350277</v>
      </c>
      <c r="E81" s="103">
        <f t="shared" si="9"/>
        <v>2431618</v>
      </c>
      <c r="F81" s="104">
        <f t="shared" si="10"/>
        <v>0.06091432079419301</v>
      </c>
    </row>
    <row r="82" spans="1:6" ht="18" customHeight="1">
      <c r="A82" s="665" t="s">
        <v>242</v>
      </c>
      <c r="B82" s="667" t="s">
        <v>249</v>
      </c>
      <c r="C82" s="669"/>
      <c r="D82" s="670"/>
      <c r="E82" s="670"/>
      <c r="F82" s="671"/>
    </row>
    <row r="83" spans="1:6" ht="18" customHeight="1">
      <c r="A83" s="666"/>
      <c r="B83" s="668"/>
      <c r="C83" s="672"/>
      <c r="D83" s="673"/>
      <c r="E83" s="673"/>
      <c r="F83" s="674"/>
    </row>
    <row r="84" spans="1:6" ht="18" customHeight="1">
      <c r="A84" s="114">
        <v>1</v>
      </c>
      <c r="B84" s="106" t="s">
        <v>227</v>
      </c>
      <c r="C84" s="103">
        <f aca="true" t="shared" si="11" ref="C84:D94">+C70+C57</f>
        <v>40113067</v>
      </c>
      <c r="D84" s="103">
        <f t="shared" si="11"/>
        <v>44030851</v>
      </c>
      <c r="E84" s="103">
        <f aca="true" t="shared" si="12" ref="E84:E95">D84-C84</f>
        <v>3917784</v>
      </c>
      <c r="F84" s="104">
        <f aca="true" t="shared" si="13" ref="F84:F95">IF(C84=0,0,E84/C84)</f>
        <v>0.0976685228282345</v>
      </c>
    </row>
    <row r="85" spans="1:6" ht="18" customHeight="1">
      <c r="A85" s="114">
        <v>2</v>
      </c>
      <c r="B85" s="106" t="s">
        <v>228</v>
      </c>
      <c r="C85" s="103">
        <f t="shared" si="11"/>
        <v>1244318</v>
      </c>
      <c r="D85" s="103">
        <f t="shared" si="11"/>
        <v>2393464</v>
      </c>
      <c r="E85" s="103">
        <f t="shared" si="12"/>
        <v>1149146</v>
      </c>
      <c r="F85" s="104">
        <f t="shared" si="13"/>
        <v>0.9235147285500973</v>
      </c>
    </row>
    <row r="86" spans="1:6" ht="18" customHeight="1">
      <c r="A86" s="114">
        <v>3</v>
      </c>
      <c r="B86" s="106" t="s">
        <v>229</v>
      </c>
      <c r="C86" s="103">
        <f t="shared" si="11"/>
        <v>2522694</v>
      </c>
      <c r="D86" s="103">
        <f t="shared" si="11"/>
        <v>2749370</v>
      </c>
      <c r="E86" s="103">
        <f t="shared" si="12"/>
        <v>226676</v>
      </c>
      <c r="F86" s="104">
        <f t="shared" si="13"/>
        <v>0.08985473466064453</v>
      </c>
    </row>
    <row r="87" spans="1:6" ht="18" customHeight="1">
      <c r="A87" s="114">
        <v>4</v>
      </c>
      <c r="B87" s="106" t="s">
        <v>230</v>
      </c>
      <c r="C87" s="103">
        <f t="shared" si="11"/>
        <v>4660696</v>
      </c>
      <c r="D87" s="103">
        <f t="shared" si="11"/>
        <v>5146318</v>
      </c>
      <c r="E87" s="103">
        <f t="shared" si="12"/>
        <v>485622</v>
      </c>
      <c r="F87" s="104">
        <f t="shared" si="13"/>
        <v>0.10419516741705531</v>
      </c>
    </row>
    <row r="88" spans="1:6" ht="18" customHeight="1">
      <c r="A88" s="114">
        <v>5</v>
      </c>
      <c r="B88" s="106" t="s">
        <v>231</v>
      </c>
      <c r="C88" s="103">
        <f t="shared" si="11"/>
        <v>245381</v>
      </c>
      <c r="D88" s="103">
        <f t="shared" si="11"/>
        <v>320752</v>
      </c>
      <c r="E88" s="103">
        <f t="shared" si="12"/>
        <v>75371</v>
      </c>
      <c r="F88" s="104">
        <f t="shared" si="13"/>
        <v>0.3071590709957169</v>
      </c>
    </row>
    <row r="89" spans="1:6" ht="18" customHeight="1">
      <c r="A89" s="114">
        <v>6</v>
      </c>
      <c r="B89" s="106" t="s">
        <v>232</v>
      </c>
      <c r="C89" s="103">
        <f t="shared" si="11"/>
        <v>7476530</v>
      </c>
      <c r="D89" s="103">
        <f t="shared" si="11"/>
        <v>7040849</v>
      </c>
      <c r="E89" s="103">
        <f t="shared" si="12"/>
        <v>-435681</v>
      </c>
      <c r="F89" s="104">
        <f t="shared" si="13"/>
        <v>-0.05827315612991588</v>
      </c>
    </row>
    <row r="90" spans="1:6" ht="18" customHeight="1">
      <c r="A90" s="114">
        <v>7</v>
      </c>
      <c r="B90" s="106" t="s">
        <v>233</v>
      </c>
      <c r="C90" s="103">
        <f t="shared" si="11"/>
        <v>23998688</v>
      </c>
      <c r="D90" s="103">
        <f t="shared" si="11"/>
        <v>26815141</v>
      </c>
      <c r="E90" s="103">
        <f t="shared" si="12"/>
        <v>2816453</v>
      </c>
      <c r="F90" s="104">
        <f t="shared" si="13"/>
        <v>0.11735862393810861</v>
      </c>
    </row>
    <row r="91" spans="1:6" ht="18" customHeight="1">
      <c r="A91" s="114">
        <v>8</v>
      </c>
      <c r="B91" s="106" t="s">
        <v>234</v>
      </c>
      <c r="C91" s="103">
        <f t="shared" si="11"/>
        <v>1166424</v>
      </c>
      <c r="D91" s="103">
        <f t="shared" si="11"/>
        <v>1094194</v>
      </c>
      <c r="E91" s="103">
        <f t="shared" si="12"/>
        <v>-72230</v>
      </c>
      <c r="F91" s="104">
        <f t="shared" si="13"/>
        <v>-0.061924308827664726</v>
      </c>
    </row>
    <row r="92" spans="1:6" ht="18" customHeight="1">
      <c r="A92" s="114">
        <v>9</v>
      </c>
      <c r="B92" s="106" t="s">
        <v>235</v>
      </c>
      <c r="C92" s="103">
        <f t="shared" si="11"/>
        <v>884974</v>
      </c>
      <c r="D92" s="103">
        <f t="shared" si="11"/>
        <v>1278927</v>
      </c>
      <c r="E92" s="103">
        <f t="shared" si="12"/>
        <v>393953</v>
      </c>
      <c r="F92" s="104">
        <f t="shared" si="13"/>
        <v>0.4451577108480023</v>
      </c>
    </row>
    <row r="93" spans="1:6" ht="18" customHeight="1">
      <c r="A93" s="114">
        <v>10</v>
      </c>
      <c r="B93" s="106" t="s">
        <v>236</v>
      </c>
      <c r="C93" s="103">
        <f t="shared" si="11"/>
        <v>1478899</v>
      </c>
      <c r="D93" s="103">
        <f t="shared" si="11"/>
        <v>1878279</v>
      </c>
      <c r="E93" s="103">
        <f t="shared" si="12"/>
        <v>399380</v>
      </c>
      <c r="F93" s="104">
        <f t="shared" si="13"/>
        <v>0.27005224832797914</v>
      </c>
    </row>
    <row r="94" spans="1:6" ht="18" customHeight="1" thickBot="1">
      <c r="A94" s="114">
        <v>11</v>
      </c>
      <c r="B94" s="106" t="s">
        <v>237</v>
      </c>
      <c r="C94" s="103">
        <f t="shared" si="11"/>
        <v>44208</v>
      </c>
      <c r="D94" s="103">
        <f t="shared" si="11"/>
        <v>41137</v>
      </c>
      <c r="E94" s="103">
        <f t="shared" si="12"/>
        <v>-3071</v>
      </c>
      <c r="F94" s="104">
        <f t="shared" si="13"/>
        <v>-0.06946706478465436</v>
      </c>
    </row>
    <row r="95" spans="1:6" ht="18.75" customHeight="1" thickBot="1">
      <c r="A95" s="115"/>
      <c r="B95" s="116" t="s">
        <v>249</v>
      </c>
      <c r="C95" s="112">
        <f>SUM(C84:C94)</f>
        <v>83835879</v>
      </c>
      <c r="D95" s="112">
        <f>SUM(D84:D94)</f>
        <v>92789282</v>
      </c>
      <c r="E95" s="112">
        <f t="shared" si="12"/>
        <v>8953403</v>
      </c>
      <c r="F95" s="113">
        <f t="shared" si="13"/>
        <v>0.10679679281468499</v>
      </c>
    </row>
    <row r="96" spans="1:6" ht="18" customHeight="1">
      <c r="A96" s="665" t="s">
        <v>250</v>
      </c>
      <c r="B96" s="667" t="s">
        <v>251</v>
      </c>
      <c r="C96" s="669"/>
      <c r="D96" s="670"/>
      <c r="E96" s="670"/>
      <c r="F96" s="671"/>
    </row>
    <row r="97" spans="1:6" ht="18" customHeight="1">
      <c r="A97" s="666"/>
      <c r="B97" s="668"/>
      <c r="C97" s="672"/>
      <c r="D97" s="673"/>
      <c r="E97" s="673"/>
      <c r="F97" s="674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225</v>
      </c>
      <c r="B99" s="95" t="s">
        <v>252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227</v>
      </c>
      <c r="C100" s="117">
        <v>2987</v>
      </c>
      <c r="D100" s="117">
        <v>3214</v>
      </c>
      <c r="E100" s="117">
        <f aca="true" t="shared" si="14" ref="E100:E111">D100-C100</f>
        <v>227</v>
      </c>
      <c r="F100" s="98">
        <f aca="true" t="shared" si="15" ref="F100:F111">IF(C100=0,0,E100/C100)</f>
        <v>0.07599598259122865</v>
      </c>
    </row>
    <row r="101" spans="1:6" ht="18" customHeight="1">
      <c r="A101" s="99">
        <v>2</v>
      </c>
      <c r="B101" s="100" t="s">
        <v>228</v>
      </c>
      <c r="C101" s="117">
        <v>85</v>
      </c>
      <c r="D101" s="117">
        <v>191</v>
      </c>
      <c r="E101" s="117">
        <f t="shared" si="14"/>
        <v>106</v>
      </c>
      <c r="F101" s="98">
        <f t="shared" si="15"/>
        <v>1.2470588235294118</v>
      </c>
    </row>
    <row r="102" spans="1:6" ht="18" customHeight="1">
      <c r="A102" s="99">
        <v>3</v>
      </c>
      <c r="B102" s="100" t="s">
        <v>229</v>
      </c>
      <c r="C102" s="117">
        <v>288</v>
      </c>
      <c r="D102" s="117">
        <v>264</v>
      </c>
      <c r="E102" s="117">
        <f t="shared" si="14"/>
        <v>-24</v>
      </c>
      <c r="F102" s="98">
        <f t="shared" si="15"/>
        <v>-0.08333333333333333</v>
      </c>
    </row>
    <row r="103" spans="1:6" ht="18" customHeight="1">
      <c r="A103" s="99">
        <v>4</v>
      </c>
      <c r="B103" s="100" t="s">
        <v>230</v>
      </c>
      <c r="C103" s="117">
        <v>483</v>
      </c>
      <c r="D103" s="117">
        <v>471</v>
      </c>
      <c r="E103" s="117">
        <f t="shared" si="14"/>
        <v>-12</v>
      </c>
      <c r="F103" s="98">
        <f t="shared" si="15"/>
        <v>-0.024844720496894408</v>
      </c>
    </row>
    <row r="104" spans="1:6" ht="18" customHeight="1">
      <c r="A104" s="99">
        <v>5</v>
      </c>
      <c r="B104" s="100" t="s">
        <v>231</v>
      </c>
      <c r="C104" s="117">
        <v>15</v>
      </c>
      <c r="D104" s="117">
        <v>25</v>
      </c>
      <c r="E104" s="117">
        <f t="shared" si="14"/>
        <v>10</v>
      </c>
      <c r="F104" s="98">
        <f t="shared" si="15"/>
        <v>0.6666666666666666</v>
      </c>
    </row>
    <row r="105" spans="1:6" ht="18" customHeight="1">
      <c r="A105" s="99">
        <v>6</v>
      </c>
      <c r="B105" s="100" t="s">
        <v>232</v>
      </c>
      <c r="C105" s="117">
        <v>399</v>
      </c>
      <c r="D105" s="117">
        <v>369</v>
      </c>
      <c r="E105" s="117">
        <f t="shared" si="14"/>
        <v>-30</v>
      </c>
      <c r="F105" s="98">
        <f t="shared" si="15"/>
        <v>-0.07518796992481203</v>
      </c>
    </row>
    <row r="106" spans="1:6" ht="18" customHeight="1">
      <c r="A106" s="99">
        <v>7</v>
      </c>
      <c r="B106" s="100" t="s">
        <v>233</v>
      </c>
      <c r="C106" s="117">
        <v>1426</v>
      </c>
      <c r="D106" s="117">
        <v>1381</v>
      </c>
      <c r="E106" s="117">
        <f t="shared" si="14"/>
        <v>-45</v>
      </c>
      <c r="F106" s="98">
        <f t="shared" si="15"/>
        <v>-0.03155680224403927</v>
      </c>
    </row>
    <row r="107" spans="1:6" ht="18" customHeight="1">
      <c r="A107" s="99">
        <v>8</v>
      </c>
      <c r="B107" s="100" t="s">
        <v>234</v>
      </c>
      <c r="C107" s="117">
        <v>26</v>
      </c>
      <c r="D107" s="117">
        <v>23</v>
      </c>
      <c r="E107" s="117">
        <f t="shared" si="14"/>
        <v>-3</v>
      </c>
      <c r="F107" s="98">
        <f t="shared" si="15"/>
        <v>-0.11538461538461539</v>
      </c>
    </row>
    <row r="108" spans="1:6" ht="18" customHeight="1">
      <c r="A108" s="99">
        <v>9</v>
      </c>
      <c r="B108" s="100" t="s">
        <v>235</v>
      </c>
      <c r="C108" s="117">
        <v>165</v>
      </c>
      <c r="D108" s="117">
        <v>123</v>
      </c>
      <c r="E108" s="117">
        <f t="shared" si="14"/>
        <v>-42</v>
      </c>
      <c r="F108" s="98">
        <f t="shared" si="15"/>
        <v>-0.2545454545454545</v>
      </c>
    </row>
    <row r="109" spans="1:6" ht="18" customHeight="1">
      <c r="A109" s="99">
        <v>10</v>
      </c>
      <c r="B109" s="100" t="s">
        <v>236</v>
      </c>
      <c r="C109" s="117">
        <v>203</v>
      </c>
      <c r="D109" s="117">
        <v>254</v>
      </c>
      <c r="E109" s="117">
        <f t="shared" si="14"/>
        <v>51</v>
      </c>
      <c r="F109" s="98">
        <f t="shared" si="15"/>
        <v>0.2512315270935961</v>
      </c>
    </row>
    <row r="110" spans="1:6" ht="18" customHeight="1">
      <c r="A110" s="99">
        <v>11</v>
      </c>
      <c r="B110" s="100" t="s">
        <v>237</v>
      </c>
      <c r="C110" s="117">
        <v>7</v>
      </c>
      <c r="D110" s="117">
        <v>5</v>
      </c>
      <c r="E110" s="117">
        <f t="shared" si="14"/>
        <v>-2</v>
      </c>
      <c r="F110" s="98">
        <f t="shared" si="15"/>
        <v>-0.2857142857142857</v>
      </c>
    </row>
    <row r="111" spans="1:6" ht="18" customHeight="1">
      <c r="A111" s="101"/>
      <c r="B111" s="102" t="s">
        <v>253</v>
      </c>
      <c r="C111" s="118">
        <f>SUM(C100:C110)</f>
        <v>6084</v>
      </c>
      <c r="D111" s="118">
        <f>SUM(D100:D110)</f>
        <v>6320</v>
      </c>
      <c r="E111" s="118">
        <f t="shared" si="14"/>
        <v>236</v>
      </c>
      <c r="F111" s="104">
        <f t="shared" si="15"/>
        <v>0.03879026955950033</v>
      </c>
    </row>
    <row r="112" spans="1:6" ht="18" customHeight="1">
      <c r="A112" s="94" t="s">
        <v>239</v>
      </c>
      <c r="B112" s="95" t="s">
        <v>254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227</v>
      </c>
      <c r="C113" s="117">
        <v>14883</v>
      </c>
      <c r="D113" s="117">
        <v>16484</v>
      </c>
      <c r="E113" s="117">
        <f aca="true" t="shared" si="16" ref="E113:E124">D113-C113</f>
        <v>1601</v>
      </c>
      <c r="F113" s="98">
        <f aca="true" t="shared" si="17" ref="F113:F124">IF(C113=0,0,E113/C113)</f>
        <v>0.10757239803802997</v>
      </c>
    </row>
    <row r="114" spans="1:6" ht="18" customHeight="1">
      <c r="A114" s="99">
        <v>2</v>
      </c>
      <c r="B114" s="100" t="s">
        <v>228</v>
      </c>
      <c r="C114" s="117">
        <v>437</v>
      </c>
      <c r="D114" s="117">
        <v>843</v>
      </c>
      <c r="E114" s="117">
        <f t="shared" si="16"/>
        <v>406</v>
      </c>
      <c r="F114" s="98">
        <f t="shared" si="17"/>
        <v>0.9290617848970252</v>
      </c>
    </row>
    <row r="115" spans="1:6" ht="18" customHeight="1">
      <c r="A115" s="99">
        <v>3</v>
      </c>
      <c r="B115" s="100" t="s">
        <v>229</v>
      </c>
      <c r="C115" s="117">
        <v>1810</v>
      </c>
      <c r="D115" s="117">
        <v>1469</v>
      </c>
      <c r="E115" s="117">
        <f t="shared" si="16"/>
        <v>-341</v>
      </c>
      <c r="F115" s="98">
        <f t="shared" si="17"/>
        <v>-0.18839779005524862</v>
      </c>
    </row>
    <row r="116" spans="1:6" ht="18" customHeight="1">
      <c r="A116" s="99">
        <v>4</v>
      </c>
      <c r="B116" s="100" t="s">
        <v>230</v>
      </c>
      <c r="C116" s="117">
        <v>1569</v>
      </c>
      <c r="D116" s="117">
        <v>1331</v>
      </c>
      <c r="E116" s="117">
        <f t="shared" si="16"/>
        <v>-238</v>
      </c>
      <c r="F116" s="98">
        <f t="shared" si="17"/>
        <v>-0.1516889738687062</v>
      </c>
    </row>
    <row r="117" spans="1:6" ht="18" customHeight="1">
      <c r="A117" s="99">
        <v>5</v>
      </c>
      <c r="B117" s="100" t="s">
        <v>231</v>
      </c>
      <c r="C117" s="117">
        <v>51</v>
      </c>
      <c r="D117" s="117">
        <v>133</v>
      </c>
      <c r="E117" s="117">
        <f t="shared" si="16"/>
        <v>82</v>
      </c>
      <c r="F117" s="98">
        <f t="shared" si="17"/>
        <v>1.607843137254902</v>
      </c>
    </row>
    <row r="118" spans="1:6" ht="18" customHeight="1">
      <c r="A118" s="99">
        <v>6</v>
      </c>
      <c r="B118" s="100" t="s">
        <v>232</v>
      </c>
      <c r="C118" s="117">
        <v>1589</v>
      </c>
      <c r="D118" s="117">
        <v>1351</v>
      </c>
      <c r="E118" s="117">
        <f t="shared" si="16"/>
        <v>-238</v>
      </c>
      <c r="F118" s="98">
        <f t="shared" si="17"/>
        <v>-0.14977973568281938</v>
      </c>
    </row>
    <row r="119" spans="1:6" ht="18" customHeight="1">
      <c r="A119" s="99">
        <v>7</v>
      </c>
      <c r="B119" s="100" t="s">
        <v>233</v>
      </c>
      <c r="C119" s="117">
        <v>4735</v>
      </c>
      <c r="D119" s="117">
        <v>4816</v>
      </c>
      <c r="E119" s="117">
        <f t="shared" si="16"/>
        <v>81</v>
      </c>
      <c r="F119" s="98">
        <f t="shared" si="17"/>
        <v>0.017106652587117212</v>
      </c>
    </row>
    <row r="120" spans="1:6" ht="18" customHeight="1">
      <c r="A120" s="99">
        <v>8</v>
      </c>
      <c r="B120" s="100" t="s">
        <v>234</v>
      </c>
      <c r="C120" s="117">
        <v>110</v>
      </c>
      <c r="D120" s="117">
        <v>44</v>
      </c>
      <c r="E120" s="117">
        <f t="shared" si="16"/>
        <v>-66</v>
      </c>
      <c r="F120" s="98">
        <f t="shared" si="17"/>
        <v>-0.6</v>
      </c>
    </row>
    <row r="121" spans="1:6" ht="18" customHeight="1">
      <c r="A121" s="99">
        <v>9</v>
      </c>
      <c r="B121" s="100" t="s">
        <v>235</v>
      </c>
      <c r="C121" s="117">
        <v>773</v>
      </c>
      <c r="D121" s="117">
        <v>576</v>
      </c>
      <c r="E121" s="117">
        <f t="shared" si="16"/>
        <v>-197</v>
      </c>
      <c r="F121" s="98">
        <f t="shared" si="17"/>
        <v>-0.25485122897800777</v>
      </c>
    </row>
    <row r="122" spans="1:6" ht="18" customHeight="1">
      <c r="A122" s="99">
        <v>10</v>
      </c>
      <c r="B122" s="100" t="s">
        <v>236</v>
      </c>
      <c r="C122" s="117">
        <v>1094</v>
      </c>
      <c r="D122" s="117">
        <v>1486</v>
      </c>
      <c r="E122" s="117">
        <f t="shared" si="16"/>
        <v>392</v>
      </c>
      <c r="F122" s="98">
        <f t="shared" si="17"/>
        <v>0.3583180987202925</v>
      </c>
    </row>
    <row r="123" spans="1:6" ht="18" customHeight="1">
      <c r="A123" s="99">
        <v>11</v>
      </c>
      <c r="B123" s="100" t="s">
        <v>237</v>
      </c>
      <c r="C123" s="117">
        <v>34</v>
      </c>
      <c r="D123" s="117">
        <v>48</v>
      </c>
      <c r="E123" s="117">
        <f t="shared" si="16"/>
        <v>14</v>
      </c>
      <c r="F123" s="98">
        <f t="shared" si="17"/>
        <v>0.4117647058823529</v>
      </c>
    </row>
    <row r="124" spans="1:6" ht="18" customHeight="1">
      <c r="A124" s="101"/>
      <c r="B124" s="102" t="s">
        <v>255</v>
      </c>
      <c r="C124" s="118">
        <f>SUM(C113:C123)</f>
        <v>27085</v>
      </c>
      <c r="D124" s="118">
        <f>SUM(D113:D123)</f>
        <v>28581</v>
      </c>
      <c r="E124" s="118">
        <f t="shared" si="16"/>
        <v>1496</v>
      </c>
      <c r="F124" s="104">
        <f t="shared" si="17"/>
        <v>0.05523352409082518</v>
      </c>
    </row>
    <row r="125" spans="1:6" ht="18" customHeight="1">
      <c r="A125" s="94" t="s">
        <v>256</v>
      </c>
      <c r="B125" s="95" t="s">
        <v>257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227</v>
      </c>
      <c r="C126" s="117">
        <v>65532</v>
      </c>
      <c r="D126" s="117">
        <v>64541</v>
      </c>
      <c r="E126" s="117">
        <f aca="true" t="shared" si="18" ref="E126:E137">D126-C126</f>
        <v>-991</v>
      </c>
      <c r="F126" s="98">
        <f aca="true" t="shared" si="19" ref="F126:F137">IF(C126=0,0,E126/C126)</f>
        <v>-0.01512238295794421</v>
      </c>
    </row>
    <row r="127" spans="1:6" ht="18" customHeight="1">
      <c r="A127" s="99">
        <v>2</v>
      </c>
      <c r="B127" s="100" t="s">
        <v>228</v>
      </c>
      <c r="C127" s="117">
        <v>2175</v>
      </c>
      <c r="D127" s="117">
        <v>4242</v>
      </c>
      <c r="E127" s="117">
        <f t="shared" si="18"/>
        <v>2067</v>
      </c>
      <c r="F127" s="98">
        <f t="shared" si="19"/>
        <v>0.9503448275862069</v>
      </c>
    </row>
    <row r="128" spans="1:6" ht="18" customHeight="1">
      <c r="A128" s="99">
        <v>3</v>
      </c>
      <c r="B128" s="100" t="s">
        <v>229</v>
      </c>
      <c r="C128" s="117">
        <v>7152</v>
      </c>
      <c r="D128" s="117">
        <v>6591</v>
      </c>
      <c r="E128" s="117">
        <f t="shared" si="18"/>
        <v>-561</v>
      </c>
      <c r="F128" s="98">
        <f t="shared" si="19"/>
        <v>-0.07843959731543625</v>
      </c>
    </row>
    <row r="129" spans="1:6" ht="18" customHeight="1">
      <c r="A129" s="99">
        <v>4</v>
      </c>
      <c r="B129" s="100" t="s">
        <v>230</v>
      </c>
      <c r="C129" s="117">
        <v>17264</v>
      </c>
      <c r="D129" s="117">
        <v>20615</v>
      </c>
      <c r="E129" s="117">
        <f t="shared" si="18"/>
        <v>3351</v>
      </c>
      <c r="F129" s="98">
        <f t="shared" si="19"/>
        <v>0.19410333642261354</v>
      </c>
    </row>
    <row r="130" spans="1:6" ht="18" customHeight="1">
      <c r="A130" s="99">
        <v>5</v>
      </c>
      <c r="B130" s="100" t="s">
        <v>231</v>
      </c>
      <c r="C130" s="117">
        <v>563</v>
      </c>
      <c r="D130" s="117">
        <v>585</v>
      </c>
      <c r="E130" s="117">
        <f t="shared" si="18"/>
        <v>22</v>
      </c>
      <c r="F130" s="98">
        <f t="shared" si="19"/>
        <v>0.03907637655417407</v>
      </c>
    </row>
    <row r="131" spans="1:6" ht="18" customHeight="1">
      <c r="A131" s="99">
        <v>6</v>
      </c>
      <c r="B131" s="100" t="s">
        <v>232</v>
      </c>
      <c r="C131" s="117">
        <v>17517</v>
      </c>
      <c r="D131" s="117">
        <v>16904</v>
      </c>
      <c r="E131" s="117">
        <f t="shared" si="18"/>
        <v>-613</v>
      </c>
      <c r="F131" s="98">
        <f t="shared" si="19"/>
        <v>-0.03499457669692299</v>
      </c>
    </row>
    <row r="132" spans="1:6" ht="18" customHeight="1">
      <c r="A132" s="99">
        <v>7</v>
      </c>
      <c r="B132" s="100" t="s">
        <v>233</v>
      </c>
      <c r="C132" s="117">
        <v>73997</v>
      </c>
      <c r="D132" s="117">
        <v>72644</v>
      </c>
      <c r="E132" s="117">
        <f t="shared" si="18"/>
        <v>-1353</v>
      </c>
      <c r="F132" s="98">
        <f t="shared" si="19"/>
        <v>-0.01828452504831277</v>
      </c>
    </row>
    <row r="133" spans="1:6" ht="18" customHeight="1">
      <c r="A133" s="99">
        <v>8</v>
      </c>
      <c r="B133" s="100" t="s">
        <v>234</v>
      </c>
      <c r="C133" s="117">
        <v>1588</v>
      </c>
      <c r="D133" s="117">
        <v>1444</v>
      </c>
      <c r="E133" s="117">
        <f t="shared" si="18"/>
        <v>-144</v>
      </c>
      <c r="F133" s="98">
        <f t="shared" si="19"/>
        <v>-0.0906801007556675</v>
      </c>
    </row>
    <row r="134" spans="1:6" ht="18" customHeight="1">
      <c r="A134" s="99">
        <v>9</v>
      </c>
      <c r="B134" s="100" t="s">
        <v>235</v>
      </c>
      <c r="C134" s="117">
        <v>11143</v>
      </c>
      <c r="D134" s="117">
        <v>10976</v>
      </c>
      <c r="E134" s="117">
        <f t="shared" si="18"/>
        <v>-167</v>
      </c>
      <c r="F134" s="98">
        <f t="shared" si="19"/>
        <v>-0.014986987346316073</v>
      </c>
    </row>
    <row r="135" spans="1:6" ht="18" customHeight="1">
      <c r="A135" s="99">
        <v>10</v>
      </c>
      <c r="B135" s="100" t="s">
        <v>236</v>
      </c>
      <c r="C135" s="117">
        <v>5870</v>
      </c>
      <c r="D135" s="117">
        <v>6751</v>
      </c>
      <c r="E135" s="117">
        <f t="shared" si="18"/>
        <v>881</v>
      </c>
      <c r="F135" s="98">
        <f t="shared" si="19"/>
        <v>0.15008517887563885</v>
      </c>
    </row>
    <row r="136" spans="1:6" ht="18" customHeight="1">
      <c r="A136" s="99">
        <v>11</v>
      </c>
      <c r="B136" s="100" t="s">
        <v>237</v>
      </c>
      <c r="C136" s="117">
        <v>143</v>
      </c>
      <c r="D136" s="117">
        <v>136</v>
      </c>
      <c r="E136" s="117">
        <f t="shared" si="18"/>
        <v>-7</v>
      </c>
      <c r="F136" s="98">
        <f t="shared" si="19"/>
        <v>-0.04895104895104895</v>
      </c>
    </row>
    <row r="137" spans="1:6" ht="18" customHeight="1">
      <c r="A137" s="101"/>
      <c r="B137" s="102" t="s">
        <v>258</v>
      </c>
      <c r="C137" s="118">
        <f>SUM(C126:C136)</f>
        <v>202944</v>
      </c>
      <c r="D137" s="118">
        <f>SUM(D126:D136)</f>
        <v>205429</v>
      </c>
      <c r="E137" s="118">
        <f t="shared" si="18"/>
        <v>2485</v>
      </c>
      <c r="F137" s="104">
        <f t="shared" si="19"/>
        <v>0.012244757174392936</v>
      </c>
    </row>
    <row r="138" spans="1:6" ht="18" customHeight="1">
      <c r="A138" s="665" t="s">
        <v>259</v>
      </c>
      <c r="B138" s="667" t="s">
        <v>260</v>
      </c>
      <c r="C138" s="669"/>
      <c r="D138" s="670"/>
      <c r="E138" s="670"/>
      <c r="F138" s="671"/>
    </row>
    <row r="139" spans="1:6" ht="18" customHeight="1">
      <c r="A139" s="666"/>
      <c r="B139" s="668"/>
      <c r="C139" s="672"/>
      <c r="D139" s="673"/>
      <c r="E139" s="673"/>
      <c r="F139" s="674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225</v>
      </c>
      <c r="B141" s="95" t="s">
        <v>261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227</v>
      </c>
      <c r="C142" s="97">
        <v>5725317</v>
      </c>
      <c r="D142" s="97">
        <v>6547080</v>
      </c>
      <c r="E142" s="97">
        <f aca="true" t="shared" si="20" ref="E142:E153">D142-C142</f>
        <v>821763</v>
      </c>
      <c r="F142" s="98">
        <f aca="true" t="shared" si="21" ref="F142:F153">IF(C142=0,0,E142/C142)</f>
        <v>0.143531441141163</v>
      </c>
    </row>
    <row r="143" spans="1:6" ht="18" customHeight="1">
      <c r="A143" s="99">
        <v>2</v>
      </c>
      <c r="B143" s="100" t="s">
        <v>228</v>
      </c>
      <c r="C143" s="97">
        <v>204545</v>
      </c>
      <c r="D143" s="97">
        <v>430793</v>
      </c>
      <c r="E143" s="97">
        <f t="shared" si="20"/>
        <v>226248</v>
      </c>
      <c r="F143" s="98">
        <f t="shared" si="21"/>
        <v>1.1061037913417586</v>
      </c>
    </row>
    <row r="144" spans="1:6" ht="18" customHeight="1">
      <c r="A144" s="99">
        <v>3</v>
      </c>
      <c r="B144" s="100" t="s">
        <v>229</v>
      </c>
      <c r="C144" s="97">
        <v>1534373</v>
      </c>
      <c r="D144" s="97">
        <v>1648159</v>
      </c>
      <c r="E144" s="97">
        <f t="shared" si="20"/>
        <v>113786</v>
      </c>
      <c r="F144" s="98">
        <f t="shared" si="21"/>
        <v>0.07415797853585797</v>
      </c>
    </row>
    <row r="145" spans="1:6" ht="18" customHeight="1">
      <c r="A145" s="99">
        <v>4</v>
      </c>
      <c r="B145" s="100" t="s">
        <v>230</v>
      </c>
      <c r="C145" s="97">
        <v>3063838</v>
      </c>
      <c r="D145" s="97">
        <v>3473961</v>
      </c>
      <c r="E145" s="97">
        <f t="shared" si="20"/>
        <v>410123</v>
      </c>
      <c r="F145" s="98">
        <f t="shared" si="21"/>
        <v>0.13385923146067122</v>
      </c>
    </row>
    <row r="146" spans="1:6" ht="18" customHeight="1">
      <c r="A146" s="99">
        <v>5</v>
      </c>
      <c r="B146" s="100" t="s">
        <v>231</v>
      </c>
      <c r="C146" s="97">
        <v>136359</v>
      </c>
      <c r="D146" s="97">
        <v>147121</v>
      </c>
      <c r="E146" s="97">
        <f t="shared" si="20"/>
        <v>10762</v>
      </c>
      <c r="F146" s="98">
        <f t="shared" si="21"/>
        <v>0.07892401674990283</v>
      </c>
    </row>
    <row r="147" spans="1:6" ht="18" customHeight="1">
      <c r="A147" s="99">
        <v>6</v>
      </c>
      <c r="B147" s="100" t="s">
        <v>232</v>
      </c>
      <c r="C147" s="97">
        <v>1714659</v>
      </c>
      <c r="D147" s="97">
        <v>1806850</v>
      </c>
      <c r="E147" s="97">
        <f t="shared" si="20"/>
        <v>92191</v>
      </c>
      <c r="F147" s="98">
        <f t="shared" si="21"/>
        <v>0.053766375705023566</v>
      </c>
    </row>
    <row r="148" spans="1:6" ht="18" customHeight="1">
      <c r="A148" s="99">
        <v>7</v>
      </c>
      <c r="B148" s="100" t="s">
        <v>233</v>
      </c>
      <c r="C148" s="97">
        <v>6635041</v>
      </c>
      <c r="D148" s="97">
        <v>7798978</v>
      </c>
      <c r="E148" s="97">
        <f t="shared" si="20"/>
        <v>1163937</v>
      </c>
      <c r="F148" s="98">
        <f t="shared" si="21"/>
        <v>0.1754227291135051</v>
      </c>
    </row>
    <row r="149" spans="1:6" ht="18" customHeight="1">
      <c r="A149" s="99">
        <v>8</v>
      </c>
      <c r="B149" s="100" t="s">
        <v>234</v>
      </c>
      <c r="C149" s="97">
        <v>388744</v>
      </c>
      <c r="D149" s="97">
        <v>438745</v>
      </c>
      <c r="E149" s="97">
        <f t="shared" si="20"/>
        <v>50001</v>
      </c>
      <c r="F149" s="98">
        <f t="shared" si="21"/>
        <v>0.12862192085279772</v>
      </c>
    </row>
    <row r="150" spans="1:6" ht="18" customHeight="1">
      <c r="A150" s="99">
        <v>9</v>
      </c>
      <c r="B150" s="100" t="s">
        <v>235</v>
      </c>
      <c r="C150" s="97">
        <v>1573899</v>
      </c>
      <c r="D150" s="97">
        <v>1773878</v>
      </c>
      <c r="E150" s="97">
        <f t="shared" si="20"/>
        <v>199979</v>
      </c>
      <c r="F150" s="98">
        <f t="shared" si="21"/>
        <v>0.1270596143716973</v>
      </c>
    </row>
    <row r="151" spans="1:6" ht="18" customHeight="1">
      <c r="A151" s="99">
        <v>10</v>
      </c>
      <c r="B151" s="100" t="s">
        <v>236</v>
      </c>
      <c r="C151" s="97">
        <v>1811053</v>
      </c>
      <c r="D151" s="97">
        <v>2281134</v>
      </c>
      <c r="E151" s="97">
        <f t="shared" si="20"/>
        <v>470081</v>
      </c>
      <c r="F151" s="98">
        <f t="shared" si="21"/>
        <v>0.259562254666208</v>
      </c>
    </row>
    <row r="152" spans="1:6" ht="18" customHeight="1">
      <c r="A152" s="99">
        <v>11</v>
      </c>
      <c r="B152" s="100" t="s">
        <v>237</v>
      </c>
      <c r="C152" s="97">
        <v>67327</v>
      </c>
      <c r="D152" s="97">
        <v>81691</v>
      </c>
      <c r="E152" s="97">
        <f t="shared" si="20"/>
        <v>14364</v>
      </c>
      <c r="F152" s="98">
        <f t="shared" si="21"/>
        <v>0.21334679994652964</v>
      </c>
    </row>
    <row r="153" spans="1:6" ht="33.75" customHeight="1">
      <c r="A153" s="101"/>
      <c r="B153" s="102" t="s">
        <v>262</v>
      </c>
      <c r="C153" s="103">
        <f>SUM(C142:C152)</f>
        <v>22855155</v>
      </c>
      <c r="D153" s="103">
        <f>SUM(D142:D152)</f>
        <v>26428390</v>
      </c>
      <c r="E153" s="103">
        <f t="shared" si="20"/>
        <v>3573235</v>
      </c>
      <c r="F153" s="104">
        <f t="shared" si="21"/>
        <v>0.15634262817294392</v>
      </c>
    </row>
    <row r="154" spans="1:6" ht="18" customHeight="1">
      <c r="A154" s="94" t="s">
        <v>239</v>
      </c>
      <c r="B154" s="95" t="s">
        <v>263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227</v>
      </c>
      <c r="C155" s="97">
        <v>2567191</v>
      </c>
      <c r="D155" s="97">
        <v>2583620</v>
      </c>
      <c r="E155" s="97">
        <f aca="true" t="shared" si="22" ref="E155:E166">D155-C155</f>
        <v>16429</v>
      </c>
      <c r="F155" s="98">
        <f aca="true" t="shared" si="23" ref="F155:F166">IF(C155=0,0,E155/C155)</f>
        <v>0.006399601743695736</v>
      </c>
    </row>
    <row r="156" spans="1:6" ht="18" customHeight="1">
      <c r="A156" s="99">
        <v>2</v>
      </c>
      <c r="B156" s="100" t="s">
        <v>228</v>
      </c>
      <c r="C156" s="97">
        <v>84802</v>
      </c>
      <c r="D156" s="97">
        <v>167233</v>
      </c>
      <c r="E156" s="97">
        <f t="shared" si="22"/>
        <v>82431</v>
      </c>
      <c r="F156" s="98">
        <f t="shared" si="23"/>
        <v>0.9720407537558077</v>
      </c>
    </row>
    <row r="157" spans="1:6" ht="18" customHeight="1">
      <c r="A157" s="99">
        <v>3</v>
      </c>
      <c r="B157" s="100" t="s">
        <v>229</v>
      </c>
      <c r="C157" s="97">
        <v>549171</v>
      </c>
      <c r="D157" s="97">
        <v>586581</v>
      </c>
      <c r="E157" s="97">
        <f t="shared" si="22"/>
        <v>37410</v>
      </c>
      <c r="F157" s="98">
        <f t="shared" si="23"/>
        <v>0.0681208585304031</v>
      </c>
    </row>
    <row r="158" spans="1:6" ht="18" customHeight="1">
      <c r="A158" s="99">
        <v>4</v>
      </c>
      <c r="B158" s="100" t="s">
        <v>230</v>
      </c>
      <c r="C158" s="97">
        <v>1166940</v>
      </c>
      <c r="D158" s="97">
        <v>1223854</v>
      </c>
      <c r="E158" s="97">
        <f t="shared" si="22"/>
        <v>56914</v>
      </c>
      <c r="F158" s="98">
        <f t="shared" si="23"/>
        <v>0.04877200198810564</v>
      </c>
    </row>
    <row r="159" spans="1:6" ht="18" customHeight="1">
      <c r="A159" s="99">
        <v>5</v>
      </c>
      <c r="B159" s="100" t="s">
        <v>231</v>
      </c>
      <c r="C159" s="97">
        <v>56075</v>
      </c>
      <c r="D159" s="97">
        <v>77700</v>
      </c>
      <c r="E159" s="97">
        <f t="shared" si="22"/>
        <v>21625</v>
      </c>
      <c r="F159" s="98">
        <f t="shared" si="23"/>
        <v>0.38564422648238966</v>
      </c>
    </row>
    <row r="160" spans="1:6" ht="18" customHeight="1">
      <c r="A160" s="99">
        <v>6</v>
      </c>
      <c r="B160" s="100" t="s">
        <v>232</v>
      </c>
      <c r="C160" s="97">
        <v>1078797</v>
      </c>
      <c r="D160" s="97">
        <v>1123499</v>
      </c>
      <c r="E160" s="97">
        <f t="shared" si="22"/>
        <v>44702</v>
      </c>
      <c r="F160" s="98">
        <f t="shared" si="23"/>
        <v>0.041436896839720544</v>
      </c>
    </row>
    <row r="161" spans="1:6" ht="18" customHeight="1">
      <c r="A161" s="99">
        <v>7</v>
      </c>
      <c r="B161" s="100" t="s">
        <v>233</v>
      </c>
      <c r="C161" s="97">
        <v>3894526</v>
      </c>
      <c r="D161" s="97">
        <v>4155651</v>
      </c>
      <c r="E161" s="97">
        <f t="shared" si="22"/>
        <v>261125</v>
      </c>
      <c r="F161" s="98">
        <f t="shared" si="23"/>
        <v>0.06704923782765862</v>
      </c>
    </row>
    <row r="162" spans="1:6" ht="18" customHeight="1">
      <c r="A162" s="99">
        <v>8</v>
      </c>
      <c r="B162" s="100" t="s">
        <v>234</v>
      </c>
      <c r="C162" s="97">
        <v>362871</v>
      </c>
      <c r="D162" s="97">
        <v>347699</v>
      </c>
      <c r="E162" s="97">
        <f t="shared" si="22"/>
        <v>-15172</v>
      </c>
      <c r="F162" s="98">
        <f t="shared" si="23"/>
        <v>-0.041811001705840366</v>
      </c>
    </row>
    <row r="163" spans="1:6" ht="18" customHeight="1">
      <c r="A163" s="99">
        <v>9</v>
      </c>
      <c r="B163" s="100" t="s">
        <v>235</v>
      </c>
      <c r="C163" s="97">
        <v>249364</v>
      </c>
      <c r="D163" s="97">
        <v>231447</v>
      </c>
      <c r="E163" s="97">
        <f t="shared" si="22"/>
        <v>-17917</v>
      </c>
      <c r="F163" s="98">
        <f t="shared" si="23"/>
        <v>-0.07185078840570411</v>
      </c>
    </row>
    <row r="164" spans="1:6" ht="18" customHeight="1">
      <c r="A164" s="99">
        <v>10</v>
      </c>
      <c r="B164" s="100" t="s">
        <v>236</v>
      </c>
      <c r="C164" s="97">
        <v>329610</v>
      </c>
      <c r="D164" s="97">
        <v>417533</v>
      </c>
      <c r="E164" s="97">
        <f t="shared" si="22"/>
        <v>87923</v>
      </c>
      <c r="F164" s="98">
        <f t="shared" si="23"/>
        <v>0.2667485816571099</v>
      </c>
    </row>
    <row r="165" spans="1:6" ht="18" customHeight="1">
      <c r="A165" s="99">
        <v>11</v>
      </c>
      <c r="B165" s="100" t="s">
        <v>237</v>
      </c>
      <c r="C165" s="97">
        <v>21331</v>
      </c>
      <c r="D165" s="97">
        <v>23916</v>
      </c>
      <c r="E165" s="97">
        <f t="shared" si="22"/>
        <v>2585</v>
      </c>
      <c r="F165" s="98">
        <f t="shared" si="23"/>
        <v>0.12118512962355257</v>
      </c>
    </row>
    <row r="166" spans="1:6" ht="33.75" customHeight="1">
      <c r="A166" s="101"/>
      <c r="B166" s="102" t="s">
        <v>264</v>
      </c>
      <c r="C166" s="103">
        <f>SUM(C155:C165)</f>
        <v>10360678</v>
      </c>
      <c r="D166" s="103">
        <f>SUM(D155:D165)</f>
        <v>10938733</v>
      </c>
      <c r="E166" s="103">
        <f t="shared" si="22"/>
        <v>578055</v>
      </c>
      <c r="F166" s="104">
        <f t="shared" si="23"/>
        <v>0.05579316334317117</v>
      </c>
    </row>
    <row r="167" spans="1:6" ht="18" customHeight="1">
      <c r="A167" s="94" t="s">
        <v>256</v>
      </c>
      <c r="B167" s="95" t="s">
        <v>265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227</v>
      </c>
      <c r="C168" s="117">
        <v>7332</v>
      </c>
      <c r="D168" s="117">
        <v>7147</v>
      </c>
      <c r="E168" s="117">
        <f aca="true" t="shared" si="24" ref="E168:E179">D168-C168</f>
        <v>-185</v>
      </c>
      <c r="F168" s="98">
        <f aca="true" t="shared" si="25" ref="F168:F179">IF(C168=0,0,E168/C168)</f>
        <v>-0.025231860338243317</v>
      </c>
    </row>
    <row r="169" spans="1:6" ht="18" customHeight="1">
      <c r="A169" s="99">
        <v>2</v>
      </c>
      <c r="B169" s="100" t="s">
        <v>228</v>
      </c>
      <c r="C169" s="117">
        <v>265</v>
      </c>
      <c r="D169" s="117">
        <v>438</v>
      </c>
      <c r="E169" s="117">
        <f t="shared" si="24"/>
        <v>173</v>
      </c>
      <c r="F169" s="98">
        <f t="shared" si="25"/>
        <v>0.6528301886792452</v>
      </c>
    </row>
    <row r="170" spans="1:6" ht="18" customHeight="1">
      <c r="A170" s="99">
        <v>3</v>
      </c>
      <c r="B170" s="100" t="s">
        <v>229</v>
      </c>
      <c r="C170" s="117">
        <v>1984</v>
      </c>
      <c r="D170" s="117">
        <v>1756</v>
      </c>
      <c r="E170" s="117">
        <f t="shared" si="24"/>
        <v>-228</v>
      </c>
      <c r="F170" s="98">
        <f t="shared" si="25"/>
        <v>-0.11491935483870967</v>
      </c>
    </row>
    <row r="171" spans="1:6" ht="18" customHeight="1">
      <c r="A171" s="99">
        <v>4</v>
      </c>
      <c r="B171" s="100" t="s">
        <v>230</v>
      </c>
      <c r="C171" s="117">
        <v>5486</v>
      </c>
      <c r="D171" s="117">
        <v>6101</v>
      </c>
      <c r="E171" s="117">
        <f t="shared" si="24"/>
        <v>615</v>
      </c>
      <c r="F171" s="98">
        <f t="shared" si="25"/>
        <v>0.11210353627415238</v>
      </c>
    </row>
    <row r="172" spans="1:6" ht="18" customHeight="1">
      <c r="A172" s="99">
        <v>5</v>
      </c>
      <c r="B172" s="100" t="s">
        <v>231</v>
      </c>
      <c r="C172" s="117">
        <v>188</v>
      </c>
      <c r="D172" s="117">
        <v>214</v>
      </c>
      <c r="E172" s="117">
        <f t="shared" si="24"/>
        <v>26</v>
      </c>
      <c r="F172" s="98">
        <f t="shared" si="25"/>
        <v>0.13829787234042554</v>
      </c>
    </row>
    <row r="173" spans="1:6" ht="18" customHeight="1">
      <c r="A173" s="99">
        <v>6</v>
      </c>
      <c r="B173" s="100" t="s">
        <v>232</v>
      </c>
      <c r="C173" s="117">
        <v>2769</v>
      </c>
      <c r="D173" s="117">
        <v>2328</v>
      </c>
      <c r="E173" s="117">
        <f t="shared" si="24"/>
        <v>-441</v>
      </c>
      <c r="F173" s="98">
        <f t="shared" si="25"/>
        <v>-0.15926327193932827</v>
      </c>
    </row>
    <row r="174" spans="1:6" ht="18" customHeight="1">
      <c r="A174" s="99">
        <v>7</v>
      </c>
      <c r="B174" s="100" t="s">
        <v>233</v>
      </c>
      <c r="C174" s="117">
        <v>10815</v>
      </c>
      <c r="D174" s="117">
        <v>10382</v>
      </c>
      <c r="E174" s="117">
        <f t="shared" si="24"/>
        <v>-433</v>
      </c>
      <c r="F174" s="98">
        <f t="shared" si="25"/>
        <v>-0.04003698566805363</v>
      </c>
    </row>
    <row r="175" spans="1:6" ht="18" customHeight="1">
      <c r="A175" s="99">
        <v>8</v>
      </c>
      <c r="B175" s="100" t="s">
        <v>234</v>
      </c>
      <c r="C175" s="117">
        <v>864</v>
      </c>
      <c r="D175" s="117">
        <v>799</v>
      </c>
      <c r="E175" s="117">
        <f t="shared" si="24"/>
        <v>-65</v>
      </c>
      <c r="F175" s="98">
        <f t="shared" si="25"/>
        <v>-0.07523148148148148</v>
      </c>
    </row>
    <row r="176" spans="1:6" ht="18" customHeight="1">
      <c r="A176" s="99">
        <v>9</v>
      </c>
      <c r="B176" s="100" t="s">
        <v>235</v>
      </c>
      <c r="C176" s="117">
        <v>2820</v>
      </c>
      <c r="D176" s="117">
        <v>2599</v>
      </c>
      <c r="E176" s="117">
        <f t="shared" si="24"/>
        <v>-221</v>
      </c>
      <c r="F176" s="98">
        <f t="shared" si="25"/>
        <v>-0.07836879432624114</v>
      </c>
    </row>
    <row r="177" spans="1:6" ht="18" customHeight="1">
      <c r="A177" s="99">
        <v>10</v>
      </c>
      <c r="B177" s="100" t="s">
        <v>236</v>
      </c>
      <c r="C177" s="117">
        <v>2199</v>
      </c>
      <c r="D177" s="117">
        <v>2601</v>
      </c>
      <c r="E177" s="117">
        <f t="shared" si="24"/>
        <v>402</v>
      </c>
      <c r="F177" s="98">
        <f t="shared" si="25"/>
        <v>0.18281036834924966</v>
      </c>
    </row>
    <row r="178" spans="1:6" ht="18" customHeight="1">
      <c r="A178" s="99">
        <v>11</v>
      </c>
      <c r="B178" s="100" t="s">
        <v>237</v>
      </c>
      <c r="C178" s="117">
        <v>92</v>
      </c>
      <c r="D178" s="117">
        <v>99</v>
      </c>
      <c r="E178" s="117">
        <f t="shared" si="24"/>
        <v>7</v>
      </c>
      <c r="F178" s="98">
        <f t="shared" si="25"/>
        <v>0.07608695652173914</v>
      </c>
    </row>
    <row r="179" spans="1:6" ht="33.75" customHeight="1">
      <c r="A179" s="101"/>
      <c r="B179" s="102" t="s">
        <v>266</v>
      </c>
      <c r="C179" s="118">
        <f>SUM(C168:C178)</f>
        <v>34814</v>
      </c>
      <c r="D179" s="118">
        <f>SUM(D168:D178)</f>
        <v>34464</v>
      </c>
      <c r="E179" s="118">
        <f t="shared" si="24"/>
        <v>-350</v>
      </c>
      <c r="F179" s="104">
        <f t="shared" si="25"/>
        <v>-0.010053426782328949</v>
      </c>
    </row>
  </sheetData>
  <sheetProtection/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fitToHeight="4" fitToWidth="1" horizontalDpi="1200" verticalDpi="1200" orientation="portrait" paperSize="9" scale="64" r:id="rId1"/>
  <headerFooter alignWithMargins="0">
    <oddHeader>&amp;LOFFICE OF HEALTH CARE ACCESS&amp;CTWELVE MONTHS ACTUAL FILING&amp;RCHARLOTTE HUNGERFORD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F18" sqref="F18"/>
    </sheetView>
  </sheetViews>
  <sheetFormatPr defaultColWidth="9.140625" defaultRowHeight="15" customHeight="1"/>
  <cols>
    <col min="1" max="1" width="8.8515625" style="119" bestFit="1" customWidth="1"/>
    <col min="2" max="2" width="54.851562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17.4218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115</v>
      </c>
      <c r="E2" s="123"/>
      <c r="F2" s="123"/>
      <c r="G2" s="124"/>
    </row>
    <row r="3" spans="1:7" ht="15.75" customHeight="1">
      <c r="A3" s="121"/>
      <c r="C3" s="123" t="s">
        <v>116</v>
      </c>
      <c r="E3" s="123"/>
      <c r="F3" s="123"/>
      <c r="G3" s="124"/>
    </row>
    <row r="4" spans="1:7" ht="15.75" customHeight="1">
      <c r="A4" s="121"/>
      <c r="C4" s="123" t="s">
        <v>117</v>
      </c>
      <c r="E4" s="123"/>
      <c r="F4" s="123"/>
      <c r="G4" s="124"/>
    </row>
    <row r="5" spans="1:7" ht="15.75" customHeight="1">
      <c r="A5" s="121"/>
      <c r="C5" s="123" t="s">
        <v>267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119</v>
      </c>
      <c r="D9" s="127" t="s">
        <v>120</v>
      </c>
      <c r="E9" s="129" t="s">
        <v>121</v>
      </c>
      <c r="F9" s="130" t="s">
        <v>268</v>
      </c>
      <c r="G9" s="124"/>
    </row>
    <row r="10" spans="1:7" ht="15.75" customHeight="1">
      <c r="A10" s="131" t="s">
        <v>269</v>
      </c>
      <c r="B10" s="132" t="s">
        <v>124</v>
      </c>
      <c r="C10" s="133" t="s">
        <v>125</v>
      </c>
      <c r="D10" s="133" t="s">
        <v>125</v>
      </c>
      <c r="E10" s="134" t="s">
        <v>126</v>
      </c>
      <c r="F10" s="133" t="s">
        <v>126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127</v>
      </c>
      <c r="B12" s="139" t="s">
        <v>270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225</v>
      </c>
      <c r="B14" s="145" t="s">
        <v>271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272</v>
      </c>
      <c r="C15" s="146">
        <v>17457513</v>
      </c>
      <c r="D15" s="146">
        <v>18901408</v>
      </c>
      <c r="E15" s="146">
        <f>+D15-C15</f>
        <v>1443895</v>
      </c>
      <c r="F15" s="150">
        <f>IF(C15=0,0,E15/C15)</f>
        <v>0.08270908920417244</v>
      </c>
    </row>
    <row r="16" spans="1:6" ht="15" customHeight="1">
      <c r="A16" s="141">
        <v>2</v>
      </c>
      <c r="B16" s="149" t="s">
        <v>273</v>
      </c>
      <c r="C16" s="146">
        <v>2698480</v>
      </c>
      <c r="D16" s="146">
        <v>3537716</v>
      </c>
      <c r="E16" s="146">
        <f>+D16-C16</f>
        <v>839236</v>
      </c>
      <c r="F16" s="150">
        <f>IF(C16=0,0,E16/C16)</f>
        <v>0.31100323144881564</v>
      </c>
    </row>
    <row r="17" spans="1:6" ht="15" customHeight="1">
      <c r="A17" s="141">
        <v>3</v>
      </c>
      <c r="B17" s="149" t="s">
        <v>274</v>
      </c>
      <c r="C17" s="146">
        <v>22688049</v>
      </c>
      <c r="D17" s="146">
        <v>23798919</v>
      </c>
      <c r="E17" s="146">
        <f>+D17-C17</f>
        <v>1110870</v>
      </c>
      <c r="F17" s="150">
        <f>IF(C17=0,0,E17/C17)</f>
        <v>0.04896278212375158</v>
      </c>
    </row>
    <row r="18" spans="1:7" ht="15.75" customHeight="1">
      <c r="A18" s="141"/>
      <c r="B18" s="151" t="s">
        <v>275</v>
      </c>
      <c r="C18" s="147">
        <f>SUM(C15:C17)</f>
        <v>42844042</v>
      </c>
      <c r="D18" s="147">
        <f>SUM(D15:D17)</f>
        <v>46238043</v>
      </c>
      <c r="E18" s="147">
        <f>+D18-C18</f>
        <v>3394001</v>
      </c>
      <c r="F18" s="148">
        <f>IF(C18=0,0,E18/C18)</f>
        <v>0.07921757242232187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239</v>
      </c>
      <c r="B20" s="145" t="s">
        <v>276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277</v>
      </c>
      <c r="C21" s="146">
        <v>4471462</v>
      </c>
      <c r="D21" s="146">
        <v>5169877</v>
      </c>
      <c r="E21" s="146">
        <f>+D21-C21</f>
        <v>698415</v>
      </c>
      <c r="F21" s="150">
        <f>IF(C21=0,0,E21/C21)</f>
        <v>0.15619388021188596</v>
      </c>
    </row>
    <row r="22" spans="1:6" ht="15" customHeight="1">
      <c r="A22" s="141">
        <v>2</v>
      </c>
      <c r="B22" s="149" t="s">
        <v>278</v>
      </c>
      <c r="C22" s="146">
        <v>691172</v>
      </c>
      <c r="D22" s="146">
        <v>967629</v>
      </c>
      <c r="E22" s="146">
        <f>+D22-C22</f>
        <v>276457</v>
      </c>
      <c r="F22" s="150">
        <f>IF(C22=0,0,E22/C22)</f>
        <v>0.3999829275491484</v>
      </c>
    </row>
    <row r="23" spans="1:6" ht="15" customHeight="1">
      <c r="A23" s="141">
        <v>3</v>
      </c>
      <c r="B23" s="149" t="s">
        <v>279</v>
      </c>
      <c r="C23" s="146">
        <v>5811181</v>
      </c>
      <c r="D23" s="146">
        <v>6509436</v>
      </c>
      <c r="E23" s="146">
        <f>+D23-C23</f>
        <v>698255</v>
      </c>
      <c r="F23" s="150">
        <f>IF(C23=0,0,E23/C23)</f>
        <v>0.12015715910414768</v>
      </c>
    </row>
    <row r="24" spans="1:7" ht="15.75" customHeight="1">
      <c r="A24" s="141"/>
      <c r="B24" s="151" t="s">
        <v>280</v>
      </c>
      <c r="C24" s="147">
        <f>SUM(C21:C23)</f>
        <v>10973815</v>
      </c>
      <c r="D24" s="147">
        <f>SUM(D21:D23)</f>
        <v>12646942</v>
      </c>
      <c r="E24" s="147">
        <f>+D24-C24</f>
        <v>1673127</v>
      </c>
      <c r="F24" s="148">
        <f>IF(C24=0,0,E24/C24)</f>
        <v>0.15246539147962673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256</v>
      </c>
      <c r="B26" s="145" t="s">
        <v>281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282</v>
      </c>
      <c r="C27" s="146">
        <v>371116</v>
      </c>
      <c r="D27" s="146">
        <v>729577</v>
      </c>
      <c r="E27" s="146">
        <f>+D27-C27</f>
        <v>358461</v>
      </c>
      <c r="F27" s="150">
        <f>IF(C27=0,0,E27/C27)</f>
        <v>0.9659001498183857</v>
      </c>
    </row>
    <row r="28" spans="1:6" ht="15" customHeight="1">
      <c r="A28" s="141">
        <v>2</v>
      </c>
      <c r="B28" s="149" t="s">
        <v>283</v>
      </c>
      <c r="C28" s="146">
        <v>1103875</v>
      </c>
      <c r="D28" s="146">
        <v>908307</v>
      </c>
      <c r="E28" s="146">
        <f>+D28-C28</f>
        <v>-195568</v>
      </c>
      <c r="F28" s="150">
        <f>IF(C28=0,0,E28/C28)</f>
        <v>-0.17716498697769223</v>
      </c>
    </row>
    <row r="29" spans="1:6" ht="15" customHeight="1">
      <c r="A29" s="141">
        <v>3</v>
      </c>
      <c r="B29" s="149" t="s">
        <v>284</v>
      </c>
      <c r="C29" s="146">
        <v>369435</v>
      </c>
      <c r="D29" s="146">
        <v>320716</v>
      </c>
      <c r="E29" s="146">
        <f>+D29-C29</f>
        <v>-48719</v>
      </c>
      <c r="F29" s="150">
        <f>IF(C29=0,0,E29/C29)</f>
        <v>-0.13187434866755993</v>
      </c>
    </row>
    <row r="30" spans="1:7" ht="15.75" customHeight="1">
      <c r="A30" s="141"/>
      <c r="B30" s="151" t="s">
        <v>285</v>
      </c>
      <c r="C30" s="147">
        <f>SUM(C27:C29)</f>
        <v>1844426</v>
      </c>
      <c r="D30" s="147">
        <f>SUM(D27:D29)</f>
        <v>1958600</v>
      </c>
      <c r="E30" s="147">
        <f>+D30-C30</f>
        <v>114174</v>
      </c>
      <c r="F30" s="148">
        <f>IF(C30=0,0,E30/C30)</f>
        <v>0.06190218528691311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286</v>
      </c>
      <c r="B32" s="145" t="s">
        <v>287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288</v>
      </c>
      <c r="C33" s="146">
        <v>7586190</v>
      </c>
      <c r="D33" s="146">
        <v>8763429</v>
      </c>
      <c r="E33" s="146">
        <f>+D33-C33</f>
        <v>1177239</v>
      </c>
      <c r="F33" s="150">
        <f>IF(C33=0,0,E33/C33)</f>
        <v>0.1551818501777572</v>
      </c>
    </row>
    <row r="34" spans="1:6" ht="15" customHeight="1">
      <c r="A34" s="141">
        <v>2</v>
      </c>
      <c r="B34" s="149" t="s">
        <v>289</v>
      </c>
      <c r="C34" s="146">
        <v>2683614</v>
      </c>
      <c r="D34" s="146">
        <v>2989589</v>
      </c>
      <c r="E34" s="146">
        <f>+D34-C34</f>
        <v>305975</v>
      </c>
      <c r="F34" s="150">
        <f>IF(C34=0,0,E34/C34)</f>
        <v>0.11401602465928408</v>
      </c>
    </row>
    <row r="35" spans="1:7" ht="15.75" customHeight="1">
      <c r="A35" s="141"/>
      <c r="B35" s="151" t="s">
        <v>290</v>
      </c>
      <c r="C35" s="147">
        <f>SUM(C33:C34)</f>
        <v>10269804</v>
      </c>
      <c r="D35" s="147">
        <f>SUM(D33:D34)</f>
        <v>11753018</v>
      </c>
      <c r="E35" s="147">
        <f>+D35-C35</f>
        <v>1483214</v>
      </c>
      <c r="F35" s="148">
        <f>IF(C35=0,0,E35/C35)</f>
        <v>0.1444247621473594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291</v>
      </c>
      <c r="B37" s="145" t="s">
        <v>292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293</v>
      </c>
      <c r="C38" s="146">
        <v>3041571</v>
      </c>
      <c r="D38" s="146">
        <v>3202183</v>
      </c>
      <c r="E38" s="146">
        <f>+D38-C38</f>
        <v>160612</v>
      </c>
      <c r="F38" s="150">
        <f>IF(C38=0,0,E38/C38)</f>
        <v>0.052805606050294406</v>
      </c>
    </row>
    <row r="39" spans="1:6" ht="15" customHeight="1">
      <c r="A39" s="141">
        <v>2</v>
      </c>
      <c r="B39" s="149" t="s">
        <v>294</v>
      </c>
      <c r="C39" s="146">
        <v>2774126</v>
      </c>
      <c r="D39" s="146">
        <v>2919569</v>
      </c>
      <c r="E39" s="146">
        <f>+D39-C39</f>
        <v>145443</v>
      </c>
      <c r="F39" s="150">
        <f>IF(C39=0,0,E39/C39)</f>
        <v>0.05242840447766251</v>
      </c>
    </row>
    <row r="40" spans="1:6" ht="15" customHeight="1">
      <c r="A40" s="141">
        <v>3</v>
      </c>
      <c r="B40" s="149" t="s">
        <v>295</v>
      </c>
      <c r="C40" s="146">
        <v>90334</v>
      </c>
      <c r="D40" s="146">
        <v>54702</v>
      </c>
      <c r="E40" s="146">
        <f>+D40-C40</f>
        <v>-35632</v>
      </c>
      <c r="F40" s="150">
        <f>IF(C40=0,0,E40/C40)</f>
        <v>-0.39444727345185643</v>
      </c>
    </row>
    <row r="41" spans="1:7" ht="15.75" customHeight="1">
      <c r="A41" s="141"/>
      <c r="B41" s="151" t="s">
        <v>296</v>
      </c>
      <c r="C41" s="147">
        <f>SUM(C38:C40)</f>
        <v>5906031</v>
      </c>
      <c r="D41" s="147">
        <f>SUM(D38:D40)</f>
        <v>6176454</v>
      </c>
      <c r="E41" s="147">
        <f>+D41-C41</f>
        <v>270423</v>
      </c>
      <c r="F41" s="148">
        <f>IF(C41=0,0,E41/C41)</f>
        <v>0.04578760253713535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297</v>
      </c>
      <c r="B43" s="145" t="s">
        <v>298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200</v>
      </c>
      <c r="C44" s="146">
        <v>2441497</v>
      </c>
      <c r="D44" s="146">
        <v>2247042</v>
      </c>
      <c r="E44" s="146">
        <f>+D44-C44</f>
        <v>-194455</v>
      </c>
      <c r="F44" s="150">
        <f>IF(C44=0,0,E44/C44)</f>
        <v>-0.07964580746976138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299</v>
      </c>
      <c r="B46" s="145" t="s">
        <v>300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301</v>
      </c>
      <c r="C47" s="146">
        <v>528927</v>
      </c>
      <c r="D47" s="146">
        <v>417080</v>
      </c>
      <c r="E47" s="146">
        <f>+D47-C47</f>
        <v>-111847</v>
      </c>
      <c r="F47" s="150">
        <f>IF(C47=0,0,E47/C47)</f>
        <v>-0.21146018259608604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302</v>
      </c>
      <c r="B49" s="145" t="s">
        <v>303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304</v>
      </c>
      <c r="C50" s="146">
        <v>1180250</v>
      </c>
      <c r="D50" s="146">
        <v>1082238</v>
      </c>
      <c r="E50" s="146">
        <f>+D50-C50</f>
        <v>-98012</v>
      </c>
      <c r="F50" s="150">
        <f>IF(C50=0,0,E50/C50)</f>
        <v>-0.08304342300360093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305</v>
      </c>
      <c r="B52" s="145" t="s">
        <v>306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307</v>
      </c>
      <c r="C53" s="146">
        <v>40281</v>
      </c>
      <c r="D53" s="146">
        <v>44117</v>
      </c>
      <c r="E53" s="146">
        <f aca="true" t="shared" si="0" ref="E53:E59">+D53-C53</f>
        <v>3836</v>
      </c>
      <c r="F53" s="150">
        <f aca="true" t="shared" si="1" ref="F53:F59">IF(C53=0,0,E53/C53)</f>
        <v>0.09523100220947842</v>
      </c>
    </row>
    <row r="54" spans="1:6" ht="15" customHeight="1">
      <c r="A54" s="141">
        <v>2</v>
      </c>
      <c r="B54" s="149" t="s">
        <v>308</v>
      </c>
      <c r="C54" s="146">
        <v>604229</v>
      </c>
      <c r="D54" s="146">
        <v>611968</v>
      </c>
      <c r="E54" s="146">
        <f t="shared" si="0"/>
        <v>7739</v>
      </c>
      <c r="F54" s="150">
        <f t="shared" si="1"/>
        <v>0.012808057872098162</v>
      </c>
    </row>
    <row r="55" spans="1:6" ht="15" customHeight="1">
      <c r="A55" s="141">
        <v>3</v>
      </c>
      <c r="B55" s="149" t="s">
        <v>309</v>
      </c>
      <c r="C55" s="146">
        <v>15362</v>
      </c>
      <c r="D55" s="146">
        <v>13608</v>
      </c>
      <c r="E55" s="146">
        <f t="shared" si="0"/>
        <v>-1754</v>
      </c>
      <c r="F55" s="150">
        <f t="shared" si="1"/>
        <v>-0.11417784142689753</v>
      </c>
    </row>
    <row r="56" spans="1:6" ht="15" customHeight="1">
      <c r="A56" s="141">
        <v>4</v>
      </c>
      <c r="B56" s="149" t="s">
        <v>310</v>
      </c>
      <c r="C56" s="146">
        <v>1283139</v>
      </c>
      <c r="D56" s="146">
        <v>1287646</v>
      </c>
      <c r="E56" s="146">
        <f t="shared" si="0"/>
        <v>4507</v>
      </c>
      <c r="F56" s="150">
        <f t="shared" si="1"/>
        <v>0.0035124799417678054</v>
      </c>
    </row>
    <row r="57" spans="1:6" ht="15" customHeight="1">
      <c r="A57" s="141">
        <v>5</v>
      </c>
      <c r="B57" s="149" t="s">
        <v>311</v>
      </c>
      <c r="C57" s="146">
        <v>159470</v>
      </c>
      <c r="D57" s="146">
        <v>162362</v>
      </c>
      <c r="E57" s="146">
        <f t="shared" si="0"/>
        <v>2892</v>
      </c>
      <c r="F57" s="150">
        <f t="shared" si="1"/>
        <v>0.018135072427415813</v>
      </c>
    </row>
    <row r="58" spans="1:6" ht="15" customHeight="1">
      <c r="A58" s="141">
        <v>6</v>
      </c>
      <c r="B58" s="149" t="s">
        <v>312</v>
      </c>
      <c r="C58" s="146">
        <v>59006</v>
      </c>
      <c r="D58" s="146">
        <v>47651</v>
      </c>
      <c r="E58" s="146">
        <f t="shared" si="0"/>
        <v>-11355</v>
      </c>
      <c r="F58" s="150">
        <f t="shared" si="1"/>
        <v>-0.19243805714673085</v>
      </c>
    </row>
    <row r="59" spans="1:7" ht="15.75" customHeight="1">
      <c r="A59" s="141"/>
      <c r="B59" s="151" t="s">
        <v>313</v>
      </c>
      <c r="C59" s="147">
        <f>SUM(C53:C58)</f>
        <v>2161487</v>
      </c>
      <c r="D59" s="147">
        <f>SUM(D53:D58)</f>
        <v>2167352</v>
      </c>
      <c r="E59" s="147">
        <f t="shared" si="0"/>
        <v>5865</v>
      </c>
      <c r="F59" s="148">
        <f t="shared" si="1"/>
        <v>0.002713409796126463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314</v>
      </c>
      <c r="B61" s="145" t="s">
        <v>315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316</v>
      </c>
      <c r="C62" s="146">
        <v>101754</v>
      </c>
      <c r="D62" s="146">
        <v>109696</v>
      </c>
      <c r="E62" s="146">
        <f aca="true" t="shared" si="2" ref="E62:E78">+D62-C62</f>
        <v>7942</v>
      </c>
      <c r="F62" s="150">
        <f aca="true" t="shared" si="3" ref="F62:F78">IF(C62=0,0,E62/C62)</f>
        <v>0.07805098571063546</v>
      </c>
    </row>
    <row r="63" spans="1:6" ht="15" customHeight="1">
      <c r="A63" s="141">
        <v>2</v>
      </c>
      <c r="B63" s="149" t="s">
        <v>317</v>
      </c>
      <c r="C63" s="146">
        <v>172001</v>
      </c>
      <c r="D63" s="146">
        <v>190419</v>
      </c>
      <c r="E63" s="146">
        <f t="shared" si="2"/>
        <v>18418</v>
      </c>
      <c r="F63" s="150">
        <f t="shared" si="3"/>
        <v>0.10708077278620473</v>
      </c>
    </row>
    <row r="64" spans="1:6" ht="15" customHeight="1">
      <c r="A64" s="141">
        <v>3</v>
      </c>
      <c r="B64" s="149" t="s">
        <v>318</v>
      </c>
      <c r="C64" s="146">
        <v>597070</v>
      </c>
      <c r="D64" s="146">
        <v>847286</v>
      </c>
      <c r="E64" s="146">
        <f t="shared" si="2"/>
        <v>250216</v>
      </c>
      <c r="F64" s="150">
        <f t="shared" si="3"/>
        <v>0.4190731405027886</v>
      </c>
    </row>
    <row r="65" spans="1:6" ht="15" customHeight="1">
      <c r="A65" s="141">
        <v>4</v>
      </c>
      <c r="B65" s="149" t="s">
        <v>319</v>
      </c>
      <c r="C65" s="146">
        <v>0</v>
      </c>
      <c r="D65" s="146">
        <v>0</v>
      </c>
      <c r="E65" s="146">
        <f t="shared" si="2"/>
        <v>0</v>
      </c>
      <c r="F65" s="150">
        <f t="shared" si="3"/>
        <v>0</v>
      </c>
    </row>
    <row r="66" spans="1:6" ht="15" customHeight="1">
      <c r="A66" s="141">
        <v>5</v>
      </c>
      <c r="B66" s="149" t="s">
        <v>320</v>
      </c>
      <c r="C66" s="146">
        <v>843286</v>
      </c>
      <c r="D66" s="146">
        <v>952987</v>
      </c>
      <c r="E66" s="146">
        <f t="shared" si="2"/>
        <v>109701</v>
      </c>
      <c r="F66" s="150">
        <f t="shared" si="3"/>
        <v>0.13008753851006657</v>
      </c>
    </row>
    <row r="67" spans="1:6" ht="15" customHeight="1">
      <c r="A67" s="141">
        <v>6</v>
      </c>
      <c r="B67" s="149" t="s">
        <v>321</v>
      </c>
      <c r="C67" s="146">
        <v>595236</v>
      </c>
      <c r="D67" s="146">
        <v>550733</v>
      </c>
      <c r="E67" s="146">
        <f t="shared" si="2"/>
        <v>-44503</v>
      </c>
      <c r="F67" s="150">
        <f t="shared" si="3"/>
        <v>-0.07476530317386718</v>
      </c>
    </row>
    <row r="68" spans="1:6" ht="15" customHeight="1">
      <c r="A68" s="141">
        <v>7</v>
      </c>
      <c r="B68" s="149" t="s">
        <v>322</v>
      </c>
      <c r="C68" s="146">
        <v>1404080</v>
      </c>
      <c r="D68" s="146">
        <v>1631947</v>
      </c>
      <c r="E68" s="146">
        <f t="shared" si="2"/>
        <v>227867</v>
      </c>
      <c r="F68" s="150">
        <f t="shared" si="3"/>
        <v>0.16228918580137883</v>
      </c>
    </row>
    <row r="69" spans="1:6" ht="15" customHeight="1">
      <c r="A69" s="141">
        <v>8</v>
      </c>
      <c r="B69" s="149" t="s">
        <v>323</v>
      </c>
      <c r="C69" s="146">
        <v>234456</v>
      </c>
      <c r="D69" s="146">
        <v>258221</v>
      </c>
      <c r="E69" s="146">
        <f t="shared" si="2"/>
        <v>23765</v>
      </c>
      <c r="F69" s="150">
        <f t="shared" si="3"/>
        <v>0.10136230252158188</v>
      </c>
    </row>
    <row r="70" spans="1:6" ht="15" customHeight="1">
      <c r="A70" s="141">
        <v>9</v>
      </c>
      <c r="B70" s="149" t="s">
        <v>324</v>
      </c>
      <c r="C70" s="146">
        <v>188671</v>
      </c>
      <c r="D70" s="146">
        <v>171129</v>
      </c>
      <c r="E70" s="146">
        <f t="shared" si="2"/>
        <v>-17542</v>
      </c>
      <c r="F70" s="150">
        <f t="shared" si="3"/>
        <v>-0.0929766630801766</v>
      </c>
    </row>
    <row r="71" spans="1:6" ht="15" customHeight="1">
      <c r="A71" s="141">
        <v>10</v>
      </c>
      <c r="B71" s="149" t="s">
        <v>325</v>
      </c>
      <c r="C71" s="146">
        <v>108888</v>
      </c>
      <c r="D71" s="146">
        <v>91287</v>
      </c>
      <c r="E71" s="146">
        <f t="shared" si="2"/>
        <v>-17601</v>
      </c>
      <c r="F71" s="150">
        <f t="shared" si="3"/>
        <v>-0.16164315627066345</v>
      </c>
    </row>
    <row r="72" spans="1:6" ht="15" customHeight="1">
      <c r="A72" s="141">
        <v>11</v>
      </c>
      <c r="B72" s="149" t="s">
        <v>326</v>
      </c>
      <c r="C72" s="146">
        <v>55932</v>
      </c>
      <c r="D72" s="146">
        <v>35297</v>
      </c>
      <c r="E72" s="146">
        <f t="shared" si="2"/>
        <v>-20635</v>
      </c>
      <c r="F72" s="150">
        <f t="shared" si="3"/>
        <v>-0.36893012944289494</v>
      </c>
    </row>
    <row r="73" spans="1:6" ht="15" customHeight="1">
      <c r="A73" s="141">
        <v>12</v>
      </c>
      <c r="B73" s="149" t="s">
        <v>327</v>
      </c>
      <c r="C73" s="146">
        <v>738674</v>
      </c>
      <c r="D73" s="146">
        <v>748553</v>
      </c>
      <c r="E73" s="146">
        <f t="shared" si="2"/>
        <v>9879</v>
      </c>
      <c r="F73" s="150">
        <f t="shared" si="3"/>
        <v>0.01337396469890642</v>
      </c>
    </row>
    <row r="74" spans="1:6" ht="15" customHeight="1">
      <c r="A74" s="141">
        <v>13</v>
      </c>
      <c r="B74" s="149" t="s">
        <v>328</v>
      </c>
      <c r="C74" s="146">
        <v>342922</v>
      </c>
      <c r="D74" s="146">
        <v>359264</v>
      </c>
      <c r="E74" s="146">
        <f t="shared" si="2"/>
        <v>16342</v>
      </c>
      <c r="F74" s="150">
        <f t="shared" si="3"/>
        <v>0.047655151900432166</v>
      </c>
    </row>
    <row r="75" spans="1:6" ht="15" customHeight="1">
      <c r="A75" s="141">
        <v>14</v>
      </c>
      <c r="B75" s="149" t="s">
        <v>329</v>
      </c>
      <c r="C75" s="146">
        <v>113955</v>
      </c>
      <c r="D75" s="146">
        <v>113459</v>
      </c>
      <c r="E75" s="146">
        <f t="shared" si="2"/>
        <v>-496</v>
      </c>
      <c r="F75" s="150">
        <f t="shared" si="3"/>
        <v>-0.004352595322715107</v>
      </c>
    </row>
    <row r="76" spans="1:6" ht="15" customHeight="1">
      <c r="A76" s="141">
        <v>15</v>
      </c>
      <c r="B76" s="149" t="s">
        <v>330</v>
      </c>
      <c r="C76" s="146">
        <v>623540</v>
      </c>
      <c r="D76" s="146">
        <v>660667</v>
      </c>
      <c r="E76" s="146">
        <f t="shared" si="2"/>
        <v>37127</v>
      </c>
      <c r="F76" s="150">
        <f t="shared" si="3"/>
        <v>0.05954229079128845</v>
      </c>
    </row>
    <row r="77" spans="1:6" ht="15" customHeight="1">
      <c r="A77" s="141">
        <v>16</v>
      </c>
      <c r="B77" s="149" t="s">
        <v>331</v>
      </c>
      <c r="C77" s="146">
        <v>9093642</v>
      </c>
      <c r="D77" s="146">
        <v>8875006</v>
      </c>
      <c r="E77" s="146">
        <f t="shared" si="2"/>
        <v>-218636</v>
      </c>
      <c r="F77" s="150">
        <f t="shared" si="3"/>
        <v>-0.024042732273823843</v>
      </c>
    </row>
    <row r="78" spans="1:7" ht="15.75" customHeight="1">
      <c r="A78" s="141"/>
      <c r="B78" s="151" t="s">
        <v>332</v>
      </c>
      <c r="C78" s="147">
        <f>SUM(C62:C77)</f>
        <v>15214107</v>
      </c>
      <c r="D78" s="147">
        <f>SUM(D62:D77)</f>
        <v>15595951</v>
      </c>
      <c r="E78" s="147">
        <f t="shared" si="2"/>
        <v>381844</v>
      </c>
      <c r="F78" s="148">
        <f t="shared" si="3"/>
        <v>0.025098022512921724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333</v>
      </c>
      <c r="B80" s="145" t="s">
        <v>334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335</v>
      </c>
      <c r="C81" s="146">
        <v>140477</v>
      </c>
      <c r="D81" s="146">
        <v>119639</v>
      </c>
      <c r="E81" s="146">
        <f>+D81-C81</f>
        <v>-20838</v>
      </c>
      <c r="F81" s="150">
        <f>IF(C81=0,0,E81/C81)</f>
        <v>-0.14833745025876122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336</v>
      </c>
      <c r="C83" s="147">
        <f>+C81+C78+C59+C50+C47+C44+C41+C35+C30+C24+C18</f>
        <v>93504863</v>
      </c>
      <c r="D83" s="147">
        <f>+D81+D78+D59+D50+D47+D44+D41+D35+D30+D24+D18</f>
        <v>100402359</v>
      </c>
      <c r="E83" s="147">
        <f>+D83-C83</f>
        <v>6897496</v>
      </c>
      <c r="F83" s="148">
        <f>IF(C83=0,0,E83/C83)</f>
        <v>0.07376617406519274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337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159</v>
      </c>
      <c r="B88" s="142" t="s">
        <v>338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225</v>
      </c>
      <c r="B90" s="145" t="s">
        <v>339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340</v>
      </c>
      <c r="C91" s="146">
        <v>25362364</v>
      </c>
      <c r="D91" s="146">
        <v>27044507</v>
      </c>
      <c r="E91" s="146">
        <f aca="true" t="shared" si="4" ref="E91:E109">D91-C91</f>
        <v>1682143</v>
      </c>
      <c r="F91" s="150">
        <f aca="true" t="shared" si="5" ref="F91:F109">IF(C91=0,0,E91/C91)</f>
        <v>0.06632437733328013</v>
      </c>
      <c r="G91" s="155"/>
    </row>
    <row r="92" spans="1:7" ht="15" customHeight="1">
      <c r="A92" s="141">
        <v>2</v>
      </c>
      <c r="B92" s="161" t="s">
        <v>341</v>
      </c>
      <c r="C92" s="146">
        <v>720763</v>
      </c>
      <c r="D92" s="146">
        <v>883734</v>
      </c>
      <c r="E92" s="146">
        <f t="shared" si="4"/>
        <v>162971</v>
      </c>
      <c r="F92" s="150">
        <f t="shared" si="5"/>
        <v>0.22610899838088247</v>
      </c>
      <c r="G92" s="155"/>
    </row>
    <row r="93" spans="1:7" ht="15" customHeight="1">
      <c r="A93" s="141">
        <v>3</v>
      </c>
      <c r="B93" s="161" t="s">
        <v>342</v>
      </c>
      <c r="C93" s="146">
        <v>1147472</v>
      </c>
      <c r="D93" s="146">
        <v>1125728</v>
      </c>
      <c r="E93" s="146">
        <f t="shared" si="4"/>
        <v>-21744</v>
      </c>
      <c r="F93" s="150">
        <f t="shared" si="5"/>
        <v>-0.018949481991717445</v>
      </c>
      <c r="G93" s="155"/>
    </row>
    <row r="94" spans="1:7" ht="15" customHeight="1">
      <c r="A94" s="141">
        <v>4</v>
      </c>
      <c r="B94" s="161" t="s">
        <v>343</v>
      </c>
      <c r="C94" s="146">
        <v>1058418</v>
      </c>
      <c r="D94" s="146">
        <v>1090166</v>
      </c>
      <c r="E94" s="146">
        <f t="shared" si="4"/>
        <v>31748</v>
      </c>
      <c r="F94" s="150">
        <f t="shared" si="5"/>
        <v>0.029995710579374123</v>
      </c>
      <c r="G94" s="155"/>
    </row>
    <row r="95" spans="1:7" ht="15" customHeight="1">
      <c r="A95" s="141">
        <v>5</v>
      </c>
      <c r="B95" s="161" t="s">
        <v>344</v>
      </c>
      <c r="C95" s="146">
        <v>1780332</v>
      </c>
      <c r="D95" s="146">
        <v>2156369</v>
      </c>
      <c r="E95" s="146">
        <f t="shared" si="4"/>
        <v>376037</v>
      </c>
      <c r="F95" s="150">
        <f t="shared" si="5"/>
        <v>0.21121734597816588</v>
      </c>
      <c r="G95" s="155"/>
    </row>
    <row r="96" spans="1:7" ht="15" customHeight="1">
      <c r="A96" s="141">
        <v>6</v>
      </c>
      <c r="B96" s="161" t="s">
        <v>345</v>
      </c>
      <c r="C96" s="146">
        <v>274648</v>
      </c>
      <c r="D96" s="146">
        <v>290599</v>
      </c>
      <c r="E96" s="146">
        <f t="shared" si="4"/>
        <v>15951</v>
      </c>
      <c r="F96" s="150">
        <f t="shared" si="5"/>
        <v>0.05807797617313798</v>
      </c>
      <c r="G96" s="155"/>
    </row>
    <row r="97" spans="1:7" ht="15" customHeight="1">
      <c r="A97" s="141">
        <v>7</v>
      </c>
      <c r="B97" s="161" t="s">
        <v>346</v>
      </c>
      <c r="C97" s="146">
        <v>717286</v>
      </c>
      <c r="D97" s="146">
        <v>801425</v>
      </c>
      <c r="E97" s="146">
        <f t="shared" si="4"/>
        <v>84139</v>
      </c>
      <c r="F97" s="150">
        <f t="shared" si="5"/>
        <v>0.11730188516156735</v>
      </c>
      <c r="G97" s="155"/>
    </row>
    <row r="98" spans="1:7" ht="15" customHeight="1">
      <c r="A98" s="141">
        <v>8</v>
      </c>
      <c r="B98" s="161" t="s">
        <v>347</v>
      </c>
      <c r="C98" s="146">
        <v>540250</v>
      </c>
      <c r="D98" s="146">
        <v>567616</v>
      </c>
      <c r="E98" s="146">
        <f t="shared" si="4"/>
        <v>27366</v>
      </c>
      <c r="F98" s="150">
        <f t="shared" si="5"/>
        <v>0.050654326700601576</v>
      </c>
      <c r="G98" s="155"/>
    </row>
    <row r="99" spans="1:7" ht="15" customHeight="1">
      <c r="A99" s="141">
        <v>9</v>
      </c>
      <c r="B99" s="161" t="s">
        <v>348</v>
      </c>
      <c r="C99" s="146">
        <v>735717</v>
      </c>
      <c r="D99" s="146">
        <v>706245</v>
      </c>
      <c r="E99" s="146">
        <f t="shared" si="4"/>
        <v>-29472</v>
      </c>
      <c r="F99" s="150">
        <f t="shared" si="5"/>
        <v>-0.04005888133616595</v>
      </c>
      <c r="G99" s="155"/>
    </row>
    <row r="100" spans="1:7" ht="15" customHeight="1">
      <c r="A100" s="141">
        <v>10</v>
      </c>
      <c r="B100" s="161" t="s">
        <v>349</v>
      </c>
      <c r="C100" s="146">
        <v>1562434</v>
      </c>
      <c r="D100" s="146">
        <v>1607901</v>
      </c>
      <c r="E100" s="146">
        <f t="shared" si="4"/>
        <v>45467</v>
      </c>
      <c r="F100" s="150">
        <f t="shared" si="5"/>
        <v>0.02910010918861213</v>
      </c>
      <c r="G100" s="155"/>
    </row>
    <row r="101" spans="1:7" ht="15" customHeight="1">
      <c r="A101" s="141">
        <v>11</v>
      </c>
      <c r="B101" s="161" t="s">
        <v>350</v>
      </c>
      <c r="C101" s="146">
        <v>1246218</v>
      </c>
      <c r="D101" s="146">
        <v>1292611</v>
      </c>
      <c r="E101" s="146">
        <f t="shared" si="4"/>
        <v>46393</v>
      </c>
      <c r="F101" s="150">
        <f t="shared" si="5"/>
        <v>0.03722703411441658</v>
      </c>
      <c r="G101" s="155"/>
    </row>
    <row r="102" spans="1:7" ht="15" customHeight="1">
      <c r="A102" s="141">
        <v>12</v>
      </c>
      <c r="B102" s="161" t="s">
        <v>351</v>
      </c>
      <c r="C102" s="146">
        <v>499553</v>
      </c>
      <c r="D102" s="146">
        <v>498349</v>
      </c>
      <c r="E102" s="146">
        <f t="shared" si="4"/>
        <v>-1204</v>
      </c>
      <c r="F102" s="150">
        <f t="shared" si="5"/>
        <v>-0.0024101546782823845</v>
      </c>
      <c r="G102" s="155"/>
    </row>
    <row r="103" spans="1:7" ht="15" customHeight="1">
      <c r="A103" s="141">
        <v>13</v>
      </c>
      <c r="B103" s="161" t="s">
        <v>352</v>
      </c>
      <c r="C103" s="146">
        <v>1827186</v>
      </c>
      <c r="D103" s="146">
        <v>1906946</v>
      </c>
      <c r="E103" s="146">
        <f t="shared" si="4"/>
        <v>79760</v>
      </c>
      <c r="F103" s="150">
        <f t="shared" si="5"/>
        <v>0.04365182307657786</v>
      </c>
      <c r="G103" s="155"/>
    </row>
    <row r="104" spans="1:7" ht="15" customHeight="1">
      <c r="A104" s="141">
        <v>14</v>
      </c>
      <c r="B104" s="161" t="s">
        <v>353</v>
      </c>
      <c r="C104" s="146">
        <v>263058</v>
      </c>
      <c r="D104" s="146">
        <v>320429</v>
      </c>
      <c r="E104" s="146">
        <f t="shared" si="4"/>
        <v>57371</v>
      </c>
      <c r="F104" s="150">
        <f t="shared" si="5"/>
        <v>0.21809258794638445</v>
      </c>
      <c r="G104" s="155"/>
    </row>
    <row r="105" spans="1:7" ht="15" customHeight="1">
      <c r="A105" s="141">
        <v>15</v>
      </c>
      <c r="B105" s="161" t="s">
        <v>322</v>
      </c>
      <c r="C105" s="146">
        <v>970333</v>
      </c>
      <c r="D105" s="146">
        <v>811099</v>
      </c>
      <c r="E105" s="146">
        <f t="shared" si="4"/>
        <v>-159234</v>
      </c>
      <c r="F105" s="150">
        <f t="shared" si="5"/>
        <v>-0.1641024266926921</v>
      </c>
      <c r="G105" s="155"/>
    </row>
    <row r="106" spans="1:7" ht="15" customHeight="1">
      <c r="A106" s="141">
        <v>16</v>
      </c>
      <c r="B106" s="161" t="s">
        <v>354</v>
      </c>
      <c r="C106" s="146">
        <v>322609</v>
      </c>
      <c r="D106" s="146">
        <v>350462</v>
      </c>
      <c r="E106" s="146">
        <f t="shared" si="4"/>
        <v>27853</v>
      </c>
      <c r="F106" s="150">
        <f t="shared" si="5"/>
        <v>0.08633671100310283</v>
      </c>
      <c r="G106" s="155"/>
    </row>
    <row r="107" spans="1:7" ht="15" customHeight="1">
      <c r="A107" s="141">
        <v>17</v>
      </c>
      <c r="B107" s="161" t="s">
        <v>355</v>
      </c>
      <c r="C107" s="146">
        <v>3811202</v>
      </c>
      <c r="D107" s="146">
        <v>4346502</v>
      </c>
      <c r="E107" s="146">
        <f t="shared" si="4"/>
        <v>535300</v>
      </c>
      <c r="F107" s="150">
        <f t="shared" si="5"/>
        <v>0.14045437633586463</v>
      </c>
      <c r="G107" s="155"/>
    </row>
    <row r="108" spans="1:7" ht="15" customHeight="1">
      <c r="A108" s="141">
        <v>18</v>
      </c>
      <c r="B108" s="161" t="s">
        <v>356</v>
      </c>
      <c r="C108" s="146">
        <v>0</v>
      </c>
      <c r="D108" s="146">
        <v>0</v>
      </c>
      <c r="E108" s="146">
        <f t="shared" si="4"/>
        <v>0</v>
      </c>
      <c r="F108" s="150">
        <f t="shared" si="5"/>
        <v>0</v>
      </c>
      <c r="G108" s="155"/>
    </row>
    <row r="109" spans="1:7" ht="15.75" customHeight="1">
      <c r="A109" s="141"/>
      <c r="B109" s="154" t="s">
        <v>357</v>
      </c>
      <c r="C109" s="147">
        <f>SUM(C91:C108)</f>
        <v>42839843</v>
      </c>
      <c r="D109" s="147">
        <f>SUM(D91:D108)</f>
        <v>45800688</v>
      </c>
      <c r="E109" s="147">
        <f t="shared" si="4"/>
        <v>2960845</v>
      </c>
      <c r="F109" s="148">
        <f t="shared" si="5"/>
        <v>0.06911428223488121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239</v>
      </c>
      <c r="B111" s="145" t="s">
        <v>358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359</v>
      </c>
      <c r="C112" s="146">
        <v>695867</v>
      </c>
      <c r="D112" s="146">
        <v>722732</v>
      </c>
      <c r="E112" s="146">
        <f aca="true" t="shared" si="6" ref="E112:E118">D112-C112</f>
        <v>26865</v>
      </c>
      <c r="F112" s="150">
        <f aca="true" t="shared" si="7" ref="F112:F118">IF(C112=0,0,E112/C112)</f>
        <v>0.03860651532548605</v>
      </c>
      <c r="G112" s="155"/>
    </row>
    <row r="113" spans="1:7" ht="15" customHeight="1">
      <c r="A113" s="141">
        <v>2</v>
      </c>
      <c r="B113" s="161" t="s">
        <v>360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>
      <c r="A114" s="141">
        <v>3</v>
      </c>
      <c r="B114" s="161" t="s">
        <v>361</v>
      </c>
      <c r="C114" s="146">
        <v>1454126</v>
      </c>
      <c r="D114" s="146">
        <v>1392372</v>
      </c>
      <c r="E114" s="146">
        <f t="shared" si="6"/>
        <v>-61754</v>
      </c>
      <c r="F114" s="150">
        <f t="shared" si="7"/>
        <v>-0.0424681217446081</v>
      </c>
      <c r="G114" s="155"/>
    </row>
    <row r="115" spans="1:7" ht="15" customHeight="1">
      <c r="A115" s="141">
        <v>4</v>
      </c>
      <c r="B115" s="161" t="s">
        <v>362</v>
      </c>
      <c r="C115" s="146">
        <v>1574796</v>
      </c>
      <c r="D115" s="146">
        <v>1549891</v>
      </c>
      <c r="E115" s="146">
        <f t="shared" si="6"/>
        <v>-24905</v>
      </c>
      <c r="F115" s="150">
        <f t="shared" si="7"/>
        <v>-0.015814746798950466</v>
      </c>
      <c r="G115" s="155"/>
    </row>
    <row r="116" spans="1:7" ht="15" customHeight="1">
      <c r="A116" s="141">
        <v>5</v>
      </c>
      <c r="B116" s="161" t="s">
        <v>363</v>
      </c>
      <c r="C116" s="146">
        <v>1153218</v>
      </c>
      <c r="D116" s="146">
        <v>1235813</v>
      </c>
      <c r="E116" s="146">
        <f t="shared" si="6"/>
        <v>82595</v>
      </c>
      <c r="F116" s="150">
        <f t="shared" si="7"/>
        <v>0.0716213239821092</v>
      </c>
      <c r="G116" s="155"/>
    </row>
    <row r="117" spans="1:7" ht="15" customHeight="1">
      <c r="A117" s="141">
        <v>6</v>
      </c>
      <c r="B117" s="161" t="s">
        <v>364</v>
      </c>
      <c r="C117" s="146">
        <v>0</v>
      </c>
      <c r="D117" s="146">
        <v>0</v>
      </c>
      <c r="E117" s="146">
        <f t="shared" si="6"/>
        <v>0</v>
      </c>
      <c r="F117" s="150">
        <f t="shared" si="7"/>
        <v>0</v>
      </c>
      <c r="G117" s="155"/>
    </row>
    <row r="118" spans="1:7" ht="15.75" customHeight="1">
      <c r="A118" s="141"/>
      <c r="B118" s="154" t="s">
        <v>365</v>
      </c>
      <c r="C118" s="147">
        <f>SUM(C112:C117)</f>
        <v>4878007</v>
      </c>
      <c r="D118" s="147">
        <f>SUM(D112:D117)</f>
        <v>4900808</v>
      </c>
      <c r="E118" s="147">
        <f t="shared" si="6"/>
        <v>22801</v>
      </c>
      <c r="F118" s="148">
        <f t="shared" si="7"/>
        <v>0.004674245034908724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256</v>
      </c>
      <c r="B120" s="145" t="s">
        <v>366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367</v>
      </c>
      <c r="C121" s="146">
        <v>5842989</v>
      </c>
      <c r="D121" s="146">
        <v>6103509</v>
      </c>
      <c r="E121" s="146">
        <f aca="true" t="shared" si="8" ref="E121:E155">D121-C121</f>
        <v>260520</v>
      </c>
      <c r="F121" s="150">
        <f aca="true" t="shared" si="9" ref="F121:F155">IF(C121=0,0,E121/C121)</f>
        <v>0.04458676886093744</v>
      </c>
      <c r="G121" s="155"/>
    </row>
    <row r="122" spans="1:7" ht="15" customHeight="1">
      <c r="A122" s="141">
        <v>2</v>
      </c>
      <c r="B122" s="161" t="s">
        <v>368</v>
      </c>
      <c r="C122" s="146">
        <v>576565</v>
      </c>
      <c r="D122" s="146">
        <v>536990</v>
      </c>
      <c r="E122" s="146">
        <f t="shared" si="8"/>
        <v>-39575</v>
      </c>
      <c r="F122" s="150">
        <f t="shared" si="9"/>
        <v>-0.06863926877281833</v>
      </c>
      <c r="G122" s="155"/>
    </row>
    <row r="123" spans="1:7" ht="15" customHeight="1">
      <c r="A123" s="141">
        <v>3</v>
      </c>
      <c r="B123" s="161" t="s">
        <v>369</v>
      </c>
      <c r="C123" s="146">
        <v>204854</v>
      </c>
      <c r="D123" s="146">
        <v>178729</v>
      </c>
      <c r="E123" s="146">
        <f t="shared" si="8"/>
        <v>-26125</v>
      </c>
      <c r="F123" s="150">
        <f t="shared" si="9"/>
        <v>-0.1275298505276929</v>
      </c>
      <c r="G123" s="155"/>
    </row>
    <row r="124" spans="1:7" ht="15" customHeight="1">
      <c r="A124" s="141">
        <v>4</v>
      </c>
      <c r="B124" s="161" t="s">
        <v>370</v>
      </c>
      <c r="C124" s="146">
        <v>596858</v>
      </c>
      <c r="D124" s="146">
        <v>521101</v>
      </c>
      <c r="E124" s="146">
        <f t="shared" si="8"/>
        <v>-75757</v>
      </c>
      <c r="F124" s="150">
        <f t="shared" si="9"/>
        <v>-0.12692633758783498</v>
      </c>
      <c r="G124" s="155"/>
    </row>
    <row r="125" spans="1:7" ht="15" customHeight="1">
      <c r="A125" s="141">
        <v>5</v>
      </c>
      <c r="B125" s="161" t="s">
        <v>371</v>
      </c>
      <c r="C125" s="146">
        <v>2914020</v>
      </c>
      <c r="D125" s="146">
        <v>2984798</v>
      </c>
      <c r="E125" s="146">
        <f t="shared" si="8"/>
        <v>70778</v>
      </c>
      <c r="F125" s="150">
        <f t="shared" si="9"/>
        <v>0.0242887831929774</v>
      </c>
      <c r="G125" s="155"/>
    </row>
    <row r="126" spans="1:7" ht="15" customHeight="1">
      <c r="A126" s="141">
        <v>6</v>
      </c>
      <c r="B126" s="161" t="s">
        <v>372</v>
      </c>
      <c r="C126" s="146">
        <v>271983</v>
      </c>
      <c r="D126" s="146">
        <v>314436</v>
      </c>
      <c r="E126" s="146">
        <f t="shared" si="8"/>
        <v>42453</v>
      </c>
      <c r="F126" s="150">
        <f t="shared" si="9"/>
        <v>0.15608696131743527</v>
      </c>
      <c r="G126" s="155"/>
    </row>
    <row r="127" spans="1:7" ht="15" customHeight="1">
      <c r="A127" s="141">
        <v>7</v>
      </c>
      <c r="B127" s="161" t="s">
        <v>373</v>
      </c>
      <c r="C127" s="146">
        <v>884716</v>
      </c>
      <c r="D127" s="146">
        <v>1092104</v>
      </c>
      <c r="E127" s="146">
        <f t="shared" si="8"/>
        <v>207388</v>
      </c>
      <c r="F127" s="150">
        <f t="shared" si="9"/>
        <v>0.23441194688465</v>
      </c>
      <c r="G127" s="155"/>
    </row>
    <row r="128" spans="1:7" ht="15" customHeight="1">
      <c r="A128" s="141">
        <v>8</v>
      </c>
      <c r="B128" s="161" t="s">
        <v>374</v>
      </c>
      <c r="C128" s="146">
        <v>407498</v>
      </c>
      <c r="D128" s="146">
        <v>394248</v>
      </c>
      <c r="E128" s="146">
        <f t="shared" si="8"/>
        <v>-13250</v>
      </c>
      <c r="F128" s="150">
        <f t="shared" si="9"/>
        <v>-0.03251549700857428</v>
      </c>
      <c r="G128" s="155"/>
    </row>
    <row r="129" spans="1:7" ht="15" customHeight="1">
      <c r="A129" s="141">
        <v>9</v>
      </c>
      <c r="B129" s="161" t="s">
        <v>375</v>
      </c>
      <c r="C129" s="146">
        <v>643209</v>
      </c>
      <c r="D129" s="146">
        <v>699651</v>
      </c>
      <c r="E129" s="146">
        <f t="shared" si="8"/>
        <v>56442</v>
      </c>
      <c r="F129" s="150">
        <f t="shared" si="9"/>
        <v>0.08775063781756785</v>
      </c>
      <c r="G129" s="155"/>
    </row>
    <row r="130" spans="1:7" ht="15" customHeight="1">
      <c r="A130" s="141">
        <v>10</v>
      </c>
      <c r="B130" s="161" t="s">
        <v>376</v>
      </c>
      <c r="C130" s="146">
        <v>5681071</v>
      </c>
      <c r="D130" s="146">
        <v>6131048</v>
      </c>
      <c r="E130" s="146">
        <f t="shared" si="8"/>
        <v>449977</v>
      </c>
      <c r="F130" s="150">
        <f t="shared" si="9"/>
        <v>0.07920636795421145</v>
      </c>
      <c r="G130" s="155"/>
    </row>
    <row r="131" spans="1:7" ht="15" customHeight="1">
      <c r="A131" s="141">
        <v>11</v>
      </c>
      <c r="B131" s="161" t="s">
        <v>377</v>
      </c>
      <c r="C131" s="146">
        <v>956363</v>
      </c>
      <c r="D131" s="146">
        <v>1215290</v>
      </c>
      <c r="E131" s="146">
        <f t="shared" si="8"/>
        <v>258927</v>
      </c>
      <c r="F131" s="150">
        <f t="shared" si="9"/>
        <v>0.27074133984689913</v>
      </c>
      <c r="G131" s="155"/>
    </row>
    <row r="132" spans="1:7" ht="15" customHeight="1">
      <c r="A132" s="141">
        <v>12</v>
      </c>
      <c r="B132" s="161" t="s">
        <v>378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>
      <c r="A133" s="141">
        <v>13</v>
      </c>
      <c r="B133" s="161" t="s">
        <v>379</v>
      </c>
      <c r="C133" s="146">
        <v>301081</v>
      </c>
      <c r="D133" s="146">
        <v>317905</v>
      </c>
      <c r="E133" s="146">
        <f t="shared" si="8"/>
        <v>16824</v>
      </c>
      <c r="F133" s="150">
        <f t="shared" si="9"/>
        <v>0.05587865059568688</v>
      </c>
      <c r="G133" s="155"/>
    </row>
    <row r="134" spans="1:7" ht="15" customHeight="1">
      <c r="A134" s="141">
        <v>14</v>
      </c>
      <c r="B134" s="161" t="s">
        <v>380</v>
      </c>
      <c r="C134" s="146">
        <v>630</v>
      </c>
      <c r="D134" s="146">
        <v>8</v>
      </c>
      <c r="E134" s="146">
        <f t="shared" si="8"/>
        <v>-622</v>
      </c>
      <c r="F134" s="150">
        <f t="shared" si="9"/>
        <v>-0.9873015873015873</v>
      </c>
      <c r="G134" s="155"/>
    </row>
    <row r="135" spans="1:7" ht="15" customHeight="1">
      <c r="A135" s="141">
        <v>15</v>
      </c>
      <c r="B135" s="161" t="s">
        <v>381</v>
      </c>
      <c r="C135" s="146">
        <v>33631</v>
      </c>
      <c r="D135" s="146">
        <v>8033</v>
      </c>
      <c r="E135" s="146">
        <f t="shared" si="8"/>
        <v>-25598</v>
      </c>
      <c r="F135" s="150">
        <f t="shared" si="9"/>
        <v>-0.7611429930718682</v>
      </c>
      <c r="G135" s="155"/>
    </row>
    <row r="136" spans="1:7" ht="15" customHeight="1">
      <c r="A136" s="141">
        <v>16</v>
      </c>
      <c r="B136" s="161" t="s">
        <v>382</v>
      </c>
      <c r="C136" s="146">
        <v>35318</v>
      </c>
      <c r="D136" s="146">
        <v>33281</v>
      </c>
      <c r="E136" s="146">
        <f t="shared" si="8"/>
        <v>-2037</v>
      </c>
      <c r="F136" s="150">
        <f t="shared" si="9"/>
        <v>-0.057675972591879496</v>
      </c>
      <c r="G136" s="155"/>
    </row>
    <row r="137" spans="1:7" ht="15" customHeight="1">
      <c r="A137" s="141">
        <v>17</v>
      </c>
      <c r="B137" s="161" t="s">
        <v>383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384</v>
      </c>
      <c r="C138" s="146">
        <v>733997</v>
      </c>
      <c r="D138" s="146">
        <v>802905</v>
      </c>
      <c r="E138" s="146">
        <f t="shared" si="8"/>
        <v>68908</v>
      </c>
      <c r="F138" s="150">
        <f t="shared" si="9"/>
        <v>0.09388049269956145</v>
      </c>
      <c r="G138" s="155"/>
    </row>
    <row r="139" spans="1:7" ht="15" customHeight="1">
      <c r="A139" s="141">
        <v>19</v>
      </c>
      <c r="B139" s="161" t="s">
        <v>385</v>
      </c>
      <c r="C139" s="146">
        <v>192755</v>
      </c>
      <c r="D139" s="146">
        <v>213342</v>
      </c>
      <c r="E139" s="146">
        <f t="shared" si="8"/>
        <v>20587</v>
      </c>
      <c r="F139" s="150">
        <f t="shared" si="9"/>
        <v>0.10680397395657701</v>
      </c>
      <c r="G139" s="155"/>
    </row>
    <row r="140" spans="1:7" ht="15" customHeight="1">
      <c r="A140" s="141">
        <v>20</v>
      </c>
      <c r="B140" s="161" t="s">
        <v>386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>
      <c r="A141" s="141">
        <v>21</v>
      </c>
      <c r="B141" s="161" t="s">
        <v>387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388</v>
      </c>
      <c r="C142" s="146">
        <v>3946496</v>
      </c>
      <c r="D142" s="146">
        <v>3962413</v>
      </c>
      <c r="E142" s="146">
        <f t="shared" si="8"/>
        <v>15917</v>
      </c>
      <c r="F142" s="150">
        <f t="shared" si="9"/>
        <v>0.004033198057213285</v>
      </c>
      <c r="G142" s="155"/>
    </row>
    <row r="143" spans="1:7" ht="15" customHeight="1">
      <c r="A143" s="141">
        <v>23</v>
      </c>
      <c r="B143" s="161" t="s">
        <v>389</v>
      </c>
      <c r="C143" s="146">
        <v>171814</v>
      </c>
      <c r="D143" s="146">
        <v>261664</v>
      </c>
      <c r="E143" s="146">
        <f t="shared" si="8"/>
        <v>89850</v>
      </c>
      <c r="F143" s="150">
        <f t="shared" si="9"/>
        <v>0.5229492358015063</v>
      </c>
      <c r="G143" s="155"/>
    </row>
    <row r="144" spans="1:7" ht="15" customHeight="1">
      <c r="A144" s="141">
        <v>24</v>
      </c>
      <c r="B144" s="161" t="s">
        <v>390</v>
      </c>
      <c r="C144" s="146">
        <v>4544203</v>
      </c>
      <c r="D144" s="146">
        <v>4871006</v>
      </c>
      <c r="E144" s="146">
        <f t="shared" si="8"/>
        <v>326803</v>
      </c>
      <c r="F144" s="150">
        <f t="shared" si="9"/>
        <v>0.07191646147850349</v>
      </c>
      <c r="G144" s="155"/>
    </row>
    <row r="145" spans="1:7" ht="15" customHeight="1">
      <c r="A145" s="141">
        <v>25</v>
      </c>
      <c r="B145" s="161" t="s">
        <v>391</v>
      </c>
      <c r="C145" s="146">
        <v>223793</v>
      </c>
      <c r="D145" s="146">
        <v>267389</v>
      </c>
      <c r="E145" s="146">
        <f t="shared" si="8"/>
        <v>43596</v>
      </c>
      <c r="F145" s="150">
        <f t="shared" si="9"/>
        <v>0.19480502071110356</v>
      </c>
      <c r="G145" s="155"/>
    </row>
    <row r="146" spans="1:7" ht="15" customHeight="1">
      <c r="A146" s="141">
        <v>26</v>
      </c>
      <c r="B146" s="161" t="s">
        <v>392</v>
      </c>
      <c r="C146" s="146">
        <v>200607</v>
      </c>
      <c r="D146" s="146">
        <v>39601</v>
      </c>
      <c r="E146" s="146">
        <f t="shared" si="8"/>
        <v>-161006</v>
      </c>
      <c r="F146" s="150">
        <f t="shared" si="9"/>
        <v>-0.8025941268250859</v>
      </c>
      <c r="G146" s="155"/>
    </row>
    <row r="147" spans="1:7" ht="15" customHeight="1">
      <c r="A147" s="141">
        <v>27</v>
      </c>
      <c r="B147" s="161" t="s">
        <v>393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394</v>
      </c>
      <c r="C148" s="146">
        <v>0</v>
      </c>
      <c r="D148" s="146">
        <v>220744</v>
      </c>
      <c r="E148" s="146">
        <f t="shared" si="8"/>
        <v>220744</v>
      </c>
      <c r="F148" s="150">
        <f t="shared" si="9"/>
        <v>0</v>
      </c>
      <c r="G148" s="155"/>
    </row>
    <row r="149" spans="1:7" ht="15" customHeight="1">
      <c r="A149" s="141">
        <v>29</v>
      </c>
      <c r="B149" s="161" t="s">
        <v>395</v>
      </c>
      <c r="C149" s="146">
        <v>268844</v>
      </c>
      <c r="D149" s="146">
        <v>353994</v>
      </c>
      <c r="E149" s="146">
        <f t="shared" si="8"/>
        <v>85150</v>
      </c>
      <c r="F149" s="150">
        <f t="shared" si="9"/>
        <v>0.3167264287095862</v>
      </c>
      <c r="G149" s="155"/>
    </row>
    <row r="150" spans="1:7" ht="15" customHeight="1">
      <c r="A150" s="141">
        <v>30</v>
      </c>
      <c r="B150" s="161" t="s">
        <v>396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397</v>
      </c>
      <c r="C151" s="146">
        <v>330742</v>
      </c>
      <c r="D151" s="146">
        <v>309444</v>
      </c>
      <c r="E151" s="146">
        <f t="shared" si="8"/>
        <v>-21298</v>
      </c>
      <c r="F151" s="150">
        <f t="shared" si="9"/>
        <v>-0.06439460364876551</v>
      </c>
      <c r="G151" s="155"/>
    </row>
    <row r="152" spans="1:7" ht="15" customHeight="1">
      <c r="A152" s="141">
        <v>32</v>
      </c>
      <c r="B152" s="161" t="s">
        <v>398</v>
      </c>
      <c r="C152" s="146">
        <v>591741</v>
      </c>
      <c r="D152" s="146">
        <v>481013</v>
      </c>
      <c r="E152" s="146">
        <f t="shared" si="8"/>
        <v>-110728</v>
      </c>
      <c r="F152" s="150">
        <f t="shared" si="9"/>
        <v>-0.18712240659342516</v>
      </c>
      <c r="G152" s="155"/>
    </row>
    <row r="153" spans="1:7" ht="15" customHeight="1">
      <c r="A153" s="141">
        <v>33</v>
      </c>
      <c r="B153" s="161" t="s">
        <v>399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>
      <c r="A154" s="141">
        <v>34</v>
      </c>
      <c r="B154" s="161" t="s">
        <v>400</v>
      </c>
      <c r="C154" s="146">
        <v>41350</v>
      </c>
      <c r="D154" s="146">
        <v>93649</v>
      </c>
      <c r="E154" s="146">
        <f t="shared" si="8"/>
        <v>52299</v>
      </c>
      <c r="F154" s="150">
        <f t="shared" si="9"/>
        <v>1.2647883917775091</v>
      </c>
      <c r="G154" s="155"/>
    </row>
    <row r="155" spans="1:7" ht="15.75" customHeight="1">
      <c r="A155" s="141"/>
      <c r="B155" s="154" t="s">
        <v>401</v>
      </c>
      <c r="C155" s="147">
        <f>SUM(C121:C154)</f>
        <v>30597128</v>
      </c>
      <c r="D155" s="147">
        <f>SUM(D121:D154)</f>
        <v>32408295</v>
      </c>
      <c r="E155" s="147">
        <f t="shared" si="8"/>
        <v>1811167</v>
      </c>
      <c r="F155" s="148">
        <f t="shared" si="9"/>
        <v>0.05919401977858837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286</v>
      </c>
      <c r="B157" s="145" t="s">
        <v>402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403</v>
      </c>
      <c r="C158" s="146">
        <v>5680281</v>
      </c>
      <c r="D158" s="146">
        <v>6689730</v>
      </c>
      <c r="E158" s="146">
        <f aca="true" t="shared" si="10" ref="E158:E171">D158-C158</f>
        <v>1009449</v>
      </c>
      <c r="F158" s="150">
        <f aca="true" t="shared" si="11" ref="F158:F171">IF(C158=0,0,E158/C158)</f>
        <v>0.17771110267256143</v>
      </c>
      <c r="G158" s="155"/>
    </row>
    <row r="159" spans="1:7" ht="15" customHeight="1">
      <c r="A159" s="141">
        <v>2</v>
      </c>
      <c r="B159" s="161" t="s">
        <v>404</v>
      </c>
      <c r="C159" s="146">
        <v>1699016</v>
      </c>
      <c r="D159" s="146">
        <v>2028864</v>
      </c>
      <c r="E159" s="146">
        <f t="shared" si="10"/>
        <v>329848</v>
      </c>
      <c r="F159" s="150">
        <f t="shared" si="11"/>
        <v>0.19414060844630068</v>
      </c>
      <c r="G159" s="155"/>
    </row>
    <row r="160" spans="1:7" ht="15" customHeight="1">
      <c r="A160" s="141">
        <v>3</v>
      </c>
      <c r="B160" s="161" t="s">
        <v>405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>
      <c r="A161" s="141">
        <v>4</v>
      </c>
      <c r="B161" s="161" t="s">
        <v>406</v>
      </c>
      <c r="C161" s="146">
        <v>2541788</v>
      </c>
      <c r="D161" s="146">
        <v>2590378</v>
      </c>
      <c r="E161" s="146">
        <f t="shared" si="10"/>
        <v>48590</v>
      </c>
      <c r="F161" s="150">
        <f t="shared" si="11"/>
        <v>0.01911646447304024</v>
      </c>
      <c r="G161" s="155"/>
    </row>
    <row r="162" spans="1:7" ht="15" customHeight="1">
      <c r="A162" s="141">
        <v>5</v>
      </c>
      <c r="B162" s="161" t="s">
        <v>407</v>
      </c>
      <c r="C162" s="146">
        <v>680404</v>
      </c>
      <c r="D162" s="146">
        <v>762666</v>
      </c>
      <c r="E162" s="146">
        <f t="shared" si="10"/>
        <v>82262</v>
      </c>
      <c r="F162" s="150">
        <f t="shared" si="11"/>
        <v>0.12090169957848572</v>
      </c>
      <c r="G162" s="155"/>
    </row>
    <row r="163" spans="1:7" ht="15" customHeight="1">
      <c r="A163" s="141">
        <v>6</v>
      </c>
      <c r="B163" s="161" t="s">
        <v>408</v>
      </c>
      <c r="C163" s="146">
        <v>741620</v>
      </c>
      <c r="D163" s="146">
        <v>832911</v>
      </c>
      <c r="E163" s="146">
        <f t="shared" si="10"/>
        <v>91291</v>
      </c>
      <c r="F163" s="150">
        <f t="shared" si="11"/>
        <v>0.12309673417653245</v>
      </c>
      <c r="G163" s="155"/>
    </row>
    <row r="164" spans="1:7" ht="15" customHeight="1">
      <c r="A164" s="141">
        <v>7</v>
      </c>
      <c r="B164" s="161" t="s">
        <v>409</v>
      </c>
      <c r="C164" s="146">
        <v>400528</v>
      </c>
      <c r="D164" s="146">
        <v>357900</v>
      </c>
      <c r="E164" s="146">
        <f t="shared" si="10"/>
        <v>-42628</v>
      </c>
      <c r="F164" s="150">
        <f t="shared" si="11"/>
        <v>-0.10642951304278353</v>
      </c>
      <c r="G164" s="155"/>
    </row>
    <row r="165" spans="1:7" ht="15" customHeight="1">
      <c r="A165" s="141">
        <v>8</v>
      </c>
      <c r="B165" s="161" t="s">
        <v>410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>
      <c r="A166" s="141">
        <v>9</v>
      </c>
      <c r="B166" s="161" t="s">
        <v>411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>
      <c r="A167" s="141">
        <v>10</v>
      </c>
      <c r="B167" s="161" t="s">
        <v>412</v>
      </c>
      <c r="C167" s="146">
        <v>586690</v>
      </c>
      <c r="D167" s="146">
        <v>671770</v>
      </c>
      <c r="E167" s="146">
        <f t="shared" si="10"/>
        <v>85080</v>
      </c>
      <c r="F167" s="150">
        <f t="shared" si="11"/>
        <v>0.14501695955274507</v>
      </c>
      <c r="G167" s="155"/>
    </row>
    <row r="168" spans="1:7" ht="15" customHeight="1">
      <c r="A168" s="141">
        <v>11</v>
      </c>
      <c r="B168" s="161" t="s">
        <v>413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414</v>
      </c>
      <c r="C169" s="146">
        <v>1829991</v>
      </c>
      <c r="D169" s="146">
        <v>1665815</v>
      </c>
      <c r="E169" s="146">
        <f t="shared" si="10"/>
        <v>-164176</v>
      </c>
      <c r="F169" s="150">
        <f t="shared" si="11"/>
        <v>-0.08971410241908294</v>
      </c>
      <c r="G169" s="155"/>
    </row>
    <row r="170" spans="1:7" ht="15" customHeight="1">
      <c r="A170" s="141">
        <v>13</v>
      </c>
      <c r="B170" s="161" t="s">
        <v>415</v>
      </c>
      <c r="C170" s="146">
        <v>721884</v>
      </c>
      <c r="D170" s="146">
        <v>1347246</v>
      </c>
      <c r="E170" s="146">
        <f t="shared" si="10"/>
        <v>625362</v>
      </c>
      <c r="F170" s="150">
        <f t="shared" si="11"/>
        <v>0.8662915371444719</v>
      </c>
      <c r="G170" s="155"/>
    </row>
    <row r="171" spans="1:7" ht="15.75" customHeight="1">
      <c r="A171" s="141"/>
      <c r="B171" s="154" t="s">
        <v>416</v>
      </c>
      <c r="C171" s="147">
        <f>SUM(C158:C170)</f>
        <v>14882202</v>
      </c>
      <c r="D171" s="147">
        <f>SUM(D158:D170)</f>
        <v>16947280</v>
      </c>
      <c r="E171" s="147">
        <f t="shared" si="10"/>
        <v>2065078</v>
      </c>
      <c r="F171" s="148">
        <f t="shared" si="11"/>
        <v>0.13876158917880566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291</v>
      </c>
      <c r="B173" s="145" t="s">
        <v>417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418</v>
      </c>
      <c r="C174" s="146">
        <v>307683</v>
      </c>
      <c r="D174" s="146">
        <v>345288</v>
      </c>
      <c r="E174" s="146">
        <f>D174-C174</f>
        <v>37605</v>
      </c>
      <c r="F174" s="150">
        <f>IF(C174=0,0,E174/C174)</f>
        <v>0.12221994715340138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419</v>
      </c>
      <c r="C176" s="147">
        <f>+C174+C171+C155+C118+C109</f>
        <v>93504863</v>
      </c>
      <c r="D176" s="147">
        <f>+D174+D171+D155+D118+D109</f>
        <v>100402359</v>
      </c>
      <c r="E176" s="147">
        <f>D176-C176</f>
        <v>6897496</v>
      </c>
      <c r="F176" s="148">
        <f>IF(C176=0,0,E176/C176)</f>
        <v>0.07376617406519274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420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FILING&amp;RCHARLOTTE HUNGERFORD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A1" sqref="A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115</v>
      </c>
      <c r="C1" s="3"/>
      <c r="D1" s="3"/>
      <c r="E1" s="4"/>
      <c r="F1" s="5"/>
    </row>
    <row r="2" spans="1:6" ht="24" customHeight="1">
      <c r="A2" s="35"/>
      <c r="B2" s="3" t="s">
        <v>116</v>
      </c>
      <c r="C2" s="3"/>
      <c r="D2" s="3"/>
      <c r="E2" s="4"/>
      <c r="F2" s="5"/>
    </row>
    <row r="3" spans="1:6" ht="24" customHeight="1">
      <c r="A3" s="35"/>
      <c r="B3" s="3" t="s">
        <v>117</v>
      </c>
      <c r="C3" s="3"/>
      <c r="D3" s="3"/>
      <c r="E3" s="4"/>
      <c r="F3" s="5"/>
    </row>
    <row r="4" spans="1:6" ht="24" customHeight="1">
      <c r="A4" s="35"/>
      <c r="B4" s="3" t="s">
        <v>421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125</v>
      </c>
      <c r="D7" s="11" t="s">
        <v>125</v>
      </c>
      <c r="E7" s="11" t="s">
        <v>125</v>
      </c>
      <c r="F7" s="11"/>
    </row>
    <row r="8" spans="1:6" ht="24" customHeight="1">
      <c r="A8" s="13" t="s">
        <v>123</v>
      </c>
      <c r="B8" s="16" t="s">
        <v>124</v>
      </c>
      <c r="C8" s="13" t="s">
        <v>422</v>
      </c>
      <c r="D8" s="13" t="s">
        <v>119</v>
      </c>
      <c r="E8" s="13" t="s">
        <v>120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129</v>
      </c>
      <c r="B10" s="30" t="s">
        <v>423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190</v>
      </c>
      <c r="C11" s="51">
        <v>85871764</v>
      </c>
      <c r="D11" s="164">
        <v>87939108</v>
      </c>
      <c r="E11" s="51">
        <v>95678590</v>
      </c>
      <c r="F11" s="13"/>
    </row>
    <row r="12" spans="1:6" ht="24" customHeight="1">
      <c r="A12" s="44">
        <v>2</v>
      </c>
      <c r="B12" s="165" t="s">
        <v>424</v>
      </c>
      <c r="C12" s="49">
        <v>6021507</v>
      </c>
      <c r="D12" s="49">
        <v>5802825</v>
      </c>
      <c r="E12" s="49">
        <v>5573529</v>
      </c>
      <c r="F12" s="13"/>
    </row>
    <row r="13" spans="1:6" ht="24" customHeight="1">
      <c r="A13" s="44">
        <v>3</v>
      </c>
      <c r="B13" s="48" t="s">
        <v>193</v>
      </c>
      <c r="C13" s="51">
        <f>+C11+C12</f>
        <v>91893271</v>
      </c>
      <c r="D13" s="51">
        <f>+D11+D12</f>
        <v>93741933</v>
      </c>
      <c r="E13" s="51">
        <f>+E11+E12</f>
        <v>101252119</v>
      </c>
      <c r="F13" s="13"/>
    </row>
    <row r="14" spans="1:6" ht="24" customHeight="1">
      <c r="A14" s="44">
        <v>4</v>
      </c>
      <c r="B14" s="166" t="s">
        <v>204</v>
      </c>
      <c r="C14" s="49">
        <v>90848846</v>
      </c>
      <c r="D14" s="49">
        <v>93504863</v>
      </c>
      <c r="E14" s="49">
        <v>100402359</v>
      </c>
      <c r="F14" s="13"/>
    </row>
    <row r="15" spans="1:6" ht="24" customHeight="1">
      <c r="A15" s="44">
        <v>5</v>
      </c>
      <c r="B15" s="48" t="s">
        <v>205</v>
      </c>
      <c r="C15" s="51">
        <f>+C13-C14</f>
        <v>1044425</v>
      </c>
      <c r="D15" s="51">
        <f>+D13-D14</f>
        <v>237070</v>
      </c>
      <c r="E15" s="51">
        <f>+E13-E14</f>
        <v>849760</v>
      </c>
      <c r="F15" s="13"/>
    </row>
    <row r="16" spans="1:6" ht="24" customHeight="1">
      <c r="A16" s="44">
        <v>6</v>
      </c>
      <c r="B16" s="166" t="s">
        <v>210</v>
      </c>
      <c r="C16" s="49">
        <v>2644052</v>
      </c>
      <c r="D16" s="49">
        <v>827321</v>
      </c>
      <c r="E16" s="49">
        <v>-669899</v>
      </c>
      <c r="F16" s="13"/>
    </row>
    <row r="17" spans="1:6" ht="24" customHeight="1">
      <c r="A17" s="44">
        <v>7</v>
      </c>
      <c r="B17" s="45" t="s">
        <v>425</v>
      </c>
      <c r="C17" s="51">
        <f>C15+C16</f>
        <v>3688477</v>
      </c>
      <c r="D17" s="51">
        <f>D15+D16</f>
        <v>1064391</v>
      </c>
      <c r="E17" s="51">
        <f>E15+E16</f>
        <v>179861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141</v>
      </c>
      <c r="B19" s="30" t="s">
        <v>426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427</v>
      </c>
      <c r="C20" s="169">
        <f>IF(+C27=0,0,+C24/+C27)</f>
        <v>0.011047753065738915</v>
      </c>
      <c r="D20" s="169">
        <f>IF(+D27=0,0,+D24/+D27)</f>
        <v>0.0025068401195170683</v>
      </c>
      <c r="E20" s="169">
        <f>IF(+E27=0,0,+E24/+E27)</f>
        <v>0.008448411657646848</v>
      </c>
      <c r="F20" s="13"/>
    </row>
    <row r="21" spans="1:6" ht="24" customHeight="1">
      <c r="A21" s="25">
        <v>2</v>
      </c>
      <c r="B21" s="48" t="s">
        <v>428</v>
      </c>
      <c r="C21" s="169">
        <f>IF(C27=0,0,+C26/C27)</f>
        <v>0.027968340080880012</v>
      </c>
      <c r="D21" s="169">
        <f>IF(D27=0,0,+D26/D27)</f>
        <v>0.008748308408988823</v>
      </c>
      <c r="E21" s="169">
        <f>IF(E27=0,0,+E26/E27)</f>
        <v>-0.006660212908404686</v>
      </c>
      <c r="F21" s="13"/>
    </row>
    <row r="22" spans="1:6" ht="24" customHeight="1">
      <c r="A22" s="25">
        <v>3</v>
      </c>
      <c r="B22" s="48" t="s">
        <v>429</v>
      </c>
      <c r="C22" s="169">
        <f>IF(C27=0,0,+C28/C27)</f>
        <v>0.03901609314661893</v>
      </c>
      <c r="D22" s="169">
        <f>IF(D27=0,0,+D28/D27)</f>
        <v>0.011255148528505893</v>
      </c>
      <c r="E22" s="169">
        <f>IF(E27=0,0,+E28/E27)</f>
        <v>0.0017881987492421622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205</v>
      </c>
      <c r="C24" s="51">
        <f>+C15</f>
        <v>1044425</v>
      </c>
      <c r="D24" s="51">
        <f>+D15</f>
        <v>237070</v>
      </c>
      <c r="E24" s="51">
        <f>+E15</f>
        <v>849760</v>
      </c>
      <c r="F24" s="13"/>
    </row>
    <row r="25" spans="1:6" ht="24" customHeight="1">
      <c r="A25" s="21">
        <v>5</v>
      </c>
      <c r="B25" s="48" t="s">
        <v>193</v>
      </c>
      <c r="C25" s="51">
        <f>+C13</f>
        <v>91893271</v>
      </c>
      <c r="D25" s="51">
        <f>+D13</f>
        <v>93741933</v>
      </c>
      <c r="E25" s="51">
        <f>+E13</f>
        <v>101252119</v>
      </c>
      <c r="F25" s="13"/>
    </row>
    <row r="26" spans="1:6" ht="24" customHeight="1">
      <c r="A26" s="21">
        <v>6</v>
      </c>
      <c r="B26" s="48" t="s">
        <v>210</v>
      </c>
      <c r="C26" s="51">
        <f>+C16</f>
        <v>2644052</v>
      </c>
      <c r="D26" s="51">
        <f>+D16</f>
        <v>827321</v>
      </c>
      <c r="E26" s="51">
        <f>+E16</f>
        <v>-669899</v>
      </c>
      <c r="F26" s="13"/>
    </row>
    <row r="27" spans="1:6" ht="24" customHeight="1">
      <c r="A27" s="21">
        <v>7</v>
      </c>
      <c r="B27" s="48" t="s">
        <v>430</v>
      </c>
      <c r="C27" s="51">
        <f>+C25+C26</f>
        <v>94537323</v>
      </c>
      <c r="D27" s="51">
        <f>+D25+D26</f>
        <v>94569254</v>
      </c>
      <c r="E27" s="51">
        <f>+E25+E26</f>
        <v>100582220</v>
      </c>
      <c r="F27" s="13"/>
    </row>
    <row r="28" spans="1:6" ht="24" customHeight="1">
      <c r="A28" s="21">
        <v>8</v>
      </c>
      <c r="B28" s="45" t="s">
        <v>425</v>
      </c>
      <c r="C28" s="51">
        <f>+C17</f>
        <v>3688477</v>
      </c>
      <c r="D28" s="51">
        <f>+D17</f>
        <v>1064391</v>
      </c>
      <c r="E28" s="51">
        <f>+E17</f>
        <v>179861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151</v>
      </c>
      <c r="B30" s="41" t="s">
        <v>431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432</v>
      </c>
      <c r="C31" s="51">
        <v>70551748</v>
      </c>
      <c r="D31" s="51">
        <v>60861612</v>
      </c>
      <c r="E31" s="51">
        <v>41545959</v>
      </c>
      <c r="F31" s="13"/>
    </row>
    <row r="32" spans="1:6" ht="24" customHeight="1">
      <c r="A32" s="25">
        <v>2</v>
      </c>
      <c r="B32" s="48" t="s">
        <v>433</v>
      </c>
      <c r="C32" s="51">
        <v>93512883</v>
      </c>
      <c r="D32" s="51">
        <v>80798341</v>
      </c>
      <c r="E32" s="51">
        <v>60028996</v>
      </c>
      <c r="F32" s="13"/>
    </row>
    <row r="33" spans="1:6" ht="24" customHeight="1">
      <c r="A33" s="25">
        <v>3</v>
      </c>
      <c r="B33" s="48" t="s">
        <v>434</v>
      </c>
      <c r="C33" s="51">
        <v>93512883</v>
      </c>
      <c r="D33" s="51">
        <f>+D32-C32</f>
        <v>-12714542</v>
      </c>
      <c r="E33" s="51">
        <f>+E32-D32</f>
        <v>-20769345</v>
      </c>
      <c r="F33" s="5"/>
    </row>
    <row r="34" spans="1:6" ht="24" customHeight="1">
      <c r="A34" s="25">
        <v>4</v>
      </c>
      <c r="B34" s="48" t="s">
        <v>435</v>
      </c>
      <c r="C34" s="171">
        <v>0</v>
      </c>
      <c r="D34" s="171">
        <f>IF(C32=0,0,+D33/C32)</f>
        <v>-0.13596567223790973</v>
      </c>
      <c r="E34" s="171">
        <f>IF(D32=0,0,+E33/D32)</f>
        <v>-0.25705162683971444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436</v>
      </c>
      <c r="B36" s="41" t="s">
        <v>437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438</v>
      </c>
      <c r="C38" s="172">
        <f>IF((C40+C41)=0,0,+C39/(C40+C41))</f>
        <v>0.5858954125676711</v>
      </c>
      <c r="D38" s="172">
        <f>IF((D40+D41)=0,0,+D39/(D40+D41))</f>
        <v>0.5788853098646572</v>
      </c>
      <c r="E38" s="172">
        <f>IF((E40+E41)=0,0,+E39/(E40+E41))</f>
        <v>0.5517664095294107</v>
      </c>
      <c r="F38" s="5"/>
    </row>
    <row r="39" spans="1:6" ht="24" customHeight="1">
      <c r="A39" s="21">
        <v>2</v>
      </c>
      <c r="B39" s="48" t="s">
        <v>439</v>
      </c>
      <c r="C39" s="51">
        <v>90848846</v>
      </c>
      <c r="D39" s="51">
        <v>93504863</v>
      </c>
      <c r="E39" s="23">
        <v>100402359</v>
      </c>
      <c r="F39" s="5"/>
    </row>
    <row r="40" spans="1:6" ht="24" customHeight="1">
      <c r="A40" s="21">
        <v>3</v>
      </c>
      <c r="B40" s="48" t="s">
        <v>440</v>
      </c>
      <c r="C40" s="51">
        <v>149038328</v>
      </c>
      <c r="D40" s="51">
        <v>155722889</v>
      </c>
      <c r="E40" s="23">
        <v>176391805</v>
      </c>
      <c r="F40" s="5"/>
    </row>
    <row r="41" spans="1:6" ht="24" customHeight="1">
      <c r="A41" s="21">
        <v>4</v>
      </c>
      <c r="B41" s="48" t="s">
        <v>441</v>
      </c>
      <c r="C41" s="51">
        <v>6021507</v>
      </c>
      <c r="D41" s="51">
        <v>5802825</v>
      </c>
      <c r="E41" s="23">
        <v>5573529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442</v>
      </c>
      <c r="C43" s="173">
        <f>IF(C38=0,0,IF((C46-C47)=0,0,((+C44-C45)/(C46-C47)/C38)))</f>
        <v>0.984949366180869</v>
      </c>
      <c r="D43" s="173">
        <f>IF(D38=0,0,IF((D46-D47)=0,0,((+D44-D45)/(D46-D47)/D38)))</f>
        <v>1.0056858946962541</v>
      </c>
      <c r="E43" s="173">
        <f>IF(E38=0,0,IF((E46-E47)=0,0,((+E44-E45)/(E46-E47)/E38)))</f>
        <v>1.0300966557307398</v>
      </c>
      <c r="F43" s="5"/>
    </row>
    <row r="44" spans="1:6" ht="24" customHeight="1">
      <c r="A44" s="21">
        <v>6</v>
      </c>
      <c r="B44" s="48" t="s">
        <v>443</v>
      </c>
      <c r="C44" s="51">
        <v>33478280</v>
      </c>
      <c r="D44" s="51">
        <v>33526616</v>
      </c>
      <c r="E44" s="23">
        <v>36229111</v>
      </c>
      <c r="F44" s="5"/>
    </row>
    <row r="45" spans="1:6" ht="24" customHeight="1">
      <c r="A45" s="21">
        <v>7</v>
      </c>
      <c r="B45" s="48" t="s">
        <v>444</v>
      </c>
      <c r="C45" s="51">
        <v>1631794</v>
      </c>
      <c r="D45" s="51">
        <v>884974</v>
      </c>
      <c r="E45" s="23">
        <v>1278927</v>
      </c>
      <c r="F45" s="5"/>
    </row>
    <row r="46" spans="1:6" ht="24" customHeight="1">
      <c r="A46" s="21">
        <v>8</v>
      </c>
      <c r="B46" s="48" t="s">
        <v>445</v>
      </c>
      <c r="C46" s="51">
        <v>59943682</v>
      </c>
      <c r="D46" s="51">
        <v>60868342</v>
      </c>
      <c r="E46" s="23">
        <v>66299978</v>
      </c>
      <c r="F46" s="5"/>
    </row>
    <row r="47" spans="1:6" ht="24" customHeight="1">
      <c r="A47" s="21">
        <v>9</v>
      </c>
      <c r="B47" s="48" t="s">
        <v>446</v>
      </c>
      <c r="C47" s="51">
        <v>4757860</v>
      </c>
      <c r="D47" s="51">
        <v>4800078</v>
      </c>
      <c r="E47" s="174">
        <v>4808316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447</v>
      </c>
      <c r="C49" s="175">
        <f>IF(C38=0,0,IF(C51=0,0,(C50/C51)/C38))</f>
        <v>1.0389748764900393</v>
      </c>
      <c r="D49" s="175">
        <f>IF(D38=0,0,IF(D51=0,0,(D50/D51)/D38))</f>
        <v>1.0238322200612577</v>
      </c>
      <c r="E49" s="175">
        <f>IF(E38=0,0,IF(E51=0,0,(E50/E51)/E38))</f>
        <v>1.032337917202152</v>
      </c>
      <c r="F49" s="7"/>
    </row>
    <row r="50" spans="1:6" ht="24" customHeight="1">
      <c r="A50" s="21">
        <v>11</v>
      </c>
      <c r="B50" s="48" t="s">
        <v>448</v>
      </c>
      <c r="C50" s="176">
        <v>40370839</v>
      </c>
      <c r="D50" s="176">
        <v>41357385</v>
      </c>
      <c r="E50" s="176">
        <v>46424315</v>
      </c>
      <c r="F50" s="11"/>
    </row>
    <row r="51" spans="1:6" ht="24" customHeight="1">
      <c r="A51" s="21">
        <v>12</v>
      </c>
      <c r="B51" s="48" t="s">
        <v>449</v>
      </c>
      <c r="C51" s="176">
        <v>66319712</v>
      </c>
      <c r="D51" s="176">
        <v>69780126</v>
      </c>
      <c r="E51" s="176">
        <v>81502019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450</v>
      </c>
      <c r="C53" s="175">
        <f>IF(C38=0,0,IF(C55=0,0,(C54/C55)/C38))</f>
        <v>0.6460055811724528</v>
      </c>
      <c r="D53" s="175">
        <f>IF(D38=0,0,IF(D55=0,0,(D54/D55)/D38))</f>
        <v>0.6637945458316243</v>
      </c>
      <c r="E53" s="175">
        <f>IF(E38=0,0,IF(E55=0,0,(E54/E55)/E38))</f>
        <v>0.7153793052593386</v>
      </c>
      <c r="F53" s="13"/>
    </row>
    <row r="54" spans="1:6" ht="24" customHeight="1">
      <c r="A54" s="21">
        <v>14</v>
      </c>
      <c r="B54" s="48" t="s">
        <v>451</v>
      </c>
      <c r="C54" s="176">
        <v>6535059</v>
      </c>
      <c r="D54" s="176">
        <v>7183390</v>
      </c>
      <c r="E54" s="176">
        <v>7895688</v>
      </c>
      <c r="F54" s="13"/>
    </row>
    <row r="55" spans="1:6" ht="24" customHeight="1">
      <c r="A55" s="21">
        <v>15</v>
      </c>
      <c r="B55" s="48" t="s">
        <v>452</v>
      </c>
      <c r="C55" s="176">
        <v>17266056</v>
      </c>
      <c r="D55" s="176">
        <v>18694043</v>
      </c>
      <c r="E55" s="176">
        <v>20003148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453</v>
      </c>
      <c r="C57" s="53">
        <f>+C60*C38</f>
        <v>2038882.639696979</v>
      </c>
      <c r="D57" s="53">
        <f>+D60*D38</f>
        <v>2056203.5150658118</v>
      </c>
      <c r="E57" s="53">
        <f>+E60*E38</f>
        <v>2033394.9536526226</v>
      </c>
      <c r="F57" s="13"/>
    </row>
    <row r="58" spans="1:6" ht="24" customHeight="1">
      <c r="A58" s="21">
        <v>17</v>
      </c>
      <c r="B58" s="48" t="s">
        <v>454</v>
      </c>
      <c r="C58" s="51">
        <v>1120766</v>
      </c>
      <c r="D58" s="51">
        <v>1110508</v>
      </c>
      <c r="E58" s="52">
        <v>1438204</v>
      </c>
      <c r="F58" s="28"/>
    </row>
    <row r="59" spans="1:6" ht="24" customHeight="1">
      <c r="A59" s="21">
        <v>18</v>
      </c>
      <c r="B59" s="48" t="s">
        <v>200</v>
      </c>
      <c r="C59" s="51">
        <v>2359177</v>
      </c>
      <c r="D59" s="51">
        <v>2441497</v>
      </c>
      <c r="E59" s="52">
        <v>2247042</v>
      </c>
      <c r="F59" s="28"/>
    </row>
    <row r="60" spans="1:6" ht="24" customHeight="1">
      <c r="A60" s="21">
        <v>19</v>
      </c>
      <c r="B60" s="48" t="s">
        <v>455</v>
      </c>
      <c r="C60" s="51">
        <v>3479943</v>
      </c>
      <c r="D60" s="51">
        <v>3552005</v>
      </c>
      <c r="E60" s="52">
        <v>3685246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456</v>
      </c>
      <c r="C62" s="178">
        <f>IF(C63=0,0,+C57/C63)</f>
        <v>0.022442581600838153</v>
      </c>
      <c r="D62" s="178">
        <f>IF(D63=0,0,+D57/D63)</f>
        <v>0.021990337711802345</v>
      </c>
      <c r="E62" s="178">
        <f>IF(E63=0,0,+E57/E63)</f>
        <v>0.020252461933216358</v>
      </c>
      <c r="F62" s="13"/>
    </row>
    <row r="63" spans="1:6" ht="24" customHeight="1">
      <c r="A63" s="21">
        <v>21</v>
      </c>
      <c r="B63" s="45" t="s">
        <v>439</v>
      </c>
      <c r="C63" s="176">
        <v>90848846</v>
      </c>
      <c r="D63" s="176">
        <v>93504863</v>
      </c>
      <c r="E63" s="176">
        <v>100402359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457</v>
      </c>
      <c r="B65" s="41" t="s">
        <v>458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459</v>
      </c>
      <c r="C67" s="179">
        <f>IF(C69=0,0,C68/C69)</f>
        <v>1.2697123097047338</v>
      </c>
      <c r="D67" s="179">
        <f>IF(D69=0,0,D68/D69)</f>
        <v>1.1556154295885712</v>
      </c>
      <c r="E67" s="179">
        <f>IF(E69=0,0,E68/E69)</f>
        <v>1.0870380519095353</v>
      </c>
      <c r="F67" s="28"/>
    </row>
    <row r="68" spans="1:6" ht="24" customHeight="1">
      <c r="A68" s="21">
        <v>2</v>
      </c>
      <c r="B68" s="48" t="s">
        <v>140</v>
      </c>
      <c r="C68" s="180">
        <v>16122845</v>
      </c>
      <c r="D68" s="180">
        <v>16860302</v>
      </c>
      <c r="E68" s="180">
        <v>17465011</v>
      </c>
      <c r="F68" s="28"/>
    </row>
    <row r="69" spans="1:6" ht="24" customHeight="1">
      <c r="A69" s="21">
        <v>3</v>
      </c>
      <c r="B69" s="48" t="s">
        <v>169</v>
      </c>
      <c r="C69" s="180">
        <v>12698030</v>
      </c>
      <c r="D69" s="180">
        <v>14589890</v>
      </c>
      <c r="E69" s="180">
        <v>16066605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460</v>
      </c>
      <c r="C71" s="181">
        <f>IF((C77/365)=0,0,+C74/(C77/365))</f>
        <v>12.223108117364802</v>
      </c>
      <c r="D71" s="181">
        <f>IF((D77/365)=0,0,+D74/(D77/365))</f>
        <v>12.16166632221763</v>
      </c>
      <c r="E71" s="181">
        <f>IF((E77/365)=0,0,+E74/(E77/365))</f>
        <v>15.452218102866722</v>
      </c>
      <c r="F71" s="28"/>
    </row>
    <row r="72" spans="1:6" ht="24" customHeight="1">
      <c r="A72" s="21">
        <v>5</v>
      </c>
      <c r="B72" s="22" t="s">
        <v>131</v>
      </c>
      <c r="C72" s="182">
        <v>2842341</v>
      </c>
      <c r="D72" s="182">
        <v>2918761</v>
      </c>
      <c r="E72" s="182">
        <v>3989039</v>
      </c>
      <c r="F72" s="28"/>
    </row>
    <row r="73" spans="1:6" ht="24" customHeight="1">
      <c r="A73" s="21">
        <v>6</v>
      </c>
      <c r="B73" s="183" t="s">
        <v>132</v>
      </c>
      <c r="C73" s="184">
        <v>0</v>
      </c>
      <c r="D73" s="184">
        <v>0</v>
      </c>
      <c r="E73" s="184">
        <v>0</v>
      </c>
      <c r="F73" s="28"/>
    </row>
    <row r="74" spans="1:6" ht="24" customHeight="1">
      <c r="A74" s="21">
        <v>7</v>
      </c>
      <c r="B74" s="48" t="s">
        <v>461</v>
      </c>
      <c r="C74" s="180">
        <f>+C72+C73</f>
        <v>2842341</v>
      </c>
      <c r="D74" s="180">
        <f>+D72+D73</f>
        <v>2918761</v>
      </c>
      <c r="E74" s="180">
        <f>+E72+E73</f>
        <v>3989039</v>
      </c>
      <c r="F74" s="28"/>
    </row>
    <row r="75" spans="1:6" ht="24" customHeight="1">
      <c r="A75" s="21">
        <v>8</v>
      </c>
      <c r="B75" s="48" t="s">
        <v>439</v>
      </c>
      <c r="C75" s="180">
        <f>+C14</f>
        <v>90848846</v>
      </c>
      <c r="D75" s="180">
        <f>+D14</f>
        <v>93504863</v>
      </c>
      <c r="E75" s="180">
        <f>+E14</f>
        <v>100402359</v>
      </c>
      <c r="F75" s="28"/>
    </row>
    <row r="76" spans="1:6" ht="24" customHeight="1">
      <c r="A76" s="21">
        <v>9</v>
      </c>
      <c r="B76" s="45" t="s">
        <v>462</v>
      </c>
      <c r="C76" s="180">
        <v>5972360</v>
      </c>
      <c r="D76" s="180">
        <v>5906031</v>
      </c>
      <c r="E76" s="180">
        <v>6176454</v>
      </c>
      <c r="F76" s="28"/>
    </row>
    <row r="77" spans="1:6" ht="24" customHeight="1">
      <c r="A77" s="21">
        <v>10</v>
      </c>
      <c r="B77" s="45" t="s">
        <v>463</v>
      </c>
      <c r="C77" s="180">
        <f>+C75-C76</f>
        <v>84876486</v>
      </c>
      <c r="D77" s="180">
        <f>+D75-D76</f>
        <v>87598832</v>
      </c>
      <c r="E77" s="180">
        <f>+E75-E76</f>
        <v>94225905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464</v>
      </c>
      <c r="C79" s="179">
        <f>IF((C84/365)=0,0,+C83/(C84/365))</f>
        <v>39.48117561670213</v>
      </c>
      <c r="D79" s="179">
        <f>IF((D84/365)=0,0,+D83/(D84/365))</f>
        <v>36.611465174288554</v>
      </c>
      <c r="E79" s="179">
        <f>IF((E84/365)=0,0,+E83/(E84/365))</f>
        <v>28.260140905086498</v>
      </c>
      <c r="F79" s="28"/>
    </row>
    <row r="80" spans="1:6" ht="24" customHeight="1">
      <c r="A80" s="21">
        <v>12</v>
      </c>
      <c r="B80" s="188" t="s">
        <v>465</v>
      </c>
      <c r="C80" s="189">
        <v>9583282</v>
      </c>
      <c r="D80" s="189">
        <v>9382010</v>
      </c>
      <c r="E80" s="189">
        <v>9671762</v>
      </c>
      <c r="F80" s="28"/>
    </row>
    <row r="81" spans="1:6" ht="24" customHeight="1">
      <c r="A81" s="21">
        <v>13</v>
      </c>
      <c r="B81" s="188" t="s">
        <v>136</v>
      </c>
      <c r="C81" s="190">
        <v>425261</v>
      </c>
      <c r="D81" s="190">
        <v>396514</v>
      </c>
      <c r="E81" s="190">
        <v>102157</v>
      </c>
      <c r="F81" s="28"/>
    </row>
    <row r="82" spans="1:6" ht="24" customHeight="1">
      <c r="A82" s="21">
        <v>14</v>
      </c>
      <c r="B82" s="188" t="s">
        <v>164</v>
      </c>
      <c r="C82" s="190">
        <v>720000</v>
      </c>
      <c r="D82" s="190">
        <v>957758</v>
      </c>
      <c r="E82" s="190">
        <v>2366000</v>
      </c>
      <c r="F82" s="28"/>
    </row>
    <row r="83" spans="1:6" ht="33.75" customHeight="1">
      <c r="A83" s="21">
        <v>15</v>
      </c>
      <c r="B83" s="45" t="s">
        <v>466</v>
      </c>
      <c r="C83" s="191">
        <f>+C80+C81-C82</f>
        <v>9288543</v>
      </c>
      <c r="D83" s="191">
        <f>+D80+D81-D82</f>
        <v>8820766</v>
      </c>
      <c r="E83" s="191">
        <f>+E80+E81-E82</f>
        <v>7407919</v>
      </c>
      <c r="F83" s="28"/>
    </row>
    <row r="84" spans="1:6" ht="24" customHeight="1">
      <c r="A84" s="21">
        <v>16</v>
      </c>
      <c r="B84" s="48" t="s">
        <v>190</v>
      </c>
      <c r="C84" s="180">
        <f>+C11</f>
        <v>85871764</v>
      </c>
      <c r="D84" s="191">
        <f>+D11</f>
        <v>87939108</v>
      </c>
      <c r="E84" s="191">
        <f>+E11</f>
        <v>95678590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467</v>
      </c>
      <c r="C86" s="179">
        <f>IF((C90/365)=0,0,+C87/(C90/365))</f>
        <v>54.606183272007755</v>
      </c>
      <c r="D86" s="179">
        <f>IF((D90/365)=0,0,+D87/(D90/365))</f>
        <v>60.79201889358525</v>
      </c>
      <c r="E86" s="179">
        <f>IF((E90/365)=0,0,+E87/(E90/365))</f>
        <v>62.23671531730048</v>
      </c>
      <c r="F86" s="13"/>
    </row>
    <row r="87" spans="1:6" ht="24" customHeight="1">
      <c r="A87" s="21">
        <v>18</v>
      </c>
      <c r="B87" s="48" t="s">
        <v>169</v>
      </c>
      <c r="C87" s="51">
        <f>+C69</f>
        <v>12698030</v>
      </c>
      <c r="D87" s="51">
        <f>+D69</f>
        <v>14589890</v>
      </c>
      <c r="E87" s="51">
        <f>+E69</f>
        <v>16066605</v>
      </c>
      <c r="F87" s="28"/>
    </row>
    <row r="88" spans="1:6" ht="24" customHeight="1">
      <c r="A88" s="21">
        <v>19</v>
      </c>
      <c r="B88" s="48" t="s">
        <v>439</v>
      </c>
      <c r="C88" s="51">
        <f aca="true" t="shared" si="0" ref="C88:E89">+C75</f>
        <v>90848846</v>
      </c>
      <c r="D88" s="51">
        <f t="shared" si="0"/>
        <v>93504863</v>
      </c>
      <c r="E88" s="51">
        <f t="shared" si="0"/>
        <v>100402359</v>
      </c>
      <c r="F88" s="28"/>
    </row>
    <row r="89" spans="1:6" ht="24" customHeight="1">
      <c r="A89" s="21">
        <v>20</v>
      </c>
      <c r="B89" s="48" t="s">
        <v>462</v>
      </c>
      <c r="C89" s="52">
        <f t="shared" si="0"/>
        <v>5972360</v>
      </c>
      <c r="D89" s="52">
        <f t="shared" si="0"/>
        <v>5906031</v>
      </c>
      <c r="E89" s="52">
        <f t="shared" si="0"/>
        <v>6176454</v>
      </c>
      <c r="F89" s="28"/>
    </row>
    <row r="90" spans="1:6" ht="24" customHeight="1">
      <c r="A90" s="21">
        <v>21</v>
      </c>
      <c r="B90" s="48" t="s">
        <v>468</v>
      </c>
      <c r="C90" s="51">
        <f>+C88-C89</f>
        <v>84876486</v>
      </c>
      <c r="D90" s="51">
        <f>+D88-D89</f>
        <v>87598832</v>
      </c>
      <c r="E90" s="51">
        <f>+E88-E89</f>
        <v>94225905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469</v>
      </c>
      <c r="B92" s="41" t="s">
        <v>470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471</v>
      </c>
      <c r="C94" s="192">
        <f>IF(C96=0,0,(C95/C96)*100)</f>
        <v>74.72052699687428</v>
      </c>
      <c r="D94" s="192">
        <f>IF(D96=0,0,(D95/D96)*100)</f>
        <v>70.14556240988811</v>
      </c>
      <c r="E94" s="192">
        <f>IF(E96=0,0,(E95/E96)*100)</f>
        <v>52.62313765941623</v>
      </c>
      <c r="F94" s="28"/>
    </row>
    <row r="95" spans="1:6" ht="24" customHeight="1">
      <c r="A95" s="21">
        <v>2</v>
      </c>
      <c r="B95" s="48" t="s">
        <v>182</v>
      </c>
      <c r="C95" s="51">
        <f>+C32</f>
        <v>93512883</v>
      </c>
      <c r="D95" s="51">
        <f>+D32</f>
        <v>80798341</v>
      </c>
      <c r="E95" s="51">
        <f>+E32</f>
        <v>60028996</v>
      </c>
      <c r="F95" s="28"/>
    </row>
    <row r="96" spans="1:6" ht="24" customHeight="1">
      <c r="A96" s="21">
        <v>3</v>
      </c>
      <c r="B96" s="48" t="s">
        <v>158</v>
      </c>
      <c r="C96" s="51">
        <v>125150192</v>
      </c>
      <c r="D96" s="51">
        <v>115186675</v>
      </c>
      <c r="E96" s="51">
        <v>114073388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472</v>
      </c>
      <c r="C98" s="192">
        <f>IF(C104=0,0,(C101/C104)*100)</f>
        <v>41.965749532400444</v>
      </c>
      <c r="D98" s="192">
        <f>IF(D104=0,0,(D101/D104)*100)</f>
        <v>29.730643878135798</v>
      </c>
      <c r="E98" s="192">
        <f>IF(E104=0,0,(E101/E104)*100)</f>
        <v>27.045163610450828</v>
      </c>
      <c r="F98" s="28"/>
    </row>
    <row r="99" spans="1:6" ht="24" customHeight="1">
      <c r="A99" s="21">
        <v>5</v>
      </c>
      <c r="B99" s="48" t="s">
        <v>473</v>
      </c>
      <c r="C99" s="51">
        <f>+C28</f>
        <v>3688477</v>
      </c>
      <c r="D99" s="51">
        <f>+D28</f>
        <v>1064391</v>
      </c>
      <c r="E99" s="51">
        <f>+E28</f>
        <v>179861</v>
      </c>
      <c r="F99" s="28"/>
    </row>
    <row r="100" spans="1:6" ht="24" customHeight="1">
      <c r="A100" s="21">
        <v>6</v>
      </c>
      <c r="B100" s="48" t="s">
        <v>462</v>
      </c>
      <c r="C100" s="52">
        <f>+C76</f>
        <v>5972360</v>
      </c>
      <c r="D100" s="52">
        <f>+D76</f>
        <v>5906031</v>
      </c>
      <c r="E100" s="52">
        <f>+E76</f>
        <v>6176454</v>
      </c>
      <c r="F100" s="28"/>
    </row>
    <row r="101" spans="1:6" ht="24" customHeight="1">
      <c r="A101" s="21">
        <v>7</v>
      </c>
      <c r="B101" s="48" t="s">
        <v>474</v>
      </c>
      <c r="C101" s="51">
        <f>+C99+C100</f>
        <v>9660837</v>
      </c>
      <c r="D101" s="51">
        <f>+D99+D100</f>
        <v>6970422</v>
      </c>
      <c r="E101" s="51">
        <f>+E99+E100</f>
        <v>6356315</v>
      </c>
      <c r="F101" s="28"/>
    </row>
    <row r="102" spans="1:6" ht="24" customHeight="1">
      <c r="A102" s="21">
        <v>8</v>
      </c>
      <c r="B102" s="48" t="s">
        <v>169</v>
      </c>
      <c r="C102" s="180">
        <f>+C69</f>
        <v>12698030</v>
      </c>
      <c r="D102" s="180">
        <f>+D69</f>
        <v>14589890</v>
      </c>
      <c r="E102" s="180">
        <f>+E69</f>
        <v>16066605</v>
      </c>
      <c r="F102" s="28"/>
    </row>
    <row r="103" spans="1:6" ht="24" customHeight="1">
      <c r="A103" s="21">
        <v>9</v>
      </c>
      <c r="B103" s="48" t="s">
        <v>173</v>
      </c>
      <c r="C103" s="194">
        <v>10322736</v>
      </c>
      <c r="D103" s="194">
        <v>8855354</v>
      </c>
      <c r="E103" s="194">
        <v>7435989</v>
      </c>
      <c r="F103" s="28"/>
    </row>
    <row r="104" spans="1:6" ht="24" customHeight="1">
      <c r="A104" s="21">
        <v>10</v>
      </c>
      <c r="B104" s="195" t="s">
        <v>475</v>
      </c>
      <c r="C104" s="180">
        <f>+C102+C103</f>
        <v>23020766</v>
      </c>
      <c r="D104" s="180">
        <f>+D102+D103</f>
        <v>23445244</v>
      </c>
      <c r="E104" s="180">
        <f>+E102+E103</f>
        <v>23502594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476</v>
      </c>
      <c r="C106" s="197">
        <f>IF(C109=0,0,(C107/C109)*100)</f>
        <v>9.941420968463625</v>
      </c>
      <c r="D106" s="197">
        <f>IF(D109=0,0,(D107/D109)*100)</f>
        <v>9.877288381700275</v>
      </c>
      <c r="E106" s="197">
        <f>IF(E109=0,0,(E107/E109)*100)</f>
        <v>11.021997559178292</v>
      </c>
      <c r="F106" s="28"/>
    </row>
    <row r="107" spans="1:6" ht="24" customHeight="1">
      <c r="A107" s="17">
        <v>12</v>
      </c>
      <c r="B107" s="48" t="s">
        <v>173</v>
      </c>
      <c r="C107" s="180">
        <f>+C103</f>
        <v>10322736</v>
      </c>
      <c r="D107" s="180">
        <f>+D103</f>
        <v>8855354</v>
      </c>
      <c r="E107" s="180">
        <f>+E103</f>
        <v>7435989</v>
      </c>
      <c r="F107" s="28"/>
    </row>
    <row r="108" spans="1:6" ht="24" customHeight="1">
      <c r="A108" s="17">
        <v>13</v>
      </c>
      <c r="B108" s="48" t="s">
        <v>182</v>
      </c>
      <c r="C108" s="180">
        <f>+C32</f>
        <v>93512883</v>
      </c>
      <c r="D108" s="180">
        <f>+D32</f>
        <v>80798341</v>
      </c>
      <c r="E108" s="180">
        <f>+E32</f>
        <v>60028996</v>
      </c>
      <c r="F108" s="28"/>
    </row>
    <row r="109" spans="1:6" ht="24" customHeight="1">
      <c r="A109" s="17">
        <v>14</v>
      </c>
      <c r="B109" s="48" t="s">
        <v>477</v>
      </c>
      <c r="C109" s="180">
        <f>+C107+C108</f>
        <v>103835619</v>
      </c>
      <c r="D109" s="180">
        <f>+D107+D108</f>
        <v>89653695</v>
      </c>
      <c r="E109" s="180">
        <f>+E107+E108</f>
        <v>67464985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478</v>
      </c>
      <c r="C111" s="197">
        <f>IF((+C113+C115)=0,0,((+C112+C113+C114)/(+C113+C115)))</f>
        <v>14.827982491798398</v>
      </c>
      <c r="D111" s="197">
        <f>IF((+D113+D115)=0,0,((+D112+D113+D114)/(+D113+D115)))</f>
        <v>14.178419706311079</v>
      </c>
      <c r="E111" s="197">
        <f>IF((+E113+E115)=0,0,((+E112+E113+E114)/(+E113+E115)))</f>
        <v>3.5599308552796165</v>
      </c>
    </row>
    <row r="112" spans="1:6" ht="24" customHeight="1">
      <c r="A112" s="17">
        <v>16</v>
      </c>
      <c r="B112" s="48" t="s">
        <v>479</v>
      </c>
      <c r="C112" s="180">
        <f>+C17</f>
        <v>3688477</v>
      </c>
      <c r="D112" s="180">
        <f>+D17</f>
        <v>1064391</v>
      </c>
      <c r="E112" s="180">
        <f>+E17</f>
        <v>179861</v>
      </c>
      <c r="F112" s="28"/>
    </row>
    <row r="113" spans="1:6" ht="24" customHeight="1">
      <c r="A113" s="17">
        <v>17</v>
      </c>
      <c r="B113" s="48" t="s">
        <v>301</v>
      </c>
      <c r="C113" s="180">
        <v>698644</v>
      </c>
      <c r="D113" s="180">
        <v>528927</v>
      </c>
      <c r="E113" s="180">
        <v>417080</v>
      </c>
      <c r="F113" s="28"/>
    </row>
    <row r="114" spans="1:6" ht="24" customHeight="1">
      <c r="A114" s="17">
        <v>18</v>
      </c>
      <c r="B114" s="48" t="s">
        <v>480</v>
      </c>
      <c r="C114" s="180">
        <v>5972360</v>
      </c>
      <c r="D114" s="180">
        <v>5906031</v>
      </c>
      <c r="E114" s="180">
        <v>6176454</v>
      </c>
      <c r="F114" s="28"/>
    </row>
    <row r="115" spans="1:6" ht="24" customHeight="1">
      <c r="A115" s="17">
        <v>19</v>
      </c>
      <c r="B115" s="48" t="s">
        <v>217</v>
      </c>
      <c r="C115" s="180">
        <v>0</v>
      </c>
      <c r="D115" s="180">
        <v>0</v>
      </c>
      <c r="E115" s="180">
        <v>1485596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481</v>
      </c>
      <c r="B117" s="30" t="s">
        <v>482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483</v>
      </c>
      <c r="C119" s="197">
        <f>IF(+C121=0,0,(+C120)/(+C121))</f>
        <v>13.575936145845194</v>
      </c>
      <c r="D119" s="197">
        <f>IF(+D121=0,0,(+D120)/(+D121))</f>
        <v>14.625288963095521</v>
      </c>
      <c r="E119" s="197">
        <f>IF(+E121=0,0,(+E120)/(+E121))</f>
        <v>14.832736550778165</v>
      </c>
    </row>
    <row r="120" spans="1:6" ht="24" customHeight="1">
      <c r="A120" s="17">
        <v>21</v>
      </c>
      <c r="B120" s="48" t="s">
        <v>484</v>
      </c>
      <c r="C120" s="180">
        <v>81080378</v>
      </c>
      <c r="D120" s="180">
        <v>86377410</v>
      </c>
      <c r="E120" s="180">
        <v>91613715</v>
      </c>
      <c r="F120" s="28"/>
    </row>
    <row r="121" spans="1:6" ht="24" customHeight="1">
      <c r="A121" s="17">
        <v>22</v>
      </c>
      <c r="B121" s="48" t="s">
        <v>480</v>
      </c>
      <c r="C121" s="180">
        <v>5972360</v>
      </c>
      <c r="D121" s="180">
        <v>5906031</v>
      </c>
      <c r="E121" s="180">
        <v>6176454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485</v>
      </c>
      <c r="B123" s="30" t="s">
        <v>486</v>
      </c>
      <c r="C123" s="27"/>
      <c r="D123" s="27"/>
      <c r="E123" s="53"/>
    </row>
    <row r="124" spans="1:5" ht="24" customHeight="1">
      <c r="A124" s="44">
        <v>1</v>
      </c>
      <c r="B124" s="48" t="s">
        <v>487</v>
      </c>
      <c r="C124" s="198">
        <v>27487</v>
      </c>
      <c r="D124" s="198">
        <v>27085</v>
      </c>
      <c r="E124" s="198">
        <v>28581</v>
      </c>
    </row>
    <row r="125" spans="1:5" ht="24" customHeight="1">
      <c r="A125" s="44">
        <v>2</v>
      </c>
      <c r="B125" s="48" t="s">
        <v>488</v>
      </c>
      <c r="C125" s="198">
        <v>6145</v>
      </c>
      <c r="D125" s="198">
        <v>6084</v>
      </c>
      <c r="E125" s="198">
        <v>6320</v>
      </c>
    </row>
    <row r="126" spans="1:5" ht="24" customHeight="1">
      <c r="A126" s="44">
        <v>3</v>
      </c>
      <c r="B126" s="48" t="s">
        <v>489</v>
      </c>
      <c r="C126" s="199">
        <f>IF(C125=0,0,C124/C125)</f>
        <v>4.47306753458096</v>
      </c>
      <c r="D126" s="199">
        <f>IF(D125=0,0,D124/D125)</f>
        <v>4.451840894148586</v>
      </c>
      <c r="E126" s="199">
        <f>IF(E125=0,0,E124/E125)</f>
        <v>4.522310126582278</v>
      </c>
    </row>
    <row r="127" spans="1:5" ht="24" customHeight="1">
      <c r="A127" s="44">
        <v>4</v>
      </c>
      <c r="B127" s="48" t="s">
        <v>490</v>
      </c>
      <c r="C127" s="198">
        <v>82</v>
      </c>
      <c r="D127" s="198">
        <v>78</v>
      </c>
      <c r="E127" s="198">
        <v>81</v>
      </c>
    </row>
    <row r="128" spans="1:8" ht="24" customHeight="1">
      <c r="A128" s="44">
        <v>5</v>
      </c>
      <c r="B128" s="48" t="s">
        <v>491</v>
      </c>
      <c r="C128" s="198">
        <v>0</v>
      </c>
      <c r="D128" s="198">
        <v>0</v>
      </c>
      <c r="E128" s="198">
        <v>122</v>
      </c>
      <c r="G128" s="6"/>
      <c r="H128" s="12"/>
    </row>
    <row r="129" spans="1:8" ht="24" customHeight="1">
      <c r="A129" s="44">
        <v>6</v>
      </c>
      <c r="B129" s="48" t="s">
        <v>492</v>
      </c>
      <c r="C129" s="198">
        <v>122</v>
      </c>
      <c r="D129" s="198">
        <v>122</v>
      </c>
      <c r="E129" s="198">
        <v>122</v>
      </c>
      <c r="G129" s="6"/>
      <c r="H129" s="12"/>
    </row>
    <row r="130" spans="1:5" ht="24" customHeight="1">
      <c r="A130" s="44">
        <v>6</v>
      </c>
      <c r="B130" s="48" t="s">
        <v>493</v>
      </c>
      <c r="C130" s="171">
        <v>0.9183</v>
      </c>
      <c r="D130" s="171">
        <v>0.9513</v>
      </c>
      <c r="E130" s="171">
        <v>0.9667</v>
      </c>
    </row>
    <row r="131" spans="1:5" ht="24" customHeight="1">
      <c r="A131" s="44">
        <v>7</v>
      </c>
      <c r="B131" s="48" t="s">
        <v>494</v>
      </c>
      <c r="C131" s="171">
        <v>0.6172</v>
      </c>
      <c r="D131" s="171">
        <v>0.6082</v>
      </c>
      <c r="E131" s="171">
        <v>0.6418</v>
      </c>
    </row>
    <row r="132" spans="1:5" ht="24" customHeight="1">
      <c r="A132" s="44">
        <v>8</v>
      </c>
      <c r="B132" s="48" t="s">
        <v>495</v>
      </c>
      <c r="C132" s="199">
        <v>655</v>
      </c>
      <c r="D132" s="199">
        <v>672.9</v>
      </c>
      <c r="E132" s="199">
        <v>684.8</v>
      </c>
    </row>
    <row r="133" ht="24" customHeight="1">
      <c r="B133" s="55"/>
    </row>
    <row r="134" spans="1:6" ht="19.5" customHeight="1">
      <c r="A134" s="200" t="s">
        <v>127</v>
      </c>
      <c r="B134" s="30" t="s">
        <v>496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497</v>
      </c>
      <c r="C135" s="203">
        <f>IF(C149=0,0,C143/C149)</f>
        <v>0.37027939551227385</v>
      </c>
      <c r="D135" s="203">
        <f>IF(D149=0,0,D143/D149)</f>
        <v>0.3600515271714488</v>
      </c>
      <c r="E135" s="203">
        <f>IF(E149=0,0,E143/E149)</f>
        <v>0.3486083834790397</v>
      </c>
      <c r="G135" s="6"/>
    </row>
    <row r="136" spans="1:5" ht="19.5" customHeight="1">
      <c r="A136" s="202">
        <v>2</v>
      </c>
      <c r="B136" s="195" t="s">
        <v>498</v>
      </c>
      <c r="C136" s="203">
        <f>IF(C149=0,0,C144/C149)</f>
        <v>0.4449842727704245</v>
      </c>
      <c r="D136" s="203">
        <f>IF(D149=0,0,D144/D149)</f>
        <v>0.44810449156257304</v>
      </c>
      <c r="E136" s="203">
        <f>IF(E149=0,0,E144/E149)</f>
        <v>0.4620510516347401</v>
      </c>
    </row>
    <row r="137" spans="1:7" ht="19.5" customHeight="1">
      <c r="A137" s="202">
        <v>3</v>
      </c>
      <c r="B137" s="195" t="s">
        <v>499</v>
      </c>
      <c r="C137" s="203">
        <f>IF(C149=0,0,C145/C149)</f>
        <v>0.11584976986590993</v>
      </c>
      <c r="D137" s="203">
        <f>IF(D149=0,0,D145/D149)</f>
        <v>0.12004685451218414</v>
      </c>
      <c r="E137" s="203">
        <f>IF(E149=0,0,E145/E149)</f>
        <v>0.11340179891010242</v>
      </c>
      <c r="G137" s="6"/>
    </row>
    <row r="138" spans="1:7" ht="19.5" customHeight="1">
      <c r="A138" s="202">
        <v>4</v>
      </c>
      <c r="B138" s="195" t="s">
        <v>500</v>
      </c>
      <c r="C138" s="203">
        <f>IF(C149=0,0,C146/C149)</f>
        <v>0.03495233789793992</v>
      </c>
      <c r="D138" s="203">
        <f>IF(D149=0,0,D146/D149)</f>
        <v>0.03838925053593117</v>
      </c>
      <c r="E138" s="203">
        <f>IF(E149=0,0,E146/E149)</f>
        <v>0.0447122642687397</v>
      </c>
      <c r="G138" s="6"/>
    </row>
    <row r="139" spans="1:5" ht="19.5" customHeight="1">
      <c r="A139" s="202">
        <v>5</v>
      </c>
      <c r="B139" s="195" t="s">
        <v>501</v>
      </c>
      <c r="C139" s="203">
        <f>IF(C149=0,0,C147/C149)</f>
        <v>0.03192373441011764</v>
      </c>
      <c r="D139" s="203">
        <f>IF(D149=0,0,D147/D149)</f>
        <v>0.030824485923838723</v>
      </c>
      <c r="E139" s="203">
        <f>IF(E149=0,0,E147/E149)</f>
        <v>0.02725929359359977</v>
      </c>
    </row>
    <row r="140" spans="1:5" ht="19.5" customHeight="1">
      <c r="A140" s="202">
        <v>6</v>
      </c>
      <c r="B140" s="195" t="s">
        <v>502</v>
      </c>
      <c r="C140" s="203">
        <f>IF(C149=0,0,C148/C149)</f>
        <v>0.0020104895433341145</v>
      </c>
      <c r="D140" s="203">
        <f>IF(D149=0,0,D148/D149)</f>
        <v>0.0025833902940241497</v>
      </c>
      <c r="E140" s="203">
        <f>IF(E149=0,0,E148/E149)</f>
        <v>0.003967208113778302</v>
      </c>
    </row>
    <row r="141" spans="1:5" ht="19.5" customHeight="1">
      <c r="A141" s="202">
        <v>7</v>
      </c>
      <c r="B141" s="195" t="s">
        <v>503</v>
      </c>
      <c r="C141" s="203">
        <f>SUM(C135:C140)</f>
        <v>1</v>
      </c>
      <c r="D141" s="203">
        <f>SUM(D135:D140)</f>
        <v>0.9999999999999998</v>
      </c>
      <c r="E141" s="203">
        <f>SUM(E135:E140)</f>
        <v>1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504</v>
      </c>
      <c r="C143" s="204">
        <f>+C46-C147</f>
        <v>55185822</v>
      </c>
      <c r="D143" s="205">
        <f>+D46-D147</f>
        <v>56068264</v>
      </c>
      <c r="E143" s="205">
        <f>+E46-E147</f>
        <v>61491662</v>
      </c>
    </row>
    <row r="144" spans="1:5" ht="19.5" customHeight="1">
      <c r="A144" s="202">
        <v>9</v>
      </c>
      <c r="B144" s="201" t="s">
        <v>505</v>
      </c>
      <c r="C144" s="206">
        <f>+C51</f>
        <v>66319712</v>
      </c>
      <c r="D144" s="205">
        <f>+D51</f>
        <v>69780126</v>
      </c>
      <c r="E144" s="205">
        <f>+E51</f>
        <v>81502019</v>
      </c>
    </row>
    <row r="145" spans="1:5" ht="19.5" customHeight="1">
      <c r="A145" s="202">
        <v>10</v>
      </c>
      <c r="B145" s="201" t="s">
        <v>506</v>
      </c>
      <c r="C145" s="206">
        <f>+C55</f>
        <v>17266056</v>
      </c>
      <c r="D145" s="205">
        <f>+D55</f>
        <v>18694043</v>
      </c>
      <c r="E145" s="205">
        <f>+E55</f>
        <v>20003148</v>
      </c>
    </row>
    <row r="146" spans="1:5" ht="19.5" customHeight="1">
      <c r="A146" s="202">
        <v>11</v>
      </c>
      <c r="B146" s="201" t="s">
        <v>507</v>
      </c>
      <c r="C146" s="204">
        <v>5209238</v>
      </c>
      <c r="D146" s="205">
        <v>5978085</v>
      </c>
      <c r="E146" s="205">
        <v>7886877</v>
      </c>
    </row>
    <row r="147" spans="1:5" ht="19.5" customHeight="1">
      <c r="A147" s="202">
        <v>12</v>
      </c>
      <c r="B147" s="201" t="s">
        <v>508</v>
      </c>
      <c r="C147" s="206">
        <f>+C47</f>
        <v>4757860</v>
      </c>
      <c r="D147" s="205">
        <f>+D47</f>
        <v>4800078</v>
      </c>
      <c r="E147" s="205">
        <f>+E47</f>
        <v>4808316</v>
      </c>
    </row>
    <row r="148" spans="1:5" ht="19.5" customHeight="1">
      <c r="A148" s="202">
        <v>13</v>
      </c>
      <c r="B148" s="201" t="s">
        <v>509</v>
      </c>
      <c r="C148" s="206">
        <v>299640</v>
      </c>
      <c r="D148" s="205">
        <v>402293</v>
      </c>
      <c r="E148" s="205">
        <v>699783</v>
      </c>
    </row>
    <row r="149" spans="1:5" ht="19.5" customHeight="1">
      <c r="A149" s="202">
        <v>14</v>
      </c>
      <c r="B149" s="201" t="s">
        <v>510</v>
      </c>
      <c r="C149" s="204">
        <f>SUM(C143:C148)</f>
        <v>149038328</v>
      </c>
      <c r="D149" s="205">
        <f>SUM(D143:D148)</f>
        <v>155722889</v>
      </c>
      <c r="E149" s="205">
        <f>SUM(E143:E148)</f>
        <v>176391805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511</v>
      </c>
      <c r="B151" s="30" t="s">
        <v>512</v>
      </c>
      <c r="C151" s="201"/>
      <c r="D151" s="201"/>
      <c r="E151" s="201"/>
    </row>
    <row r="152" spans="1:5" ht="19.5" customHeight="1">
      <c r="A152" s="202">
        <v>1</v>
      </c>
      <c r="B152" s="195" t="s">
        <v>513</v>
      </c>
      <c r="C152" s="203">
        <f>IF(C166=0,0,C160/C166)</f>
        <v>0.38851819499099527</v>
      </c>
      <c r="D152" s="203">
        <f>IF(D166=0,0,D160/D166)</f>
        <v>0.38935169988496215</v>
      </c>
      <c r="E152" s="203">
        <f>IF(E166=0,0,E160/E166)</f>
        <v>0.3766618648908179</v>
      </c>
    </row>
    <row r="153" spans="1:5" ht="19.5" customHeight="1">
      <c r="A153" s="202">
        <v>2</v>
      </c>
      <c r="B153" s="195" t="s">
        <v>514</v>
      </c>
      <c r="C153" s="203">
        <f>IF(C166=0,0,C161/C166)</f>
        <v>0.4925129101701229</v>
      </c>
      <c r="D153" s="203">
        <f>IF(D166=0,0,D161/D166)</f>
        <v>0.4933136682445949</v>
      </c>
      <c r="E153" s="203">
        <f>IF(E166=0,0,E161/E166)</f>
        <v>0.5003197998665406</v>
      </c>
    </row>
    <row r="154" spans="1:5" ht="19.5" customHeight="1">
      <c r="A154" s="202">
        <v>3</v>
      </c>
      <c r="B154" s="195" t="s">
        <v>515</v>
      </c>
      <c r="C154" s="203">
        <f>IF(C166=0,0,C162/C166)</f>
        <v>0.07972588645540543</v>
      </c>
      <c r="D154" s="203">
        <f>IF(D166=0,0,D162/D166)</f>
        <v>0.08568395877378467</v>
      </c>
      <c r="E154" s="203">
        <f>IF(E166=0,0,E162/E166)</f>
        <v>0.0850926726645002</v>
      </c>
    </row>
    <row r="155" spans="1:7" ht="19.5" customHeight="1">
      <c r="A155" s="202">
        <v>4</v>
      </c>
      <c r="B155" s="195" t="s">
        <v>516</v>
      </c>
      <c r="C155" s="203">
        <f>IF(C166=0,0,C163/C166)</f>
        <v>0.0172249425021122</v>
      </c>
      <c r="D155" s="203">
        <f>IF(D166=0,0,D163/D166)</f>
        <v>0.018167722676349585</v>
      </c>
      <c r="E155" s="203">
        <f>IF(E166=0,0,E163/E166)</f>
        <v>0.020685751184064557</v>
      </c>
      <c r="G155" s="6"/>
    </row>
    <row r="156" spans="1:5" ht="19.5" customHeight="1">
      <c r="A156" s="202">
        <v>5</v>
      </c>
      <c r="B156" s="195" t="s">
        <v>517</v>
      </c>
      <c r="C156" s="203">
        <f>IF(C166=0,0,C164/C166)</f>
        <v>0.019907429016725302</v>
      </c>
      <c r="D156" s="203">
        <f>IF(D166=0,0,D164/D166)</f>
        <v>0.01055602935826557</v>
      </c>
      <c r="E156" s="203">
        <f>IF(E166=0,0,E164/E166)</f>
        <v>0.013783132840708909</v>
      </c>
    </row>
    <row r="157" spans="1:5" ht="19.5" customHeight="1">
      <c r="A157" s="202">
        <v>6</v>
      </c>
      <c r="B157" s="195" t="s">
        <v>518</v>
      </c>
      <c r="C157" s="203">
        <f>IF(C166=0,0,C165/C166)</f>
        <v>0.0021106368646389155</v>
      </c>
      <c r="D157" s="203">
        <f>IF(D166=0,0,D165/D166)</f>
        <v>0.002926921062043138</v>
      </c>
      <c r="E157" s="203">
        <f>IF(E166=0,0,E165/E166)</f>
        <v>0.003456778553367834</v>
      </c>
    </row>
    <row r="158" spans="1:5" ht="19.5" customHeight="1">
      <c r="A158" s="202">
        <v>7</v>
      </c>
      <c r="B158" s="195" t="s">
        <v>519</v>
      </c>
      <c r="C158" s="203">
        <f>SUM(C152:C157)</f>
        <v>1</v>
      </c>
      <c r="D158" s="203">
        <f>SUM(D152:D157)</f>
        <v>1</v>
      </c>
      <c r="E158" s="203">
        <f>SUM(E152:E157)</f>
        <v>0.9999999999999999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520</v>
      </c>
      <c r="C160" s="207">
        <f>+C44-C164</f>
        <v>31846486</v>
      </c>
      <c r="D160" s="208">
        <f>+D44-D164</f>
        <v>32641642</v>
      </c>
      <c r="E160" s="208">
        <f>+E44-E164</f>
        <v>34950184</v>
      </c>
    </row>
    <row r="161" spans="1:5" ht="19.5" customHeight="1">
      <c r="A161" s="202">
        <v>9</v>
      </c>
      <c r="B161" s="201" t="s">
        <v>521</v>
      </c>
      <c r="C161" s="209">
        <f>+C50</f>
        <v>40370839</v>
      </c>
      <c r="D161" s="208">
        <f>+D50</f>
        <v>41357385</v>
      </c>
      <c r="E161" s="208">
        <f>+E50</f>
        <v>46424315</v>
      </c>
    </row>
    <row r="162" spans="1:5" ht="19.5" customHeight="1">
      <c r="A162" s="202">
        <v>10</v>
      </c>
      <c r="B162" s="201" t="s">
        <v>522</v>
      </c>
      <c r="C162" s="209">
        <f>+C54</f>
        <v>6535059</v>
      </c>
      <c r="D162" s="208">
        <f>+D54</f>
        <v>7183390</v>
      </c>
      <c r="E162" s="208">
        <f>+E54</f>
        <v>7895688</v>
      </c>
    </row>
    <row r="163" spans="1:5" ht="19.5" customHeight="1">
      <c r="A163" s="202">
        <v>11</v>
      </c>
      <c r="B163" s="201" t="s">
        <v>523</v>
      </c>
      <c r="C163" s="207">
        <v>1411913</v>
      </c>
      <c r="D163" s="208">
        <v>1523107</v>
      </c>
      <c r="E163" s="208">
        <v>1919416</v>
      </c>
    </row>
    <row r="164" spans="1:5" ht="19.5" customHeight="1">
      <c r="A164" s="202">
        <v>12</v>
      </c>
      <c r="B164" s="201" t="s">
        <v>524</v>
      </c>
      <c r="C164" s="209">
        <f>+C45</f>
        <v>1631794</v>
      </c>
      <c r="D164" s="208">
        <f>+D45</f>
        <v>884974</v>
      </c>
      <c r="E164" s="208">
        <f>+E45</f>
        <v>1278927</v>
      </c>
    </row>
    <row r="165" spans="1:5" ht="19.5" customHeight="1">
      <c r="A165" s="202">
        <v>13</v>
      </c>
      <c r="B165" s="201" t="s">
        <v>525</v>
      </c>
      <c r="C165" s="209">
        <v>173007</v>
      </c>
      <c r="D165" s="208">
        <v>245381</v>
      </c>
      <c r="E165" s="208">
        <v>320752</v>
      </c>
    </row>
    <row r="166" spans="1:5" ht="19.5" customHeight="1">
      <c r="A166" s="202">
        <v>14</v>
      </c>
      <c r="B166" s="201" t="s">
        <v>526</v>
      </c>
      <c r="C166" s="207">
        <f>SUM(C160:C165)</f>
        <v>81969098</v>
      </c>
      <c r="D166" s="208">
        <f>SUM(D160:D165)</f>
        <v>83835879</v>
      </c>
      <c r="E166" s="208">
        <f>SUM(E160:E165)</f>
        <v>92789282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527</v>
      </c>
      <c r="B168" s="30" t="s">
        <v>488</v>
      </c>
      <c r="C168" s="201"/>
      <c r="D168" s="201"/>
      <c r="E168" s="201"/>
    </row>
    <row r="169" spans="1:5" ht="19.5" customHeight="1">
      <c r="A169" s="202">
        <v>1</v>
      </c>
      <c r="B169" s="201" t="s">
        <v>528</v>
      </c>
      <c r="C169" s="198">
        <v>2066</v>
      </c>
      <c r="D169" s="198">
        <v>2016</v>
      </c>
      <c r="E169" s="198">
        <v>1896</v>
      </c>
    </row>
    <row r="170" spans="1:5" ht="19.5" customHeight="1">
      <c r="A170" s="202">
        <v>2</v>
      </c>
      <c r="B170" s="201" t="s">
        <v>529</v>
      </c>
      <c r="C170" s="198">
        <v>3112</v>
      </c>
      <c r="D170" s="198">
        <v>3072</v>
      </c>
      <c r="E170" s="198">
        <v>3405</v>
      </c>
    </row>
    <row r="171" spans="1:5" ht="19.5" customHeight="1">
      <c r="A171" s="202">
        <v>3</v>
      </c>
      <c r="B171" s="201" t="s">
        <v>530</v>
      </c>
      <c r="C171" s="198">
        <v>953</v>
      </c>
      <c r="D171" s="198">
        <v>981</v>
      </c>
      <c r="E171" s="198">
        <v>994</v>
      </c>
    </row>
    <row r="172" spans="1:5" ht="19.5" customHeight="1">
      <c r="A172" s="202">
        <v>4</v>
      </c>
      <c r="B172" s="201" t="s">
        <v>531</v>
      </c>
      <c r="C172" s="198">
        <v>763</v>
      </c>
      <c r="D172" s="198">
        <v>771</v>
      </c>
      <c r="E172" s="198">
        <v>735</v>
      </c>
    </row>
    <row r="173" spans="1:5" ht="19.5" customHeight="1">
      <c r="A173" s="202">
        <v>5</v>
      </c>
      <c r="B173" s="201" t="s">
        <v>532</v>
      </c>
      <c r="C173" s="198">
        <v>190</v>
      </c>
      <c r="D173" s="198">
        <v>210</v>
      </c>
      <c r="E173" s="198">
        <v>259</v>
      </c>
    </row>
    <row r="174" spans="1:5" ht="19.5" customHeight="1">
      <c r="A174" s="202">
        <v>6</v>
      </c>
      <c r="B174" s="201" t="s">
        <v>533</v>
      </c>
      <c r="C174" s="198">
        <v>14</v>
      </c>
      <c r="D174" s="198">
        <v>15</v>
      </c>
      <c r="E174" s="198">
        <v>25</v>
      </c>
    </row>
    <row r="175" spans="1:5" ht="19.5" customHeight="1">
      <c r="A175" s="202">
        <v>7</v>
      </c>
      <c r="B175" s="201" t="s">
        <v>534</v>
      </c>
      <c r="C175" s="198">
        <v>187</v>
      </c>
      <c r="D175" s="198">
        <v>165</v>
      </c>
      <c r="E175" s="198">
        <v>123</v>
      </c>
    </row>
    <row r="176" spans="1:5" ht="19.5" customHeight="1">
      <c r="A176" s="202">
        <v>8</v>
      </c>
      <c r="B176" s="201" t="s">
        <v>535</v>
      </c>
      <c r="C176" s="198">
        <f>+C169+C170+C171+C174</f>
        <v>6145</v>
      </c>
      <c r="D176" s="198">
        <f>+D169+D170+D171+D174</f>
        <v>6084</v>
      </c>
      <c r="E176" s="198">
        <f>+E169+E170+E171+E174</f>
        <v>6320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536</v>
      </c>
      <c r="B178" s="30" t="s">
        <v>537</v>
      </c>
      <c r="C178" s="201"/>
      <c r="D178" s="201"/>
      <c r="E178" s="201"/>
    </row>
    <row r="179" spans="1:5" ht="19.5" customHeight="1">
      <c r="A179" s="202">
        <v>1</v>
      </c>
      <c r="B179" s="201" t="s">
        <v>528</v>
      </c>
      <c r="C179" s="210">
        <v>1.0152</v>
      </c>
      <c r="D179" s="210">
        <v>1.0165</v>
      </c>
      <c r="E179" s="210">
        <v>1.037</v>
      </c>
    </row>
    <row r="180" spans="1:5" ht="19.5" customHeight="1">
      <c r="A180" s="202">
        <v>2</v>
      </c>
      <c r="B180" s="201" t="s">
        <v>529</v>
      </c>
      <c r="C180" s="210">
        <v>1.4423</v>
      </c>
      <c r="D180" s="210">
        <v>1.3977</v>
      </c>
      <c r="E180" s="210">
        <v>1.4336</v>
      </c>
    </row>
    <row r="181" spans="1:5" ht="19.5" customHeight="1">
      <c r="A181" s="202">
        <v>3</v>
      </c>
      <c r="B181" s="201" t="s">
        <v>530</v>
      </c>
      <c r="C181" s="210">
        <v>0.759164</v>
      </c>
      <c r="D181" s="210">
        <v>0.84494</v>
      </c>
      <c r="E181" s="210">
        <v>0.83514</v>
      </c>
    </row>
    <row r="182" spans="1:5" ht="19.5" customHeight="1">
      <c r="A182" s="202">
        <v>4</v>
      </c>
      <c r="B182" s="201" t="s">
        <v>531</v>
      </c>
      <c r="C182" s="210">
        <v>0.7544</v>
      </c>
      <c r="D182" s="210">
        <v>0.8142</v>
      </c>
      <c r="E182" s="210">
        <v>0.7768</v>
      </c>
    </row>
    <row r="183" spans="1:5" ht="19.5" customHeight="1">
      <c r="A183" s="202">
        <v>5</v>
      </c>
      <c r="B183" s="201" t="s">
        <v>532</v>
      </c>
      <c r="C183" s="210">
        <v>0.7783</v>
      </c>
      <c r="D183" s="210">
        <v>0.9578</v>
      </c>
      <c r="E183" s="210">
        <v>1.0007</v>
      </c>
    </row>
    <row r="184" spans="1:5" ht="19.5" customHeight="1">
      <c r="A184" s="202">
        <v>6</v>
      </c>
      <c r="B184" s="201" t="s">
        <v>533</v>
      </c>
      <c r="C184" s="210">
        <v>1.5545</v>
      </c>
      <c r="D184" s="210">
        <v>1.0899</v>
      </c>
      <c r="E184" s="210">
        <v>1.2313</v>
      </c>
    </row>
    <row r="185" spans="1:5" ht="19.5" customHeight="1">
      <c r="A185" s="202">
        <v>7</v>
      </c>
      <c r="B185" s="201" t="s">
        <v>534</v>
      </c>
      <c r="C185" s="210">
        <v>0.8203</v>
      </c>
      <c r="D185" s="210">
        <v>0.9691</v>
      </c>
      <c r="E185" s="210">
        <v>0.8838</v>
      </c>
    </row>
    <row r="186" spans="1:5" ht="19.5" customHeight="1">
      <c r="A186" s="202">
        <v>8</v>
      </c>
      <c r="B186" s="201" t="s">
        <v>538</v>
      </c>
      <c r="C186" s="210">
        <v>1.193016</v>
      </c>
      <c r="D186" s="210">
        <v>1.181497</v>
      </c>
      <c r="E186" s="210">
        <v>1.219694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539</v>
      </c>
      <c r="B188" s="30" t="s">
        <v>540</v>
      </c>
      <c r="C188" s="201"/>
      <c r="D188" s="201"/>
      <c r="E188" s="201"/>
    </row>
    <row r="189" spans="1:5" ht="19.5" customHeight="1">
      <c r="A189" s="202">
        <v>1</v>
      </c>
      <c r="B189" s="201" t="s">
        <v>541</v>
      </c>
      <c r="C189" s="198">
        <v>4021</v>
      </c>
      <c r="D189" s="198">
        <v>4015</v>
      </c>
      <c r="E189" s="198">
        <v>4476</v>
      </c>
    </row>
    <row r="190" spans="1:5" ht="19.5" customHeight="1">
      <c r="A190" s="202">
        <v>2</v>
      </c>
      <c r="B190" s="201" t="s">
        <v>542</v>
      </c>
      <c r="C190" s="198">
        <v>35152</v>
      </c>
      <c r="D190" s="198">
        <v>34814</v>
      </c>
      <c r="E190" s="198">
        <v>34464</v>
      </c>
    </row>
    <row r="191" spans="1:5" ht="19.5" customHeight="1">
      <c r="A191" s="202">
        <v>3</v>
      </c>
      <c r="B191" s="201" t="s">
        <v>543</v>
      </c>
      <c r="C191" s="198">
        <f>+C190+C189</f>
        <v>39173</v>
      </c>
      <c r="D191" s="198">
        <f>+D190+D189</f>
        <v>38829</v>
      </c>
      <c r="E191" s="198">
        <f>+E190+E189</f>
        <v>38940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FILING&amp;RCHARLOTTE HUNGERFORD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A6" sqref="A6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5" width="21.140625" style="211" customWidth="1"/>
    <col min="6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115</v>
      </c>
      <c r="B2" s="687"/>
      <c r="C2" s="687"/>
      <c r="D2" s="687"/>
      <c r="E2" s="687"/>
      <c r="F2" s="687"/>
    </row>
    <row r="3" spans="1:6" ht="20.25" customHeight="1">
      <c r="A3" s="687" t="s">
        <v>116</v>
      </c>
      <c r="B3" s="687"/>
      <c r="C3" s="687"/>
      <c r="D3" s="687"/>
      <c r="E3" s="687"/>
      <c r="F3" s="687"/>
    </row>
    <row r="4" spans="1:6" ht="20.25" customHeight="1">
      <c r="A4" s="687" t="s">
        <v>117</v>
      </c>
      <c r="B4" s="687"/>
      <c r="C4" s="687"/>
      <c r="D4" s="687"/>
      <c r="E4" s="687"/>
      <c r="F4" s="687"/>
    </row>
    <row r="5" spans="1:6" ht="20.25" customHeight="1">
      <c r="A5" s="687" t="s">
        <v>544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269</v>
      </c>
      <c r="B8" s="221" t="s">
        <v>124</v>
      </c>
      <c r="C8" s="222" t="s">
        <v>545</v>
      </c>
      <c r="D8" s="223" t="s">
        <v>546</v>
      </c>
      <c r="E8" s="223" t="s">
        <v>547</v>
      </c>
      <c r="F8" s="224" t="s">
        <v>223</v>
      </c>
      <c r="G8" s="212"/>
    </row>
    <row r="9" spans="1:7" ht="20.25" customHeight="1">
      <c r="A9" s="225"/>
      <c r="B9" s="226"/>
      <c r="C9" s="676"/>
      <c r="D9" s="677"/>
      <c r="E9" s="677"/>
      <c r="F9" s="678"/>
      <c r="G9" s="212"/>
    </row>
    <row r="10" spans="1:6" ht="20.25" customHeight="1">
      <c r="A10" s="679" t="s">
        <v>127</v>
      </c>
      <c r="B10" s="681" t="s">
        <v>228</v>
      </c>
      <c r="C10" s="683"/>
      <c r="D10" s="684"/>
      <c r="E10" s="684"/>
      <c r="F10" s="685"/>
    </row>
    <row r="11" spans="1:6" ht="20.25" customHeight="1">
      <c r="A11" s="680"/>
      <c r="B11" s="682"/>
      <c r="C11" s="686"/>
      <c r="D11" s="660"/>
      <c r="E11" s="660"/>
      <c r="F11" s="661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225</v>
      </c>
      <c r="B13" s="231" t="s">
        <v>548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549</v>
      </c>
      <c r="C14" s="237">
        <v>13238</v>
      </c>
      <c r="D14" s="237">
        <v>9879</v>
      </c>
      <c r="E14" s="237">
        <f aca="true" t="shared" si="0" ref="E14:E24">D14-C14</f>
        <v>-3359</v>
      </c>
      <c r="F14" s="238">
        <f aca="true" t="shared" si="1" ref="F14:F24">IF(C14=0,0,E14/C14)</f>
        <v>-0.2537392355340686</v>
      </c>
    </row>
    <row r="15" spans="1:6" ht="20.25" customHeight="1">
      <c r="A15" s="235">
        <v>2</v>
      </c>
      <c r="B15" s="236" t="s">
        <v>550</v>
      </c>
      <c r="C15" s="237">
        <v>11949</v>
      </c>
      <c r="D15" s="237">
        <v>5808</v>
      </c>
      <c r="E15" s="237">
        <f t="shared" si="0"/>
        <v>-6141</v>
      </c>
      <c r="F15" s="238">
        <f t="shared" si="1"/>
        <v>-0.5139342204368567</v>
      </c>
    </row>
    <row r="16" spans="1:6" ht="20.25" customHeight="1">
      <c r="A16" s="235">
        <v>3</v>
      </c>
      <c r="B16" s="236" t="s">
        <v>551</v>
      </c>
      <c r="C16" s="237">
        <v>14253</v>
      </c>
      <c r="D16" s="237">
        <v>21100</v>
      </c>
      <c r="E16" s="237">
        <f t="shared" si="0"/>
        <v>6847</v>
      </c>
      <c r="F16" s="238">
        <f t="shared" si="1"/>
        <v>0.48039009331368837</v>
      </c>
    </row>
    <row r="17" spans="1:6" ht="20.25" customHeight="1">
      <c r="A17" s="235">
        <v>4</v>
      </c>
      <c r="B17" s="236" t="s">
        <v>552</v>
      </c>
      <c r="C17" s="237">
        <v>7541</v>
      </c>
      <c r="D17" s="237">
        <v>9385</v>
      </c>
      <c r="E17" s="237">
        <f t="shared" si="0"/>
        <v>1844</v>
      </c>
      <c r="F17" s="238">
        <f t="shared" si="1"/>
        <v>0.24452990319586262</v>
      </c>
    </row>
    <row r="18" spans="1:6" ht="20.25" customHeight="1">
      <c r="A18" s="235">
        <v>5</v>
      </c>
      <c r="B18" s="236" t="s">
        <v>488</v>
      </c>
      <c r="C18" s="239">
        <v>1</v>
      </c>
      <c r="D18" s="239">
        <v>1</v>
      </c>
      <c r="E18" s="239">
        <f t="shared" si="0"/>
        <v>0</v>
      </c>
      <c r="F18" s="238">
        <f t="shared" si="1"/>
        <v>0</v>
      </c>
    </row>
    <row r="19" spans="1:6" ht="20.25" customHeight="1">
      <c r="A19" s="235">
        <v>6</v>
      </c>
      <c r="B19" s="236" t="s">
        <v>487</v>
      </c>
      <c r="C19" s="239">
        <v>6</v>
      </c>
      <c r="D19" s="239">
        <v>1</v>
      </c>
      <c r="E19" s="239">
        <f t="shared" si="0"/>
        <v>-5</v>
      </c>
      <c r="F19" s="238">
        <f t="shared" si="1"/>
        <v>-0.8333333333333334</v>
      </c>
    </row>
    <row r="20" spans="1:6" ht="20.25" customHeight="1">
      <c r="A20" s="235">
        <v>7</v>
      </c>
      <c r="B20" s="236" t="s">
        <v>553</v>
      </c>
      <c r="C20" s="239">
        <v>31</v>
      </c>
      <c r="D20" s="239">
        <v>43</v>
      </c>
      <c r="E20" s="239">
        <f t="shared" si="0"/>
        <v>12</v>
      </c>
      <c r="F20" s="238">
        <f t="shared" si="1"/>
        <v>0.3870967741935484</v>
      </c>
    </row>
    <row r="21" spans="1:6" ht="20.25" customHeight="1">
      <c r="A21" s="235">
        <v>8</v>
      </c>
      <c r="B21" s="236" t="s">
        <v>554</v>
      </c>
      <c r="C21" s="239">
        <v>9</v>
      </c>
      <c r="D21" s="239">
        <v>10</v>
      </c>
      <c r="E21" s="239">
        <f t="shared" si="0"/>
        <v>1</v>
      </c>
      <c r="F21" s="238">
        <f t="shared" si="1"/>
        <v>0.1111111111111111</v>
      </c>
    </row>
    <row r="22" spans="1:6" ht="20.25" customHeight="1">
      <c r="A22" s="235">
        <v>9</v>
      </c>
      <c r="B22" s="236" t="s">
        <v>555</v>
      </c>
      <c r="C22" s="239">
        <v>1</v>
      </c>
      <c r="D22" s="239">
        <v>1</v>
      </c>
      <c r="E22" s="239">
        <f t="shared" si="0"/>
        <v>0</v>
      </c>
      <c r="F22" s="238">
        <f t="shared" si="1"/>
        <v>0</v>
      </c>
    </row>
    <row r="23" spans="1:6" s="240" customFormat="1" ht="20.25" customHeight="1">
      <c r="A23" s="241"/>
      <c r="B23" s="242" t="s">
        <v>556</v>
      </c>
      <c r="C23" s="243">
        <f>+C14+C16</f>
        <v>27491</v>
      </c>
      <c r="D23" s="243">
        <f>+D14+D16</f>
        <v>30979</v>
      </c>
      <c r="E23" s="243">
        <f t="shared" si="0"/>
        <v>3488</v>
      </c>
      <c r="F23" s="244">
        <f t="shared" si="1"/>
        <v>0.12687788730857372</v>
      </c>
    </row>
    <row r="24" spans="1:6" s="240" customFormat="1" ht="20.25" customHeight="1">
      <c r="A24" s="241"/>
      <c r="B24" s="242" t="s">
        <v>557</v>
      </c>
      <c r="C24" s="243">
        <f>+C15+C17</f>
        <v>19490</v>
      </c>
      <c r="D24" s="243">
        <f>+D15+D17</f>
        <v>15193</v>
      </c>
      <c r="E24" s="243">
        <f t="shared" si="0"/>
        <v>-4297</v>
      </c>
      <c r="F24" s="244">
        <f t="shared" si="1"/>
        <v>-0.22047203694202155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239</v>
      </c>
      <c r="B26" s="231" t="s">
        <v>558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549</v>
      </c>
      <c r="C27" s="237">
        <v>0</v>
      </c>
      <c r="D27" s="237">
        <v>34329</v>
      </c>
      <c r="E27" s="237">
        <f aca="true" t="shared" si="2" ref="E27:E37">D27-C27</f>
        <v>34329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550</v>
      </c>
      <c r="C28" s="237">
        <v>0</v>
      </c>
      <c r="D28" s="237">
        <v>15248</v>
      </c>
      <c r="E28" s="237">
        <f t="shared" si="2"/>
        <v>15248</v>
      </c>
      <c r="F28" s="238">
        <f t="shared" si="3"/>
        <v>0</v>
      </c>
    </row>
    <row r="29" spans="1:6" ht="20.25" customHeight="1">
      <c r="A29" s="235">
        <v>3</v>
      </c>
      <c r="B29" s="236" t="s">
        <v>551</v>
      </c>
      <c r="C29" s="237">
        <v>0</v>
      </c>
      <c r="D29" s="237">
        <v>15082</v>
      </c>
      <c r="E29" s="237">
        <f t="shared" si="2"/>
        <v>15082</v>
      </c>
      <c r="F29" s="238">
        <f t="shared" si="3"/>
        <v>0</v>
      </c>
    </row>
    <row r="30" spans="1:6" ht="20.25" customHeight="1">
      <c r="A30" s="235">
        <v>4</v>
      </c>
      <c r="B30" s="236" t="s">
        <v>552</v>
      </c>
      <c r="C30" s="237">
        <v>0</v>
      </c>
      <c r="D30" s="237">
        <v>5503</v>
      </c>
      <c r="E30" s="237">
        <f t="shared" si="2"/>
        <v>5503</v>
      </c>
      <c r="F30" s="238">
        <f t="shared" si="3"/>
        <v>0</v>
      </c>
    </row>
    <row r="31" spans="1:6" ht="20.25" customHeight="1">
      <c r="A31" s="235">
        <v>5</v>
      </c>
      <c r="B31" s="236" t="s">
        <v>488</v>
      </c>
      <c r="C31" s="239">
        <v>0</v>
      </c>
      <c r="D31" s="239">
        <v>2</v>
      </c>
      <c r="E31" s="239">
        <f t="shared" si="2"/>
        <v>2</v>
      </c>
      <c r="F31" s="238">
        <f t="shared" si="3"/>
        <v>0</v>
      </c>
    </row>
    <row r="32" spans="1:6" ht="20.25" customHeight="1">
      <c r="A32" s="235">
        <v>6</v>
      </c>
      <c r="B32" s="236" t="s">
        <v>487</v>
      </c>
      <c r="C32" s="239">
        <v>0</v>
      </c>
      <c r="D32" s="239">
        <v>17</v>
      </c>
      <c r="E32" s="239">
        <f t="shared" si="2"/>
        <v>17</v>
      </c>
      <c r="F32" s="238">
        <f t="shared" si="3"/>
        <v>0</v>
      </c>
    </row>
    <row r="33" spans="1:6" ht="20.25" customHeight="1">
      <c r="A33" s="235">
        <v>7</v>
      </c>
      <c r="B33" s="236" t="s">
        <v>553</v>
      </c>
      <c r="C33" s="239">
        <v>0</v>
      </c>
      <c r="D33" s="239">
        <v>53</v>
      </c>
      <c r="E33" s="239">
        <f t="shared" si="2"/>
        <v>53</v>
      </c>
      <c r="F33" s="238">
        <f t="shared" si="3"/>
        <v>0</v>
      </c>
    </row>
    <row r="34" spans="1:6" ht="20.25" customHeight="1">
      <c r="A34" s="235">
        <v>8</v>
      </c>
      <c r="B34" s="236" t="s">
        <v>554</v>
      </c>
      <c r="C34" s="239">
        <v>0</v>
      </c>
      <c r="D34" s="239">
        <v>6</v>
      </c>
      <c r="E34" s="239">
        <f t="shared" si="2"/>
        <v>6</v>
      </c>
      <c r="F34" s="238">
        <f t="shared" si="3"/>
        <v>0</v>
      </c>
    </row>
    <row r="35" spans="1:6" ht="20.25" customHeight="1">
      <c r="A35" s="235">
        <v>9</v>
      </c>
      <c r="B35" s="236" t="s">
        <v>555</v>
      </c>
      <c r="C35" s="239">
        <v>0</v>
      </c>
      <c r="D35" s="239">
        <v>2</v>
      </c>
      <c r="E35" s="239">
        <f t="shared" si="2"/>
        <v>2</v>
      </c>
      <c r="F35" s="238">
        <f t="shared" si="3"/>
        <v>0</v>
      </c>
    </row>
    <row r="36" spans="1:6" s="240" customFormat="1" ht="20.25" customHeight="1">
      <c r="A36" s="241"/>
      <c r="B36" s="242" t="s">
        <v>556</v>
      </c>
      <c r="C36" s="243">
        <f>+C27+C29</f>
        <v>0</v>
      </c>
      <c r="D36" s="243">
        <f>+D27+D29</f>
        <v>49411</v>
      </c>
      <c r="E36" s="243">
        <f t="shared" si="2"/>
        <v>49411</v>
      </c>
      <c r="F36" s="244">
        <f t="shared" si="3"/>
        <v>0</v>
      </c>
    </row>
    <row r="37" spans="1:6" s="240" customFormat="1" ht="20.25" customHeight="1">
      <c r="A37" s="241"/>
      <c r="B37" s="242" t="s">
        <v>557</v>
      </c>
      <c r="C37" s="243">
        <f>+C28+C30</f>
        <v>0</v>
      </c>
      <c r="D37" s="243">
        <f>+D28+D30</f>
        <v>20751</v>
      </c>
      <c r="E37" s="243">
        <f t="shared" si="2"/>
        <v>20751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256</v>
      </c>
      <c r="B39" s="231" t="s">
        <v>559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549</v>
      </c>
      <c r="C40" s="237">
        <v>245622</v>
      </c>
      <c r="D40" s="237">
        <v>1020159</v>
      </c>
      <c r="E40" s="237">
        <f aca="true" t="shared" si="4" ref="E40:E50">D40-C40</f>
        <v>774537</v>
      </c>
      <c r="F40" s="238">
        <f aca="true" t="shared" si="5" ref="F40:F50">IF(C40=0,0,E40/C40)</f>
        <v>3.1533698121503773</v>
      </c>
    </row>
    <row r="41" spans="1:6" ht="20.25" customHeight="1">
      <c r="A41" s="235">
        <v>2</v>
      </c>
      <c r="B41" s="236" t="s">
        <v>550</v>
      </c>
      <c r="C41" s="237">
        <v>158022</v>
      </c>
      <c r="D41" s="237">
        <v>544251</v>
      </c>
      <c r="E41" s="237">
        <f t="shared" si="4"/>
        <v>386229</v>
      </c>
      <c r="F41" s="238">
        <f t="shared" si="5"/>
        <v>2.4441470175038917</v>
      </c>
    </row>
    <row r="42" spans="1:6" ht="20.25" customHeight="1">
      <c r="A42" s="235">
        <v>3</v>
      </c>
      <c r="B42" s="236" t="s">
        <v>551</v>
      </c>
      <c r="C42" s="237">
        <v>355232</v>
      </c>
      <c r="D42" s="237">
        <v>1078498</v>
      </c>
      <c r="E42" s="237">
        <f t="shared" si="4"/>
        <v>723266</v>
      </c>
      <c r="F42" s="238">
        <f t="shared" si="5"/>
        <v>2.0360384199621655</v>
      </c>
    </row>
    <row r="43" spans="1:6" ht="20.25" customHeight="1">
      <c r="A43" s="235">
        <v>4</v>
      </c>
      <c r="B43" s="236" t="s">
        <v>552</v>
      </c>
      <c r="C43" s="237">
        <v>190680</v>
      </c>
      <c r="D43" s="237">
        <v>365682</v>
      </c>
      <c r="E43" s="237">
        <f t="shared" si="4"/>
        <v>175002</v>
      </c>
      <c r="F43" s="238">
        <f t="shared" si="5"/>
        <v>0.9177784770295784</v>
      </c>
    </row>
    <row r="44" spans="1:6" ht="20.25" customHeight="1">
      <c r="A44" s="235">
        <v>5</v>
      </c>
      <c r="B44" s="236" t="s">
        <v>488</v>
      </c>
      <c r="C44" s="239">
        <v>18</v>
      </c>
      <c r="D44" s="239">
        <v>71</v>
      </c>
      <c r="E44" s="239">
        <f t="shared" si="4"/>
        <v>53</v>
      </c>
      <c r="F44" s="238">
        <f t="shared" si="5"/>
        <v>2.9444444444444446</v>
      </c>
    </row>
    <row r="45" spans="1:6" ht="20.25" customHeight="1">
      <c r="A45" s="235">
        <v>6</v>
      </c>
      <c r="B45" s="236" t="s">
        <v>487</v>
      </c>
      <c r="C45" s="239">
        <v>78</v>
      </c>
      <c r="D45" s="239">
        <v>305</v>
      </c>
      <c r="E45" s="239">
        <f t="shared" si="4"/>
        <v>227</v>
      </c>
      <c r="F45" s="238">
        <f t="shared" si="5"/>
        <v>2.91025641025641</v>
      </c>
    </row>
    <row r="46" spans="1:6" ht="20.25" customHeight="1">
      <c r="A46" s="235">
        <v>7</v>
      </c>
      <c r="B46" s="236" t="s">
        <v>553</v>
      </c>
      <c r="C46" s="239">
        <v>536</v>
      </c>
      <c r="D46" s="239">
        <v>1837</v>
      </c>
      <c r="E46" s="239">
        <f t="shared" si="4"/>
        <v>1301</v>
      </c>
      <c r="F46" s="238">
        <f t="shared" si="5"/>
        <v>2.4272388059701493</v>
      </c>
    </row>
    <row r="47" spans="1:6" ht="20.25" customHeight="1">
      <c r="A47" s="235">
        <v>8</v>
      </c>
      <c r="B47" s="236" t="s">
        <v>554</v>
      </c>
      <c r="C47" s="239">
        <v>54</v>
      </c>
      <c r="D47" s="239">
        <v>150</v>
      </c>
      <c r="E47" s="239">
        <f t="shared" si="4"/>
        <v>96</v>
      </c>
      <c r="F47" s="238">
        <f t="shared" si="5"/>
        <v>1.7777777777777777</v>
      </c>
    </row>
    <row r="48" spans="1:6" ht="20.25" customHeight="1">
      <c r="A48" s="235">
        <v>9</v>
      </c>
      <c r="B48" s="236" t="s">
        <v>555</v>
      </c>
      <c r="C48" s="239">
        <v>15</v>
      </c>
      <c r="D48" s="239">
        <v>56</v>
      </c>
      <c r="E48" s="239">
        <f t="shared" si="4"/>
        <v>41</v>
      </c>
      <c r="F48" s="238">
        <f t="shared" si="5"/>
        <v>2.7333333333333334</v>
      </c>
    </row>
    <row r="49" spans="1:6" s="240" customFormat="1" ht="20.25" customHeight="1">
      <c r="A49" s="241"/>
      <c r="B49" s="242" t="s">
        <v>556</v>
      </c>
      <c r="C49" s="243">
        <f>+C40+C42</f>
        <v>600854</v>
      </c>
      <c r="D49" s="243">
        <f>+D40+D42</f>
        <v>2098657</v>
      </c>
      <c r="E49" s="243">
        <f t="shared" si="4"/>
        <v>1497803</v>
      </c>
      <c r="F49" s="244">
        <f t="shared" si="5"/>
        <v>2.4927902618606184</v>
      </c>
    </row>
    <row r="50" spans="1:6" s="240" customFormat="1" ht="20.25" customHeight="1">
      <c r="A50" s="241"/>
      <c r="B50" s="242" t="s">
        <v>557</v>
      </c>
      <c r="C50" s="243">
        <f>+C41+C43</f>
        <v>348702</v>
      </c>
      <c r="D50" s="243">
        <f>+D41+D43</f>
        <v>909933</v>
      </c>
      <c r="E50" s="243">
        <f t="shared" si="4"/>
        <v>561231</v>
      </c>
      <c r="F50" s="244">
        <f t="shared" si="5"/>
        <v>1.609486036787859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286</v>
      </c>
      <c r="B52" s="231" t="s">
        <v>560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549</v>
      </c>
      <c r="C53" s="237">
        <v>448462</v>
      </c>
      <c r="D53" s="237">
        <v>899845</v>
      </c>
      <c r="E53" s="237">
        <f aca="true" t="shared" si="6" ref="E53:E63">D53-C53</f>
        <v>451383</v>
      </c>
      <c r="F53" s="238">
        <f aca="true" t="shared" si="7" ref="F53:F63">IF(C53=0,0,E53/C53)</f>
        <v>1.0065133723704573</v>
      </c>
    </row>
    <row r="54" spans="1:6" ht="20.25" customHeight="1">
      <c r="A54" s="235">
        <v>2</v>
      </c>
      <c r="B54" s="236" t="s">
        <v>550</v>
      </c>
      <c r="C54" s="237">
        <v>263105</v>
      </c>
      <c r="D54" s="237">
        <v>478399</v>
      </c>
      <c r="E54" s="237">
        <f t="shared" si="6"/>
        <v>215294</v>
      </c>
      <c r="F54" s="238">
        <f t="shared" si="7"/>
        <v>0.818281674616598</v>
      </c>
    </row>
    <row r="55" spans="1:6" ht="20.25" customHeight="1">
      <c r="A55" s="235">
        <v>3</v>
      </c>
      <c r="B55" s="236" t="s">
        <v>551</v>
      </c>
      <c r="C55" s="237">
        <v>453427</v>
      </c>
      <c r="D55" s="237">
        <v>392963</v>
      </c>
      <c r="E55" s="237">
        <f t="shared" si="6"/>
        <v>-60464</v>
      </c>
      <c r="F55" s="238">
        <f t="shared" si="7"/>
        <v>-0.13334891834848828</v>
      </c>
    </row>
    <row r="56" spans="1:6" ht="20.25" customHeight="1">
      <c r="A56" s="235">
        <v>4</v>
      </c>
      <c r="B56" s="236" t="s">
        <v>552</v>
      </c>
      <c r="C56" s="237">
        <v>197405</v>
      </c>
      <c r="D56" s="237">
        <v>194407</v>
      </c>
      <c r="E56" s="237">
        <f t="shared" si="6"/>
        <v>-2998</v>
      </c>
      <c r="F56" s="238">
        <f t="shared" si="7"/>
        <v>-0.015187051999696057</v>
      </c>
    </row>
    <row r="57" spans="1:6" ht="20.25" customHeight="1">
      <c r="A57" s="235">
        <v>5</v>
      </c>
      <c r="B57" s="236" t="s">
        <v>488</v>
      </c>
      <c r="C57" s="239">
        <v>31</v>
      </c>
      <c r="D57" s="239">
        <v>57</v>
      </c>
      <c r="E57" s="239">
        <f t="shared" si="6"/>
        <v>26</v>
      </c>
      <c r="F57" s="238">
        <f t="shared" si="7"/>
        <v>0.8387096774193549</v>
      </c>
    </row>
    <row r="58" spans="1:6" ht="20.25" customHeight="1">
      <c r="A58" s="235">
        <v>6</v>
      </c>
      <c r="B58" s="236" t="s">
        <v>487</v>
      </c>
      <c r="C58" s="239">
        <v>158</v>
      </c>
      <c r="D58" s="239">
        <v>279</v>
      </c>
      <c r="E58" s="239">
        <f t="shared" si="6"/>
        <v>121</v>
      </c>
      <c r="F58" s="238">
        <f t="shared" si="7"/>
        <v>0.7658227848101266</v>
      </c>
    </row>
    <row r="59" spans="1:6" ht="20.25" customHeight="1">
      <c r="A59" s="235">
        <v>7</v>
      </c>
      <c r="B59" s="236" t="s">
        <v>553</v>
      </c>
      <c r="C59" s="239">
        <v>758</v>
      </c>
      <c r="D59" s="239">
        <v>627</v>
      </c>
      <c r="E59" s="239">
        <f t="shared" si="6"/>
        <v>-131</v>
      </c>
      <c r="F59" s="238">
        <f t="shared" si="7"/>
        <v>-0.17282321899736147</v>
      </c>
    </row>
    <row r="60" spans="1:6" ht="20.25" customHeight="1">
      <c r="A60" s="235">
        <v>8</v>
      </c>
      <c r="B60" s="236" t="s">
        <v>554</v>
      </c>
      <c r="C60" s="239">
        <v>124</v>
      </c>
      <c r="D60" s="239">
        <v>112</v>
      </c>
      <c r="E60" s="239">
        <f t="shared" si="6"/>
        <v>-12</v>
      </c>
      <c r="F60" s="238">
        <f t="shared" si="7"/>
        <v>-0.0967741935483871</v>
      </c>
    </row>
    <row r="61" spans="1:6" ht="20.25" customHeight="1">
      <c r="A61" s="235">
        <v>9</v>
      </c>
      <c r="B61" s="236" t="s">
        <v>555</v>
      </c>
      <c r="C61" s="239">
        <v>27</v>
      </c>
      <c r="D61" s="239">
        <v>52</v>
      </c>
      <c r="E61" s="239">
        <f t="shared" si="6"/>
        <v>25</v>
      </c>
      <c r="F61" s="238">
        <f t="shared" si="7"/>
        <v>0.9259259259259259</v>
      </c>
    </row>
    <row r="62" spans="1:6" s="240" customFormat="1" ht="20.25" customHeight="1">
      <c r="A62" s="241"/>
      <c r="B62" s="242" t="s">
        <v>556</v>
      </c>
      <c r="C62" s="243">
        <f>+C53+C55</f>
        <v>901889</v>
      </c>
      <c r="D62" s="243">
        <f>+D53+D55</f>
        <v>1292808</v>
      </c>
      <c r="E62" s="243">
        <f t="shared" si="6"/>
        <v>390919</v>
      </c>
      <c r="F62" s="244">
        <f t="shared" si="7"/>
        <v>0.4334446921960463</v>
      </c>
    </row>
    <row r="63" spans="1:6" s="240" customFormat="1" ht="20.25" customHeight="1">
      <c r="A63" s="241"/>
      <c r="B63" s="242" t="s">
        <v>557</v>
      </c>
      <c r="C63" s="243">
        <f>+C54+C56</f>
        <v>460510</v>
      </c>
      <c r="D63" s="243">
        <f>+D54+D56</f>
        <v>672806</v>
      </c>
      <c r="E63" s="243">
        <f t="shared" si="6"/>
        <v>212296</v>
      </c>
      <c r="F63" s="244">
        <f t="shared" si="7"/>
        <v>0.46100193263989925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291</v>
      </c>
      <c r="B65" s="231" t="s">
        <v>561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549</v>
      </c>
      <c r="C66" s="237">
        <v>76342</v>
      </c>
      <c r="D66" s="237">
        <v>49666</v>
      </c>
      <c r="E66" s="237">
        <f aca="true" t="shared" si="8" ref="E66:E76">D66-C66</f>
        <v>-26676</v>
      </c>
      <c r="F66" s="238">
        <f aca="true" t="shared" si="9" ref="F66:F76">IF(C66=0,0,E66/C66)</f>
        <v>-0.34942757590841217</v>
      </c>
    </row>
    <row r="67" spans="1:6" ht="20.25" customHeight="1">
      <c r="A67" s="235">
        <v>2</v>
      </c>
      <c r="B67" s="236" t="s">
        <v>550</v>
      </c>
      <c r="C67" s="237">
        <v>41318</v>
      </c>
      <c r="D67" s="237">
        <v>30493</v>
      </c>
      <c r="E67" s="237">
        <f t="shared" si="8"/>
        <v>-10825</v>
      </c>
      <c r="F67" s="238">
        <f t="shared" si="9"/>
        <v>-0.26199235200154897</v>
      </c>
    </row>
    <row r="68" spans="1:6" ht="20.25" customHeight="1">
      <c r="A68" s="235">
        <v>3</v>
      </c>
      <c r="B68" s="236" t="s">
        <v>551</v>
      </c>
      <c r="C68" s="237">
        <v>27403</v>
      </c>
      <c r="D68" s="237">
        <v>27080</v>
      </c>
      <c r="E68" s="237">
        <f t="shared" si="8"/>
        <v>-323</v>
      </c>
      <c r="F68" s="238">
        <f t="shared" si="9"/>
        <v>-0.01178703061708572</v>
      </c>
    </row>
    <row r="69" spans="1:6" ht="20.25" customHeight="1">
      <c r="A69" s="235">
        <v>4</v>
      </c>
      <c r="B69" s="236" t="s">
        <v>552</v>
      </c>
      <c r="C69" s="237">
        <v>11418</v>
      </c>
      <c r="D69" s="237">
        <v>9808</v>
      </c>
      <c r="E69" s="237">
        <f t="shared" si="8"/>
        <v>-1610</v>
      </c>
      <c r="F69" s="238">
        <f t="shared" si="9"/>
        <v>-0.14100543002277105</v>
      </c>
    </row>
    <row r="70" spans="1:6" ht="20.25" customHeight="1">
      <c r="A70" s="235">
        <v>5</v>
      </c>
      <c r="B70" s="236" t="s">
        <v>488</v>
      </c>
      <c r="C70" s="239">
        <v>5</v>
      </c>
      <c r="D70" s="239">
        <v>5</v>
      </c>
      <c r="E70" s="239">
        <f t="shared" si="8"/>
        <v>0</v>
      </c>
      <c r="F70" s="238">
        <f t="shared" si="9"/>
        <v>0</v>
      </c>
    </row>
    <row r="71" spans="1:6" ht="20.25" customHeight="1">
      <c r="A71" s="235">
        <v>6</v>
      </c>
      <c r="B71" s="236" t="s">
        <v>487</v>
      </c>
      <c r="C71" s="239">
        <v>23</v>
      </c>
      <c r="D71" s="239">
        <v>14</v>
      </c>
      <c r="E71" s="239">
        <f t="shared" si="8"/>
        <v>-9</v>
      </c>
      <c r="F71" s="238">
        <f t="shared" si="9"/>
        <v>-0.391304347826087</v>
      </c>
    </row>
    <row r="72" spans="1:6" ht="20.25" customHeight="1">
      <c r="A72" s="235">
        <v>7</v>
      </c>
      <c r="B72" s="236" t="s">
        <v>553</v>
      </c>
      <c r="C72" s="239">
        <v>32</v>
      </c>
      <c r="D72" s="239">
        <v>45</v>
      </c>
      <c r="E72" s="239">
        <f t="shared" si="8"/>
        <v>13</v>
      </c>
      <c r="F72" s="238">
        <f t="shared" si="9"/>
        <v>0.40625</v>
      </c>
    </row>
    <row r="73" spans="1:6" ht="20.25" customHeight="1">
      <c r="A73" s="235">
        <v>8</v>
      </c>
      <c r="B73" s="236" t="s">
        <v>554</v>
      </c>
      <c r="C73" s="239">
        <v>18</v>
      </c>
      <c r="D73" s="239">
        <v>11</v>
      </c>
      <c r="E73" s="239">
        <f t="shared" si="8"/>
        <v>-7</v>
      </c>
      <c r="F73" s="238">
        <f t="shared" si="9"/>
        <v>-0.3888888888888889</v>
      </c>
    </row>
    <row r="74" spans="1:6" ht="20.25" customHeight="1">
      <c r="A74" s="235">
        <v>9</v>
      </c>
      <c r="B74" s="236" t="s">
        <v>555</v>
      </c>
      <c r="C74" s="239">
        <v>4</v>
      </c>
      <c r="D74" s="239">
        <v>5</v>
      </c>
      <c r="E74" s="239">
        <f t="shared" si="8"/>
        <v>1</v>
      </c>
      <c r="F74" s="238">
        <f t="shared" si="9"/>
        <v>0.25</v>
      </c>
    </row>
    <row r="75" spans="1:6" s="240" customFormat="1" ht="20.25" customHeight="1">
      <c r="A75" s="241"/>
      <c r="B75" s="242" t="s">
        <v>556</v>
      </c>
      <c r="C75" s="243">
        <f>+C66+C68</f>
        <v>103745</v>
      </c>
      <c r="D75" s="243">
        <f>+D66+D68</f>
        <v>76746</v>
      </c>
      <c r="E75" s="243">
        <f t="shared" si="8"/>
        <v>-26999</v>
      </c>
      <c r="F75" s="244">
        <f t="shared" si="9"/>
        <v>-0.26024386717432163</v>
      </c>
    </row>
    <row r="76" spans="1:6" s="240" customFormat="1" ht="20.25" customHeight="1">
      <c r="A76" s="241"/>
      <c r="B76" s="242" t="s">
        <v>557</v>
      </c>
      <c r="C76" s="243">
        <f>+C67+C69</f>
        <v>52736</v>
      </c>
      <c r="D76" s="243">
        <f>+D67+D69</f>
        <v>40301</v>
      </c>
      <c r="E76" s="243">
        <f t="shared" si="8"/>
        <v>-12435</v>
      </c>
      <c r="F76" s="244">
        <f t="shared" si="9"/>
        <v>-0.23579717839805825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297</v>
      </c>
      <c r="B78" s="231" t="s">
        <v>562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549</v>
      </c>
      <c r="C79" s="237">
        <v>0</v>
      </c>
      <c r="D79" s="237">
        <v>24769</v>
      </c>
      <c r="E79" s="237">
        <f aca="true" t="shared" si="10" ref="E79:E89">D79-C79</f>
        <v>24769</v>
      </c>
      <c r="F79" s="238">
        <f aca="true" t="shared" si="11" ref="F79:F89">IF(C79=0,0,E79/C79)</f>
        <v>0</v>
      </c>
    </row>
    <row r="80" spans="1:6" ht="20.25" customHeight="1">
      <c r="A80" s="235">
        <v>2</v>
      </c>
      <c r="B80" s="236" t="s">
        <v>550</v>
      </c>
      <c r="C80" s="237">
        <v>0</v>
      </c>
      <c r="D80" s="237">
        <v>11096</v>
      </c>
      <c r="E80" s="237">
        <f t="shared" si="10"/>
        <v>11096</v>
      </c>
      <c r="F80" s="238">
        <f t="shared" si="11"/>
        <v>0</v>
      </c>
    </row>
    <row r="81" spans="1:6" ht="20.25" customHeight="1">
      <c r="A81" s="235">
        <v>3</v>
      </c>
      <c r="B81" s="236" t="s">
        <v>551</v>
      </c>
      <c r="C81" s="237">
        <v>0</v>
      </c>
      <c r="D81" s="237">
        <v>778</v>
      </c>
      <c r="E81" s="237">
        <f t="shared" si="10"/>
        <v>778</v>
      </c>
      <c r="F81" s="238">
        <f t="shared" si="11"/>
        <v>0</v>
      </c>
    </row>
    <row r="82" spans="1:6" ht="20.25" customHeight="1">
      <c r="A82" s="235">
        <v>4</v>
      </c>
      <c r="B82" s="236" t="s">
        <v>552</v>
      </c>
      <c r="C82" s="237">
        <v>0</v>
      </c>
      <c r="D82" s="237">
        <v>441</v>
      </c>
      <c r="E82" s="237">
        <f t="shared" si="10"/>
        <v>441</v>
      </c>
      <c r="F82" s="238">
        <f t="shared" si="11"/>
        <v>0</v>
      </c>
    </row>
    <row r="83" spans="1:6" ht="20.25" customHeight="1">
      <c r="A83" s="235">
        <v>5</v>
      </c>
      <c r="B83" s="236" t="s">
        <v>488</v>
      </c>
      <c r="C83" s="239">
        <v>0</v>
      </c>
      <c r="D83" s="239">
        <v>1</v>
      </c>
      <c r="E83" s="239">
        <f t="shared" si="10"/>
        <v>1</v>
      </c>
      <c r="F83" s="238">
        <f t="shared" si="11"/>
        <v>0</v>
      </c>
    </row>
    <row r="84" spans="1:6" ht="20.25" customHeight="1">
      <c r="A84" s="235">
        <v>6</v>
      </c>
      <c r="B84" s="236" t="s">
        <v>487</v>
      </c>
      <c r="C84" s="239">
        <v>0</v>
      </c>
      <c r="D84" s="239">
        <v>2</v>
      </c>
      <c r="E84" s="239">
        <f t="shared" si="10"/>
        <v>2</v>
      </c>
      <c r="F84" s="238">
        <f t="shared" si="11"/>
        <v>0</v>
      </c>
    </row>
    <row r="85" spans="1:6" ht="20.25" customHeight="1">
      <c r="A85" s="235">
        <v>7</v>
      </c>
      <c r="B85" s="236" t="s">
        <v>553</v>
      </c>
      <c r="C85" s="239">
        <v>0</v>
      </c>
      <c r="D85" s="239">
        <v>1</v>
      </c>
      <c r="E85" s="239">
        <f t="shared" si="10"/>
        <v>1</v>
      </c>
      <c r="F85" s="238">
        <f t="shared" si="11"/>
        <v>0</v>
      </c>
    </row>
    <row r="86" spans="1:6" ht="20.25" customHeight="1">
      <c r="A86" s="235">
        <v>8</v>
      </c>
      <c r="B86" s="236" t="s">
        <v>554</v>
      </c>
      <c r="C86" s="239">
        <v>0</v>
      </c>
      <c r="D86" s="239">
        <v>1</v>
      </c>
      <c r="E86" s="239">
        <f t="shared" si="10"/>
        <v>1</v>
      </c>
      <c r="F86" s="238">
        <f t="shared" si="11"/>
        <v>0</v>
      </c>
    </row>
    <row r="87" spans="1:6" ht="20.25" customHeight="1">
      <c r="A87" s="235">
        <v>9</v>
      </c>
      <c r="B87" s="236" t="s">
        <v>555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>
      <c r="A88" s="241"/>
      <c r="B88" s="242" t="s">
        <v>556</v>
      </c>
      <c r="C88" s="243">
        <f>+C79+C81</f>
        <v>0</v>
      </c>
      <c r="D88" s="243">
        <f>+D79+D81</f>
        <v>25547</v>
      </c>
      <c r="E88" s="243">
        <f t="shared" si="10"/>
        <v>25547</v>
      </c>
      <c r="F88" s="244">
        <f t="shared" si="11"/>
        <v>0</v>
      </c>
    </row>
    <row r="89" spans="1:6" s="240" customFormat="1" ht="20.25" customHeight="1">
      <c r="A89" s="241"/>
      <c r="B89" s="242" t="s">
        <v>557</v>
      </c>
      <c r="C89" s="243">
        <f>+C80+C82</f>
        <v>0</v>
      </c>
      <c r="D89" s="243">
        <f>+D80+D82</f>
        <v>11537</v>
      </c>
      <c r="E89" s="243">
        <f t="shared" si="10"/>
        <v>11537</v>
      </c>
      <c r="F89" s="244">
        <f t="shared" si="11"/>
        <v>0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299</v>
      </c>
      <c r="B91" s="231" t="s">
        <v>563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549</v>
      </c>
      <c r="C92" s="237">
        <v>0</v>
      </c>
      <c r="D92" s="237">
        <v>0</v>
      </c>
      <c r="E92" s="237">
        <f aca="true" t="shared" si="12" ref="E92:E102">D92-C92</f>
        <v>0</v>
      </c>
      <c r="F92" s="238">
        <f aca="true" t="shared" si="13" ref="F92:F102">IF(C92=0,0,E92/C92)</f>
        <v>0</v>
      </c>
    </row>
    <row r="93" spans="1:6" ht="20.25" customHeight="1">
      <c r="A93" s="235">
        <v>2</v>
      </c>
      <c r="B93" s="236" t="s">
        <v>550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>
      <c r="A94" s="235">
        <v>3</v>
      </c>
      <c r="B94" s="236" t="s">
        <v>551</v>
      </c>
      <c r="C94" s="237">
        <v>2378</v>
      </c>
      <c r="D94" s="237">
        <v>69704</v>
      </c>
      <c r="E94" s="237">
        <f t="shared" si="12"/>
        <v>67326</v>
      </c>
      <c r="F94" s="238">
        <f t="shared" si="13"/>
        <v>28.31202691337258</v>
      </c>
    </row>
    <row r="95" spans="1:6" ht="20.25" customHeight="1">
      <c r="A95" s="235">
        <v>4</v>
      </c>
      <c r="B95" s="236" t="s">
        <v>552</v>
      </c>
      <c r="C95" s="237">
        <v>799</v>
      </c>
      <c r="D95" s="237">
        <v>20291</v>
      </c>
      <c r="E95" s="237">
        <f t="shared" si="12"/>
        <v>19492</v>
      </c>
      <c r="F95" s="238">
        <f t="shared" si="13"/>
        <v>24.39549436795995</v>
      </c>
    </row>
    <row r="96" spans="1:6" ht="20.25" customHeight="1">
      <c r="A96" s="235">
        <v>5</v>
      </c>
      <c r="B96" s="236" t="s">
        <v>488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>
      <c r="A97" s="235">
        <v>6</v>
      </c>
      <c r="B97" s="236" t="s">
        <v>487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>
      <c r="A98" s="235">
        <v>7</v>
      </c>
      <c r="B98" s="236" t="s">
        <v>553</v>
      </c>
      <c r="C98" s="239">
        <v>10</v>
      </c>
      <c r="D98" s="239">
        <v>116</v>
      </c>
      <c r="E98" s="239">
        <f t="shared" si="12"/>
        <v>106</v>
      </c>
      <c r="F98" s="238">
        <f t="shared" si="13"/>
        <v>10.6</v>
      </c>
    </row>
    <row r="99" spans="1:6" ht="20.25" customHeight="1">
      <c r="A99" s="235">
        <v>8</v>
      </c>
      <c r="B99" s="236" t="s">
        <v>554</v>
      </c>
      <c r="C99" s="239">
        <v>2</v>
      </c>
      <c r="D99" s="239">
        <v>14</v>
      </c>
      <c r="E99" s="239">
        <f t="shared" si="12"/>
        <v>12</v>
      </c>
      <c r="F99" s="238">
        <f t="shared" si="13"/>
        <v>6</v>
      </c>
    </row>
    <row r="100" spans="1:6" ht="20.25" customHeight="1">
      <c r="A100" s="235">
        <v>9</v>
      </c>
      <c r="B100" s="236" t="s">
        <v>555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>
      <c r="A101" s="241"/>
      <c r="B101" s="242" t="s">
        <v>556</v>
      </c>
      <c r="C101" s="243">
        <f>+C92+C94</f>
        <v>2378</v>
      </c>
      <c r="D101" s="243">
        <f>+D92+D94</f>
        <v>69704</v>
      </c>
      <c r="E101" s="243">
        <f t="shared" si="12"/>
        <v>67326</v>
      </c>
      <c r="F101" s="244">
        <f t="shared" si="13"/>
        <v>28.31202691337258</v>
      </c>
    </row>
    <row r="102" spans="1:6" s="240" customFormat="1" ht="20.25" customHeight="1">
      <c r="A102" s="241"/>
      <c r="B102" s="242" t="s">
        <v>557</v>
      </c>
      <c r="C102" s="243">
        <f>+C93+C95</f>
        <v>799</v>
      </c>
      <c r="D102" s="243">
        <f>+D93+D95</f>
        <v>20291</v>
      </c>
      <c r="E102" s="243">
        <f t="shared" si="12"/>
        <v>19492</v>
      </c>
      <c r="F102" s="244">
        <f t="shared" si="13"/>
        <v>24.39549436795995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302</v>
      </c>
      <c r="B104" s="231" t="s">
        <v>564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549</v>
      </c>
      <c r="C105" s="237">
        <v>31799</v>
      </c>
      <c r="D105" s="237">
        <v>12195</v>
      </c>
      <c r="E105" s="237">
        <f aca="true" t="shared" si="14" ref="E105:E115">D105-C105</f>
        <v>-19604</v>
      </c>
      <c r="F105" s="238">
        <f aca="true" t="shared" si="15" ref="F105:F115">IF(C105=0,0,E105/C105)</f>
        <v>-0.616497374131262</v>
      </c>
    </row>
    <row r="106" spans="1:6" ht="20.25" customHeight="1">
      <c r="A106" s="235">
        <v>2</v>
      </c>
      <c r="B106" s="236" t="s">
        <v>550</v>
      </c>
      <c r="C106" s="237">
        <v>26356</v>
      </c>
      <c r="D106" s="237">
        <v>8247</v>
      </c>
      <c r="E106" s="237">
        <f t="shared" si="14"/>
        <v>-18109</v>
      </c>
      <c r="F106" s="238">
        <f t="shared" si="15"/>
        <v>-0.6870921232356959</v>
      </c>
    </row>
    <row r="107" spans="1:6" ht="20.25" customHeight="1">
      <c r="A107" s="235">
        <v>3</v>
      </c>
      <c r="B107" s="236" t="s">
        <v>551</v>
      </c>
      <c r="C107" s="237">
        <v>2311</v>
      </c>
      <c r="D107" s="237">
        <v>11819</v>
      </c>
      <c r="E107" s="237">
        <f t="shared" si="14"/>
        <v>9508</v>
      </c>
      <c r="F107" s="238">
        <f t="shared" si="15"/>
        <v>4.11423626135872</v>
      </c>
    </row>
    <row r="108" spans="1:6" ht="20.25" customHeight="1">
      <c r="A108" s="235">
        <v>4</v>
      </c>
      <c r="B108" s="236" t="s">
        <v>552</v>
      </c>
      <c r="C108" s="237">
        <v>917</v>
      </c>
      <c r="D108" s="237">
        <v>5093</v>
      </c>
      <c r="E108" s="237">
        <f t="shared" si="14"/>
        <v>4176</v>
      </c>
      <c r="F108" s="238">
        <f t="shared" si="15"/>
        <v>4.553980370774264</v>
      </c>
    </row>
    <row r="109" spans="1:6" ht="20.25" customHeight="1">
      <c r="A109" s="235">
        <v>5</v>
      </c>
      <c r="B109" s="236" t="s">
        <v>488</v>
      </c>
      <c r="C109" s="239">
        <v>2</v>
      </c>
      <c r="D109" s="239">
        <v>1</v>
      </c>
      <c r="E109" s="239">
        <f t="shared" si="14"/>
        <v>-1</v>
      </c>
      <c r="F109" s="238">
        <f t="shared" si="15"/>
        <v>-0.5</v>
      </c>
    </row>
    <row r="110" spans="1:6" ht="20.25" customHeight="1">
      <c r="A110" s="235">
        <v>6</v>
      </c>
      <c r="B110" s="236" t="s">
        <v>487</v>
      </c>
      <c r="C110" s="239">
        <v>13</v>
      </c>
      <c r="D110" s="239">
        <v>3</v>
      </c>
      <c r="E110" s="239">
        <f t="shared" si="14"/>
        <v>-10</v>
      </c>
      <c r="F110" s="238">
        <f t="shared" si="15"/>
        <v>-0.7692307692307693</v>
      </c>
    </row>
    <row r="111" spans="1:6" ht="20.25" customHeight="1">
      <c r="A111" s="235">
        <v>7</v>
      </c>
      <c r="B111" s="236" t="s">
        <v>553</v>
      </c>
      <c r="C111" s="239">
        <v>4</v>
      </c>
      <c r="D111" s="239">
        <v>4</v>
      </c>
      <c r="E111" s="239">
        <f t="shared" si="14"/>
        <v>0</v>
      </c>
      <c r="F111" s="238">
        <f t="shared" si="15"/>
        <v>0</v>
      </c>
    </row>
    <row r="112" spans="1:6" ht="20.25" customHeight="1">
      <c r="A112" s="235">
        <v>8</v>
      </c>
      <c r="B112" s="236" t="s">
        <v>554</v>
      </c>
      <c r="C112" s="239">
        <v>2</v>
      </c>
      <c r="D112" s="239">
        <v>5</v>
      </c>
      <c r="E112" s="239">
        <f t="shared" si="14"/>
        <v>3</v>
      </c>
      <c r="F112" s="238">
        <f t="shared" si="15"/>
        <v>1.5</v>
      </c>
    </row>
    <row r="113" spans="1:6" ht="20.25" customHeight="1">
      <c r="A113" s="235">
        <v>9</v>
      </c>
      <c r="B113" s="236" t="s">
        <v>555</v>
      </c>
      <c r="C113" s="239">
        <v>2</v>
      </c>
      <c r="D113" s="239">
        <v>1</v>
      </c>
      <c r="E113" s="239">
        <f t="shared" si="14"/>
        <v>-1</v>
      </c>
      <c r="F113" s="238">
        <f t="shared" si="15"/>
        <v>-0.5</v>
      </c>
    </row>
    <row r="114" spans="1:6" s="240" customFormat="1" ht="20.25" customHeight="1">
      <c r="A114" s="241"/>
      <c r="B114" s="242" t="s">
        <v>556</v>
      </c>
      <c r="C114" s="243">
        <f>+C105+C107</f>
        <v>34110</v>
      </c>
      <c r="D114" s="243">
        <f>+D105+D107</f>
        <v>24014</v>
      </c>
      <c r="E114" s="243">
        <f t="shared" si="14"/>
        <v>-10096</v>
      </c>
      <c r="F114" s="244">
        <f t="shared" si="15"/>
        <v>-0.29598358252711815</v>
      </c>
    </row>
    <row r="115" spans="1:6" s="240" customFormat="1" ht="20.25" customHeight="1">
      <c r="A115" s="241"/>
      <c r="B115" s="242" t="s">
        <v>557</v>
      </c>
      <c r="C115" s="243">
        <f>+C106+C108</f>
        <v>27273</v>
      </c>
      <c r="D115" s="243">
        <f>+D106+D108</f>
        <v>13340</v>
      </c>
      <c r="E115" s="243">
        <f t="shared" si="14"/>
        <v>-13933</v>
      </c>
      <c r="F115" s="244">
        <f t="shared" si="15"/>
        <v>-0.5108715579510872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305</v>
      </c>
      <c r="B117" s="231" t="s">
        <v>565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549</v>
      </c>
      <c r="C118" s="237">
        <v>393276</v>
      </c>
      <c r="D118" s="237">
        <v>635687</v>
      </c>
      <c r="E118" s="237">
        <f aca="true" t="shared" si="16" ref="E118:E128">D118-C118</f>
        <v>242411</v>
      </c>
      <c r="F118" s="238">
        <f aca="true" t="shared" si="17" ref="F118:F128">IF(C118=0,0,E118/C118)</f>
        <v>0.6163889990744413</v>
      </c>
    </row>
    <row r="119" spans="1:6" ht="20.25" customHeight="1">
      <c r="A119" s="235">
        <v>2</v>
      </c>
      <c r="B119" s="236" t="s">
        <v>550</v>
      </c>
      <c r="C119" s="237">
        <v>230241</v>
      </c>
      <c r="D119" s="237">
        <v>421997</v>
      </c>
      <c r="E119" s="237">
        <f t="shared" si="16"/>
        <v>191756</v>
      </c>
      <c r="F119" s="238">
        <f t="shared" si="17"/>
        <v>0.8328490581607967</v>
      </c>
    </row>
    <row r="120" spans="1:6" ht="20.25" customHeight="1">
      <c r="A120" s="235">
        <v>3</v>
      </c>
      <c r="B120" s="236" t="s">
        <v>551</v>
      </c>
      <c r="C120" s="237">
        <v>142560</v>
      </c>
      <c r="D120" s="237">
        <v>519036</v>
      </c>
      <c r="E120" s="237">
        <f t="shared" si="16"/>
        <v>376476</v>
      </c>
      <c r="F120" s="238">
        <f t="shared" si="17"/>
        <v>2.6408249158249157</v>
      </c>
    </row>
    <row r="121" spans="1:6" ht="20.25" customHeight="1">
      <c r="A121" s="235">
        <v>4</v>
      </c>
      <c r="B121" s="236" t="s">
        <v>552</v>
      </c>
      <c r="C121" s="237">
        <v>72590</v>
      </c>
      <c r="D121" s="237">
        <v>229706</v>
      </c>
      <c r="E121" s="237">
        <f t="shared" si="16"/>
        <v>157116</v>
      </c>
      <c r="F121" s="238">
        <f t="shared" si="17"/>
        <v>2.164430362308858</v>
      </c>
    </row>
    <row r="122" spans="1:6" ht="20.25" customHeight="1">
      <c r="A122" s="235">
        <v>5</v>
      </c>
      <c r="B122" s="236" t="s">
        <v>488</v>
      </c>
      <c r="C122" s="239">
        <v>25</v>
      </c>
      <c r="D122" s="239">
        <v>51</v>
      </c>
      <c r="E122" s="239">
        <f t="shared" si="16"/>
        <v>26</v>
      </c>
      <c r="F122" s="238">
        <f t="shared" si="17"/>
        <v>1.04</v>
      </c>
    </row>
    <row r="123" spans="1:6" ht="20.25" customHeight="1">
      <c r="A123" s="235">
        <v>6</v>
      </c>
      <c r="B123" s="236" t="s">
        <v>487</v>
      </c>
      <c r="C123" s="239">
        <v>151</v>
      </c>
      <c r="D123" s="239">
        <v>213</v>
      </c>
      <c r="E123" s="239">
        <f t="shared" si="16"/>
        <v>62</v>
      </c>
      <c r="F123" s="238">
        <f t="shared" si="17"/>
        <v>0.4105960264900662</v>
      </c>
    </row>
    <row r="124" spans="1:6" ht="20.25" customHeight="1">
      <c r="A124" s="235">
        <v>7</v>
      </c>
      <c r="B124" s="236" t="s">
        <v>553</v>
      </c>
      <c r="C124" s="239">
        <v>459</v>
      </c>
      <c r="D124" s="239">
        <v>980</v>
      </c>
      <c r="E124" s="239">
        <f t="shared" si="16"/>
        <v>521</v>
      </c>
      <c r="F124" s="238">
        <f t="shared" si="17"/>
        <v>1.1350762527233116</v>
      </c>
    </row>
    <row r="125" spans="1:6" ht="20.25" customHeight="1">
      <c r="A125" s="235">
        <v>8</v>
      </c>
      <c r="B125" s="236" t="s">
        <v>554</v>
      </c>
      <c r="C125" s="239">
        <v>44</v>
      </c>
      <c r="D125" s="239">
        <v>117</v>
      </c>
      <c r="E125" s="239">
        <f t="shared" si="16"/>
        <v>73</v>
      </c>
      <c r="F125" s="238">
        <f t="shared" si="17"/>
        <v>1.6590909090909092</v>
      </c>
    </row>
    <row r="126" spans="1:6" ht="20.25" customHeight="1">
      <c r="A126" s="235">
        <v>9</v>
      </c>
      <c r="B126" s="236" t="s">
        <v>555</v>
      </c>
      <c r="C126" s="239">
        <v>21</v>
      </c>
      <c r="D126" s="239">
        <v>33</v>
      </c>
      <c r="E126" s="239">
        <f t="shared" si="16"/>
        <v>12</v>
      </c>
      <c r="F126" s="238">
        <f t="shared" si="17"/>
        <v>0.5714285714285714</v>
      </c>
    </row>
    <row r="127" spans="1:6" s="240" customFormat="1" ht="20.25" customHeight="1">
      <c r="A127" s="241"/>
      <c r="B127" s="242" t="s">
        <v>556</v>
      </c>
      <c r="C127" s="243">
        <f>+C118+C120</f>
        <v>535836</v>
      </c>
      <c r="D127" s="243">
        <f>+D118+D120</f>
        <v>1154723</v>
      </c>
      <c r="E127" s="243">
        <f t="shared" si="16"/>
        <v>618887</v>
      </c>
      <c r="F127" s="244">
        <f t="shared" si="17"/>
        <v>1.1549933188512904</v>
      </c>
    </row>
    <row r="128" spans="1:6" s="240" customFormat="1" ht="20.25" customHeight="1">
      <c r="A128" s="241"/>
      <c r="B128" s="242" t="s">
        <v>557</v>
      </c>
      <c r="C128" s="243">
        <f>+C119+C121</f>
        <v>302831</v>
      </c>
      <c r="D128" s="243">
        <f>+D119+D121</f>
        <v>651703</v>
      </c>
      <c r="E128" s="243">
        <f t="shared" si="16"/>
        <v>348872</v>
      </c>
      <c r="F128" s="244">
        <f t="shared" si="17"/>
        <v>1.152035293612609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314</v>
      </c>
      <c r="B130" s="231" t="s">
        <v>566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549</v>
      </c>
      <c r="C131" s="237">
        <v>9063</v>
      </c>
      <c r="D131" s="237">
        <v>6822</v>
      </c>
      <c r="E131" s="237">
        <f aca="true" t="shared" si="18" ref="E131:E141">D131-C131</f>
        <v>-2241</v>
      </c>
      <c r="F131" s="238">
        <f aca="true" t="shared" si="19" ref="F131:F141">IF(C131=0,0,E131/C131)</f>
        <v>-0.24726911618669314</v>
      </c>
    </row>
    <row r="132" spans="1:6" ht="20.25" customHeight="1">
      <c r="A132" s="235">
        <v>2</v>
      </c>
      <c r="B132" s="236" t="s">
        <v>550</v>
      </c>
      <c r="C132" s="237">
        <v>5787</v>
      </c>
      <c r="D132" s="237">
        <v>4641</v>
      </c>
      <c r="E132" s="237">
        <f t="shared" si="18"/>
        <v>-1146</v>
      </c>
      <c r="F132" s="238">
        <f t="shared" si="19"/>
        <v>-0.1980300673924313</v>
      </c>
    </row>
    <row r="133" spans="1:6" ht="20.25" customHeight="1">
      <c r="A133" s="235">
        <v>3</v>
      </c>
      <c r="B133" s="236" t="s">
        <v>551</v>
      </c>
      <c r="C133" s="237">
        <v>16426</v>
      </c>
      <c r="D133" s="237">
        <v>6819</v>
      </c>
      <c r="E133" s="237">
        <f t="shared" si="18"/>
        <v>-9607</v>
      </c>
      <c r="F133" s="238">
        <f t="shared" si="19"/>
        <v>-0.5848654572019968</v>
      </c>
    </row>
    <row r="134" spans="1:6" ht="20.25" customHeight="1">
      <c r="A134" s="235">
        <v>4</v>
      </c>
      <c r="B134" s="236" t="s">
        <v>552</v>
      </c>
      <c r="C134" s="237">
        <v>9260</v>
      </c>
      <c r="D134" s="237">
        <v>4166</v>
      </c>
      <c r="E134" s="237">
        <f t="shared" si="18"/>
        <v>-5094</v>
      </c>
      <c r="F134" s="238">
        <f t="shared" si="19"/>
        <v>-0.5501079913606911</v>
      </c>
    </row>
    <row r="135" spans="1:6" ht="20.25" customHeight="1">
      <c r="A135" s="235">
        <v>5</v>
      </c>
      <c r="B135" s="236" t="s">
        <v>488</v>
      </c>
      <c r="C135" s="239">
        <v>1</v>
      </c>
      <c r="D135" s="239">
        <v>1</v>
      </c>
      <c r="E135" s="239">
        <f t="shared" si="18"/>
        <v>0</v>
      </c>
      <c r="F135" s="238">
        <f t="shared" si="19"/>
        <v>0</v>
      </c>
    </row>
    <row r="136" spans="1:6" ht="20.25" customHeight="1">
      <c r="A136" s="235">
        <v>6</v>
      </c>
      <c r="B136" s="236" t="s">
        <v>487</v>
      </c>
      <c r="C136" s="239">
        <v>3</v>
      </c>
      <c r="D136" s="239">
        <v>2</v>
      </c>
      <c r="E136" s="239">
        <f t="shared" si="18"/>
        <v>-1</v>
      </c>
      <c r="F136" s="238">
        <f t="shared" si="19"/>
        <v>-0.3333333333333333</v>
      </c>
    </row>
    <row r="137" spans="1:6" ht="20.25" customHeight="1">
      <c r="A137" s="235">
        <v>7</v>
      </c>
      <c r="B137" s="236" t="s">
        <v>553</v>
      </c>
      <c r="C137" s="239">
        <v>60</v>
      </c>
      <c r="D137" s="239">
        <v>13</v>
      </c>
      <c r="E137" s="239">
        <f t="shared" si="18"/>
        <v>-47</v>
      </c>
      <c r="F137" s="238">
        <f t="shared" si="19"/>
        <v>-0.7833333333333333</v>
      </c>
    </row>
    <row r="138" spans="1:6" ht="20.25" customHeight="1">
      <c r="A138" s="235">
        <v>8</v>
      </c>
      <c r="B138" s="236" t="s">
        <v>554</v>
      </c>
      <c r="C138" s="239">
        <v>2</v>
      </c>
      <c r="D138" s="239">
        <v>3</v>
      </c>
      <c r="E138" s="239">
        <f t="shared" si="18"/>
        <v>1</v>
      </c>
      <c r="F138" s="238">
        <f t="shared" si="19"/>
        <v>0.5</v>
      </c>
    </row>
    <row r="139" spans="1:6" ht="20.25" customHeight="1">
      <c r="A139" s="235">
        <v>9</v>
      </c>
      <c r="B139" s="236" t="s">
        <v>555</v>
      </c>
      <c r="C139" s="239">
        <v>1</v>
      </c>
      <c r="D139" s="239">
        <v>1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>
      <c r="A140" s="241"/>
      <c r="B140" s="242" t="s">
        <v>556</v>
      </c>
      <c r="C140" s="243">
        <f>+C131+C133</f>
        <v>25489</v>
      </c>
      <c r="D140" s="243">
        <f>+D131+D133</f>
        <v>13641</v>
      </c>
      <c r="E140" s="243">
        <f t="shared" si="18"/>
        <v>-11848</v>
      </c>
      <c r="F140" s="244">
        <f t="shared" si="19"/>
        <v>-0.46482796500451173</v>
      </c>
    </row>
    <row r="141" spans="1:6" s="240" customFormat="1" ht="20.25" customHeight="1">
      <c r="A141" s="241"/>
      <c r="B141" s="242" t="s">
        <v>557</v>
      </c>
      <c r="C141" s="243">
        <f>+C132+C134</f>
        <v>15047</v>
      </c>
      <c r="D141" s="243">
        <f>+D132+D134</f>
        <v>8807</v>
      </c>
      <c r="E141" s="243">
        <f t="shared" si="18"/>
        <v>-6240</v>
      </c>
      <c r="F141" s="244">
        <f t="shared" si="19"/>
        <v>-0.4147006047717153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333</v>
      </c>
      <c r="B143" s="231" t="s">
        <v>567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549</v>
      </c>
      <c r="C144" s="237">
        <v>0</v>
      </c>
      <c r="D144" s="237">
        <v>22328</v>
      </c>
      <c r="E144" s="237">
        <f aca="true" t="shared" si="20" ref="E144:E154">D144-C144</f>
        <v>22328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550</v>
      </c>
      <c r="C145" s="237">
        <v>0</v>
      </c>
      <c r="D145" s="237">
        <v>18858</v>
      </c>
      <c r="E145" s="237">
        <f t="shared" si="20"/>
        <v>18858</v>
      </c>
      <c r="F145" s="238">
        <f t="shared" si="21"/>
        <v>0</v>
      </c>
    </row>
    <row r="146" spans="1:6" ht="20.25" customHeight="1">
      <c r="A146" s="235">
        <v>3</v>
      </c>
      <c r="B146" s="236" t="s">
        <v>551</v>
      </c>
      <c r="C146" s="237">
        <v>3508</v>
      </c>
      <c r="D146" s="237">
        <v>16183</v>
      </c>
      <c r="E146" s="237">
        <f t="shared" si="20"/>
        <v>12675</v>
      </c>
      <c r="F146" s="238">
        <f t="shared" si="21"/>
        <v>3.613169897377423</v>
      </c>
    </row>
    <row r="147" spans="1:6" ht="20.25" customHeight="1">
      <c r="A147" s="235">
        <v>4</v>
      </c>
      <c r="B147" s="236" t="s">
        <v>552</v>
      </c>
      <c r="C147" s="237">
        <v>1412</v>
      </c>
      <c r="D147" s="237">
        <v>4053</v>
      </c>
      <c r="E147" s="237">
        <f t="shared" si="20"/>
        <v>2641</v>
      </c>
      <c r="F147" s="238">
        <f t="shared" si="21"/>
        <v>1.8703966005665722</v>
      </c>
    </row>
    <row r="148" spans="1:6" ht="20.25" customHeight="1">
      <c r="A148" s="235">
        <v>5</v>
      </c>
      <c r="B148" s="236" t="s">
        <v>488</v>
      </c>
      <c r="C148" s="239">
        <v>0</v>
      </c>
      <c r="D148" s="239">
        <v>1</v>
      </c>
      <c r="E148" s="239">
        <f t="shared" si="20"/>
        <v>1</v>
      </c>
      <c r="F148" s="238">
        <f t="shared" si="21"/>
        <v>0</v>
      </c>
    </row>
    <row r="149" spans="1:6" ht="20.25" customHeight="1">
      <c r="A149" s="235">
        <v>6</v>
      </c>
      <c r="B149" s="236" t="s">
        <v>487</v>
      </c>
      <c r="C149" s="239">
        <v>0</v>
      </c>
      <c r="D149" s="239">
        <v>7</v>
      </c>
      <c r="E149" s="239">
        <f t="shared" si="20"/>
        <v>7</v>
      </c>
      <c r="F149" s="238">
        <f t="shared" si="21"/>
        <v>0</v>
      </c>
    </row>
    <row r="150" spans="1:6" ht="20.25" customHeight="1">
      <c r="A150" s="235">
        <v>7</v>
      </c>
      <c r="B150" s="236" t="s">
        <v>553</v>
      </c>
      <c r="C150" s="239">
        <v>2</v>
      </c>
      <c r="D150" s="239">
        <v>37</v>
      </c>
      <c r="E150" s="239">
        <f t="shared" si="20"/>
        <v>35</v>
      </c>
      <c r="F150" s="238">
        <f t="shared" si="21"/>
        <v>17.5</v>
      </c>
    </row>
    <row r="151" spans="1:6" ht="20.25" customHeight="1">
      <c r="A151" s="235">
        <v>8</v>
      </c>
      <c r="B151" s="236" t="s">
        <v>554</v>
      </c>
      <c r="C151" s="239">
        <v>3</v>
      </c>
      <c r="D151" s="239">
        <v>2</v>
      </c>
      <c r="E151" s="239">
        <f t="shared" si="20"/>
        <v>-1</v>
      </c>
      <c r="F151" s="238">
        <f t="shared" si="21"/>
        <v>-0.3333333333333333</v>
      </c>
    </row>
    <row r="152" spans="1:6" ht="20.25" customHeight="1">
      <c r="A152" s="235">
        <v>9</v>
      </c>
      <c r="B152" s="236" t="s">
        <v>555</v>
      </c>
      <c r="C152" s="239">
        <v>1</v>
      </c>
      <c r="D152" s="239">
        <v>1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>
      <c r="A153" s="241"/>
      <c r="B153" s="242" t="s">
        <v>556</v>
      </c>
      <c r="C153" s="243">
        <f>+C144+C146</f>
        <v>3508</v>
      </c>
      <c r="D153" s="243">
        <f>+D144+D146</f>
        <v>38511</v>
      </c>
      <c r="E153" s="243">
        <f t="shared" si="20"/>
        <v>35003</v>
      </c>
      <c r="F153" s="244">
        <f t="shared" si="21"/>
        <v>9.978050171037628</v>
      </c>
    </row>
    <row r="154" spans="1:6" s="240" customFormat="1" ht="20.25" customHeight="1">
      <c r="A154" s="241"/>
      <c r="B154" s="242" t="s">
        <v>557</v>
      </c>
      <c r="C154" s="243">
        <f>+C145+C147</f>
        <v>1412</v>
      </c>
      <c r="D154" s="243">
        <f>+D145+D147</f>
        <v>22911</v>
      </c>
      <c r="E154" s="243">
        <f t="shared" si="20"/>
        <v>21499</v>
      </c>
      <c r="F154" s="244">
        <f t="shared" si="21"/>
        <v>15.225920679886686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568</v>
      </c>
      <c r="B156" s="231" t="s">
        <v>569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549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550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551</v>
      </c>
      <c r="C159" s="237">
        <v>1757</v>
      </c>
      <c r="D159" s="237">
        <v>6048</v>
      </c>
      <c r="E159" s="237">
        <f t="shared" si="22"/>
        <v>4291</v>
      </c>
      <c r="F159" s="238">
        <f t="shared" si="23"/>
        <v>2.442231075697211</v>
      </c>
    </row>
    <row r="160" spans="1:6" ht="20.25" customHeight="1">
      <c r="A160" s="235">
        <v>4</v>
      </c>
      <c r="B160" s="236" t="s">
        <v>552</v>
      </c>
      <c r="C160" s="237">
        <v>644</v>
      </c>
      <c r="D160" s="237">
        <v>2006</v>
      </c>
      <c r="E160" s="237">
        <f t="shared" si="22"/>
        <v>1362</v>
      </c>
      <c r="F160" s="238">
        <f t="shared" si="23"/>
        <v>2.1149068322981366</v>
      </c>
    </row>
    <row r="161" spans="1:6" ht="20.25" customHeight="1">
      <c r="A161" s="235">
        <v>5</v>
      </c>
      <c r="B161" s="236" t="s">
        <v>488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487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553</v>
      </c>
      <c r="C163" s="239">
        <v>10</v>
      </c>
      <c r="D163" s="239">
        <v>10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554</v>
      </c>
      <c r="C164" s="239">
        <v>1</v>
      </c>
      <c r="D164" s="239">
        <v>2</v>
      </c>
      <c r="E164" s="239">
        <f t="shared" si="22"/>
        <v>1</v>
      </c>
      <c r="F164" s="238">
        <f t="shared" si="23"/>
        <v>1</v>
      </c>
    </row>
    <row r="165" spans="1:6" ht="20.25" customHeight="1">
      <c r="A165" s="235">
        <v>9</v>
      </c>
      <c r="B165" s="236" t="s">
        <v>555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556</v>
      </c>
      <c r="C166" s="243">
        <f>+C157+C159</f>
        <v>1757</v>
      </c>
      <c r="D166" s="243">
        <f>+D157+D159</f>
        <v>6048</v>
      </c>
      <c r="E166" s="243">
        <f t="shared" si="22"/>
        <v>4291</v>
      </c>
      <c r="F166" s="244">
        <f t="shared" si="23"/>
        <v>2.442231075697211</v>
      </c>
    </row>
    <row r="167" spans="1:6" s="240" customFormat="1" ht="20.25" customHeight="1">
      <c r="A167" s="241"/>
      <c r="B167" s="242" t="s">
        <v>557</v>
      </c>
      <c r="C167" s="243">
        <f>+C158+C160</f>
        <v>644</v>
      </c>
      <c r="D167" s="243">
        <f>+D158+D160</f>
        <v>2006</v>
      </c>
      <c r="E167" s="243">
        <f t="shared" si="22"/>
        <v>1362</v>
      </c>
      <c r="F167" s="244">
        <f t="shared" si="23"/>
        <v>2.1149068322981366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570</v>
      </c>
      <c r="B169" s="231" t="s">
        <v>571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549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550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551</v>
      </c>
      <c r="C172" s="237">
        <v>0</v>
      </c>
      <c r="D172" s="237">
        <v>366</v>
      </c>
      <c r="E172" s="237">
        <f t="shared" si="24"/>
        <v>366</v>
      </c>
      <c r="F172" s="238">
        <f t="shared" si="25"/>
        <v>0</v>
      </c>
    </row>
    <row r="173" spans="1:6" ht="20.25" customHeight="1">
      <c r="A173" s="235">
        <v>4</v>
      </c>
      <c r="B173" s="236" t="s">
        <v>552</v>
      </c>
      <c r="C173" s="237">
        <v>0</v>
      </c>
      <c r="D173" s="237">
        <v>123</v>
      </c>
      <c r="E173" s="237">
        <f t="shared" si="24"/>
        <v>123</v>
      </c>
      <c r="F173" s="238">
        <f t="shared" si="25"/>
        <v>0</v>
      </c>
    </row>
    <row r="174" spans="1:6" ht="20.25" customHeight="1">
      <c r="A174" s="235">
        <v>5</v>
      </c>
      <c r="B174" s="236" t="s">
        <v>488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487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553</v>
      </c>
      <c r="C176" s="239">
        <v>0</v>
      </c>
      <c r="D176" s="239">
        <v>1</v>
      </c>
      <c r="E176" s="239">
        <f t="shared" si="24"/>
        <v>1</v>
      </c>
      <c r="F176" s="238">
        <f t="shared" si="25"/>
        <v>0</v>
      </c>
    </row>
    <row r="177" spans="1:6" ht="20.25" customHeight="1">
      <c r="A177" s="235">
        <v>8</v>
      </c>
      <c r="B177" s="236" t="s">
        <v>554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555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556</v>
      </c>
      <c r="C179" s="243">
        <f>+C170+C172</f>
        <v>0</v>
      </c>
      <c r="D179" s="243">
        <f>+D170+D172</f>
        <v>366</v>
      </c>
      <c r="E179" s="243">
        <f t="shared" si="24"/>
        <v>366</v>
      </c>
      <c r="F179" s="244">
        <f t="shared" si="25"/>
        <v>0</v>
      </c>
    </row>
    <row r="180" spans="1:6" s="240" customFormat="1" ht="20.25" customHeight="1">
      <c r="A180" s="241"/>
      <c r="B180" s="242" t="s">
        <v>557</v>
      </c>
      <c r="C180" s="243">
        <f>+C171+C173</f>
        <v>0</v>
      </c>
      <c r="D180" s="243">
        <f>+D171+D173</f>
        <v>123</v>
      </c>
      <c r="E180" s="243">
        <f t="shared" si="24"/>
        <v>123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572</v>
      </c>
      <c r="B182" s="231" t="s">
        <v>573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549</v>
      </c>
      <c r="C183" s="237">
        <v>12562</v>
      </c>
      <c r="D183" s="237">
        <v>0</v>
      </c>
      <c r="E183" s="237">
        <f aca="true" t="shared" si="26" ref="E183:E193">D183-C183</f>
        <v>-12562</v>
      </c>
      <c r="F183" s="238">
        <f aca="true" t="shared" si="27" ref="F183:F193">IF(C183=0,0,E183/C183)</f>
        <v>-1</v>
      </c>
    </row>
    <row r="184" spans="1:6" ht="20.25" customHeight="1">
      <c r="A184" s="235">
        <v>2</v>
      </c>
      <c r="B184" s="236" t="s">
        <v>550</v>
      </c>
      <c r="C184" s="237">
        <v>12329</v>
      </c>
      <c r="D184" s="237">
        <v>0</v>
      </c>
      <c r="E184" s="237">
        <f t="shared" si="26"/>
        <v>-12329</v>
      </c>
      <c r="F184" s="238">
        <f t="shared" si="27"/>
        <v>-1</v>
      </c>
    </row>
    <row r="185" spans="1:6" ht="20.25" customHeight="1">
      <c r="A185" s="235">
        <v>3</v>
      </c>
      <c r="B185" s="236" t="s">
        <v>551</v>
      </c>
      <c r="C185" s="237">
        <v>5764</v>
      </c>
      <c r="D185" s="237">
        <v>19835</v>
      </c>
      <c r="E185" s="237">
        <f t="shared" si="26"/>
        <v>14071</v>
      </c>
      <c r="F185" s="238">
        <f t="shared" si="27"/>
        <v>2.4411866759195004</v>
      </c>
    </row>
    <row r="186" spans="1:6" ht="20.25" customHeight="1">
      <c r="A186" s="235">
        <v>4</v>
      </c>
      <c r="B186" s="236" t="s">
        <v>552</v>
      </c>
      <c r="C186" s="237">
        <v>2545</v>
      </c>
      <c r="D186" s="237">
        <v>3762</v>
      </c>
      <c r="E186" s="237">
        <f t="shared" si="26"/>
        <v>1217</v>
      </c>
      <c r="F186" s="238">
        <f t="shared" si="27"/>
        <v>0.4781925343811395</v>
      </c>
    </row>
    <row r="187" spans="1:6" ht="20.25" customHeight="1">
      <c r="A187" s="235">
        <v>5</v>
      </c>
      <c r="B187" s="236" t="s">
        <v>488</v>
      </c>
      <c r="C187" s="239">
        <v>2</v>
      </c>
      <c r="D187" s="239">
        <v>0</v>
      </c>
      <c r="E187" s="239">
        <f t="shared" si="26"/>
        <v>-2</v>
      </c>
      <c r="F187" s="238">
        <f t="shared" si="27"/>
        <v>-1</v>
      </c>
    </row>
    <row r="188" spans="1:6" ht="20.25" customHeight="1">
      <c r="A188" s="235">
        <v>6</v>
      </c>
      <c r="B188" s="236" t="s">
        <v>487</v>
      </c>
      <c r="C188" s="239">
        <v>5</v>
      </c>
      <c r="D188" s="239">
        <v>0</v>
      </c>
      <c r="E188" s="239">
        <f t="shared" si="26"/>
        <v>-5</v>
      </c>
      <c r="F188" s="238">
        <f t="shared" si="27"/>
        <v>-1</v>
      </c>
    </row>
    <row r="189" spans="1:6" ht="20.25" customHeight="1">
      <c r="A189" s="235">
        <v>7</v>
      </c>
      <c r="B189" s="236" t="s">
        <v>553</v>
      </c>
      <c r="C189" s="239">
        <v>8</v>
      </c>
      <c r="D189" s="239">
        <v>37</v>
      </c>
      <c r="E189" s="239">
        <f t="shared" si="26"/>
        <v>29</v>
      </c>
      <c r="F189" s="238">
        <f t="shared" si="27"/>
        <v>3.625</v>
      </c>
    </row>
    <row r="190" spans="1:6" ht="20.25" customHeight="1">
      <c r="A190" s="235">
        <v>8</v>
      </c>
      <c r="B190" s="236" t="s">
        <v>554</v>
      </c>
      <c r="C190" s="239">
        <v>6</v>
      </c>
      <c r="D190" s="239">
        <v>5</v>
      </c>
      <c r="E190" s="239">
        <f t="shared" si="26"/>
        <v>-1</v>
      </c>
      <c r="F190" s="238">
        <f t="shared" si="27"/>
        <v>-0.16666666666666666</v>
      </c>
    </row>
    <row r="191" spans="1:6" ht="20.25" customHeight="1">
      <c r="A191" s="235">
        <v>9</v>
      </c>
      <c r="B191" s="236" t="s">
        <v>555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>
      <c r="A192" s="241"/>
      <c r="B192" s="242" t="s">
        <v>556</v>
      </c>
      <c r="C192" s="243">
        <f>+C183+C185</f>
        <v>18326</v>
      </c>
      <c r="D192" s="243">
        <f>+D183+D185</f>
        <v>19835</v>
      </c>
      <c r="E192" s="243">
        <f t="shared" si="26"/>
        <v>1509</v>
      </c>
      <c r="F192" s="244">
        <f t="shared" si="27"/>
        <v>0.08234202772017898</v>
      </c>
    </row>
    <row r="193" spans="1:6" s="240" customFormat="1" ht="20.25" customHeight="1">
      <c r="A193" s="241"/>
      <c r="B193" s="242" t="s">
        <v>557</v>
      </c>
      <c r="C193" s="243">
        <f>+C184+C186</f>
        <v>14874</v>
      </c>
      <c r="D193" s="243">
        <f>+D184+D186</f>
        <v>3762</v>
      </c>
      <c r="E193" s="243">
        <f t="shared" si="26"/>
        <v>-11112</v>
      </c>
      <c r="F193" s="244">
        <f t="shared" si="27"/>
        <v>-0.7470754336425979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88" t="s">
        <v>159</v>
      </c>
      <c r="B195" s="689" t="s">
        <v>574</v>
      </c>
      <c r="C195" s="691"/>
      <c r="D195" s="692"/>
      <c r="E195" s="692"/>
      <c r="F195" s="693"/>
      <c r="G195" s="694"/>
      <c r="H195" s="694"/>
      <c r="I195" s="694"/>
    </row>
    <row r="196" spans="1:9" ht="20.25" customHeight="1">
      <c r="A196" s="680"/>
      <c r="B196" s="690"/>
      <c r="C196" s="686"/>
      <c r="D196" s="660"/>
      <c r="E196" s="660"/>
      <c r="F196" s="661"/>
      <c r="G196" s="694"/>
      <c r="H196" s="694"/>
      <c r="I196" s="694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575</v>
      </c>
      <c r="C198" s="243">
        <f aca="true" t="shared" si="28" ref="C198:D206">+C183+C170+C157+C144+C131+C118+C105+C92+C79+C66+C53+C40+C27+C14</f>
        <v>1230364</v>
      </c>
      <c r="D198" s="243">
        <f t="shared" si="28"/>
        <v>2715679</v>
      </c>
      <c r="E198" s="243">
        <f aca="true" t="shared" si="29" ref="E198:E208">D198-C198</f>
        <v>1485315</v>
      </c>
      <c r="F198" s="251">
        <f aca="true" t="shared" si="30" ref="F198:F208">IF(C198=0,0,E198/C198)</f>
        <v>1.207215913339467</v>
      </c>
    </row>
    <row r="199" spans="1:6" ht="20.25" customHeight="1">
      <c r="A199" s="249"/>
      <c r="B199" s="250" t="s">
        <v>576</v>
      </c>
      <c r="C199" s="243">
        <f t="shared" si="28"/>
        <v>749107</v>
      </c>
      <c r="D199" s="243">
        <f t="shared" si="28"/>
        <v>1539038</v>
      </c>
      <c r="E199" s="243">
        <f t="shared" si="29"/>
        <v>789931</v>
      </c>
      <c r="F199" s="251">
        <f t="shared" si="30"/>
        <v>1.0544968876275351</v>
      </c>
    </row>
    <row r="200" spans="1:6" ht="20.25" customHeight="1">
      <c r="A200" s="249"/>
      <c r="B200" s="250" t="s">
        <v>577</v>
      </c>
      <c r="C200" s="243">
        <f t="shared" si="28"/>
        <v>1025019</v>
      </c>
      <c r="D200" s="243">
        <f t="shared" si="28"/>
        <v>2185311</v>
      </c>
      <c r="E200" s="243">
        <f t="shared" si="29"/>
        <v>1160292</v>
      </c>
      <c r="F200" s="251">
        <f t="shared" si="30"/>
        <v>1.1319712122409438</v>
      </c>
    </row>
    <row r="201" spans="1:6" ht="20.25" customHeight="1">
      <c r="A201" s="249"/>
      <c r="B201" s="250" t="s">
        <v>578</v>
      </c>
      <c r="C201" s="243">
        <f t="shared" si="28"/>
        <v>495211</v>
      </c>
      <c r="D201" s="243">
        <f t="shared" si="28"/>
        <v>854426</v>
      </c>
      <c r="E201" s="243">
        <f t="shared" si="29"/>
        <v>359215</v>
      </c>
      <c r="F201" s="251">
        <f t="shared" si="30"/>
        <v>0.7253776672973743</v>
      </c>
    </row>
    <row r="202" spans="1:6" ht="20.25" customHeight="1">
      <c r="A202" s="249"/>
      <c r="B202" s="250" t="s">
        <v>579</v>
      </c>
      <c r="C202" s="252">
        <f t="shared" si="28"/>
        <v>85</v>
      </c>
      <c r="D202" s="252">
        <f t="shared" si="28"/>
        <v>191</v>
      </c>
      <c r="E202" s="252">
        <f t="shared" si="29"/>
        <v>106</v>
      </c>
      <c r="F202" s="251">
        <f t="shared" si="30"/>
        <v>1.2470588235294118</v>
      </c>
    </row>
    <row r="203" spans="1:6" ht="20.25" customHeight="1">
      <c r="A203" s="249"/>
      <c r="B203" s="250" t="s">
        <v>580</v>
      </c>
      <c r="C203" s="252">
        <f t="shared" si="28"/>
        <v>437</v>
      </c>
      <c r="D203" s="252">
        <f t="shared" si="28"/>
        <v>843</v>
      </c>
      <c r="E203" s="252">
        <f t="shared" si="29"/>
        <v>406</v>
      </c>
      <c r="F203" s="251">
        <f t="shared" si="30"/>
        <v>0.9290617848970252</v>
      </c>
    </row>
    <row r="204" spans="1:6" ht="39.75" customHeight="1">
      <c r="A204" s="249"/>
      <c r="B204" s="250" t="s">
        <v>581</v>
      </c>
      <c r="C204" s="252">
        <f t="shared" si="28"/>
        <v>1910</v>
      </c>
      <c r="D204" s="252">
        <f t="shared" si="28"/>
        <v>3804</v>
      </c>
      <c r="E204" s="252">
        <f t="shared" si="29"/>
        <v>1894</v>
      </c>
      <c r="F204" s="251">
        <f t="shared" si="30"/>
        <v>0.9916230366492147</v>
      </c>
    </row>
    <row r="205" spans="1:6" ht="39.75" customHeight="1">
      <c r="A205" s="249"/>
      <c r="B205" s="250" t="s">
        <v>582</v>
      </c>
      <c r="C205" s="252">
        <f t="shared" si="28"/>
        <v>265</v>
      </c>
      <c r="D205" s="252">
        <f t="shared" si="28"/>
        <v>438</v>
      </c>
      <c r="E205" s="252">
        <f t="shared" si="29"/>
        <v>173</v>
      </c>
      <c r="F205" s="251">
        <f t="shared" si="30"/>
        <v>0.6528301886792452</v>
      </c>
    </row>
    <row r="206" spans="1:6" ht="39.75" customHeight="1">
      <c r="A206" s="249"/>
      <c r="B206" s="250" t="s">
        <v>583</v>
      </c>
      <c r="C206" s="252">
        <f t="shared" si="28"/>
        <v>72</v>
      </c>
      <c r="D206" s="252">
        <f t="shared" si="28"/>
        <v>152</v>
      </c>
      <c r="E206" s="252">
        <f t="shared" si="29"/>
        <v>80</v>
      </c>
      <c r="F206" s="251">
        <f t="shared" si="30"/>
        <v>1.1111111111111112</v>
      </c>
    </row>
    <row r="207" spans="1:6" ht="20.25" customHeight="1">
      <c r="A207" s="249"/>
      <c r="B207" s="242" t="s">
        <v>584</v>
      </c>
      <c r="C207" s="243">
        <f>+C198+C200</f>
        <v>2255383</v>
      </c>
      <c r="D207" s="243">
        <f>+D198+D200</f>
        <v>4900990</v>
      </c>
      <c r="E207" s="243">
        <f t="shared" si="29"/>
        <v>2645607</v>
      </c>
      <c r="F207" s="251">
        <f t="shared" si="30"/>
        <v>1.173018950661595</v>
      </c>
    </row>
    <row r="208" spans="1:6" ht="20.25" customHeight="1">
      <c r="A208" s="249"/>
      <c r="B208" s="242" t="s">
        <v>585</v>
      </c>
      <c r="C208" s="243">
        <f>+C199+C201</f>
        <v>1244318</v>
      </c>
      <c r="D208" s="243">
        <f>+D199+D201</f>
        <v>2393464</v>
      </c>
      <c r="E208" s="243">
        <f t="shared" si="29"/>
        <v>1149146</v>
      </c>
      <c r="F208" s="251">
        <f t="shared" si="30"/>
        <v>0.9235147285500973</v>
      </c>
    </row>
  </sheetData>
  <sheetProtection/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FILING&amp;RCHARLOTTE HUNGERFORD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B15" sqref="B15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115</v>
      </c>
      <c r="B2" s="687"/>
      <c r="C2" s="687"/>
      <c r="D2" s="687"/>
      <c r="E2" s="687"/>
      <c r="F2" s="687"/>
    </row>
    <row r="3" spans="1:6" ht="20.25" customHeight="1">
      <c r="A3" s="687" t="s">
        <v>116</v>
      </c>
      <c r="B3" s="687"/>
      <c r="C3" s="687"/>
      <c r="D3" s="687"/>
      <c r="E3" s="687"/>
      <c r="F3" s="687"/>
    </row>
    <row r="4" spans="1:6" ht="20.25" customHeight="1">
      <c r="A4" s="687" t="s">
        <v>117</v>
      </c>
      <c r="B4" s="687"/>
      <c r="C4" s="687"/>
      <c r="D4" s="687"/>
      <c r="E4" s="687"/>
      <c r="F4" s="687"/>
    </row>
    <row r="5" spans="1:6" ht="20.25" customHeight="1">
      <c r="A5" s="687" t="s">
        <v>586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545</v>
      </c>
      <c r="D8" s="223" t="s">
        <v>546</v>
      </c>
      <c r="E8" s="223" t="s">
        <v>547</v>
      </c>
      <c r="F8" s="224" t="s">
        <v>223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88" t="s">
        <v>127</v>
      </c>
      <c r="B10" s="689" t="s">
        <v>230</v>
      </c>
      <c r="C10" s="691"/>
      <c r="D10" s="692"/>
      <c r="E10" s="692"/>
      <c r="F10" s="693"/>
    </row>
    <row r="11" spans="1:6" ht="20.25" customHeight="1">
      <c r="A11" s="680"/>
      <c r="B11" s="690"/>
      <c r="C11" s="686"/>
      <c r="D11" s="660"/>
      <c r="E11" s="660"/>
      <c r="F11" s="661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225</v>
      </c>
      <c r="B13" s="261" t="s">
        <v>587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549</v>
      </c>
      <c r="C14" s="237">
        <v>1843193</v>
      </c>
      <c r="D14" s="237">
        <v>556053</v>
      </c>
      <c r="E14" s="237">
        <f aca="true" t="shared" si="0" ref="E14:E24">D14-C14</f>
        <v>-1287140</v>
      </c>
      <c r="F14" s="238">
        <f aca="true" t="shared" si="1" ref="F14:F24">IF(C14=0,0,E14/C14)</f>
        <v>-0.6983207944040586</v>
      </c>
    </row>
    <row r="15" spans="1:6" ht="20.25" customHeight="1">
      <c r="A15" s="235">
        <v>2</v>
      </c>
      <c r="B15" s="236" t="s">
        <v>550</v>
      </c>
      <c r="C15" s="237">
        <v>988192</v>
      </c>
      <c r="D15" s="237">
        <v>306828</v>
      </c>
      <c r="E15" s="237">
        <f t="shared" si="0"/>
        <v>-681364</v>
      </c>
      <c r="F15" s="238">
        <f t="shared" si="1"/>
        <v>-0.689505683106117</v>
      </c>
    </row>
    <row r="16" spans="1:6" ht="20.25" customHeight="1">
      <c r="A16" s="235">
        <v>3</v>
      </c>
      <c r="B16" s="236" t="s">
        <v>551</v>
      </c>
      <c r="C16" s="237">
        <v>5347462</v>
      </c>
      <c r="D16" s="237">
        <v>1301245</v>
      </c>
      <c r="E16" s="237">
        <f t="shared" si="0"/>
        <v>-4046217</v>
      </c>
      <c r="F16" s="238">
        <f t="shared" si="1"/>
        <v>-0.7566611974054234</v>
      </c>
    </row>
    <row r="17" spans="1:6" ht="20.25" customHeight="1">
      <c r="A17" s="235">
        <v>4</v>
      </c>
      <c r="B17" s="236" t="s">
        <v>552</v>
      </c>
      <c r="C17" s="237">
        <v>2074489</v>
      </c>
      <c r="D17" s="237">
        <v>595985</v>
      </c>
      <c r="E17" s="237">
        <f t="shared" si="0"/>
        <v>-1478504</v>
      </c>
      <c r="F17" s="238">
        <f t="shared" si="1"/>
        <v>-0.7127075631637478</v>
      </c>
    </row>
    <row r="18" spans="1:6" ht="20.25" customHeight="1">
      <c r="A18" s="235">
        <v>5</v>
      </c>
      <c r="B18" s="236" t="s">
        <v>488</v>
      </c>
      <c r="C18" s="239">
        <v>310</v>
      </c>
      <c r="D18" s="239">
        <v>78</v>
      </c>
      <c r="E18" s="239">
        <f t="shared" si="0"/>
        <v>-232</v>
      </c>
      <c r="F18" s="238">
        <f t="shared" si="1"/>
        <v>-0.7483870967741936</v>
      </c>
    </row>
    <row r="19" spans="1:6" ht="20.25" customHeight="1">
      <c r="A19" s="235">
        <v>6</v>
      </c>
      <c r="B19" s="236" t="s">
        <v>487</v>
      </c>
      <c r="C19" s="239">
        <v>1058</v>
      </c>
      <c r="D19" s="239">
        <v>227</v>
      </c>
      <c r="E19" s="239">
        <f t="shared" si="0"/>
        <v>-831</v>
      </c>
      <c r="F19" s="238">
        <f t="shared" si="1"/>
        <v>-0.7854442344045368</v>
      </c>
    </row>
    <row r="20" spans="1:6" ht="20.25" customHeight="1">
      <c r="A20" s="235">
        <v>7</v>
      </c>
      <c r="B20" s="236" t="s">
        <v>553</v>
      </c>
      <c r="C20" s="239">
        <v>7965</v>
      </c>
      <c r="D20" s="239">
        <v>1822</v>
      </c>
      <c r="E20" s="239">
        <f t="shared" si="0"/>
        <v>-6143</v>
      </c>
      <c r="F20" s="238">
        <f t="shared" si="1"/>
        <v>-0.771249215317012</v>
      </c>
    </row>
    <row r="21" spans="1:6" ht="20.25" customHeight="1">
      <c r="A21" s="235">
        <v>8</v>
      </c>
      <c r="B21" s="236" t="s">
        <v>554</v>
      </c>
      <c r="C21" s="239">
        <v>3678</v>
      </c>
      <c r="D21" s="239">
        <v>1069</v>
      </c>
      <c r="E21" s="239">
        <f t="shared" si="0"/>
        <v>-2609</v>
      </c>
      <c r="F21" s="238">
        <f t="shared" si="1"/>
        <v>-0.709352909189777</v>
      </c>
    </row>
    <row r="22" spans="1:6" ht="20.25" customHeight="1">
      <c r="A22" s="235">
        <v>9</v>
      </c>
      <c r="B22" s="236" t="s">
        <v>555</v>
      </c>
      <c r="C22" s="239">
        <v>78</v>
      </c>
      <c r="D22" s="239">
        <v>24</v>
      </c>
      <c r="E22" s="239">
        <f t="shared" si="0"/>
        <v>-54</v>
      </c>
      <c r="F22" s="238">
        <f t="shared" si="1"/>
        <v>-0.6923076923076923</v>
      </c>
    </row>
    <row r="23" spans="1:6" s="240" customFormat="1" ht="39.75" customHeight="1">
      <c r="A23" s="245"/>
      <c r="B23" s="242" t="s">
        <v>556</v>
      </c>
      <c r="C23" s="243">
        <f>+C14+C16</f>
        <v>7190655</v>
      </c>
      <c r="D23" s="243">
        <f>+D14+D16</f>
        <v>1857298</v>
      </c>
      <c r="E23" s="243">
        <f t="shared" si="0"/>
        <v>-5333357</v>
      </c>
      <c r="F23" s="244">
        <f t="shared" si="1"/>
        <v>-0.7417067012671308</v>
      </c>
    </row>
    <row r="24" spans="1:6" s="240" customFormat="1" ht="39.75" customHeight="1">
      <c r="A24" s="245"/>
      <c r="B24" s="242" t="s">
        <v>585</v>
      </c>
      <c r="C24" s="243">
        <f>+C15+C17</f>
        <v>3062681</v>
      </c>
      <c r="D24" s="243">
        <f>+D15+D17</f>
        <v>902813</v>
      </c>
      <c r="E24" s="243">
        <f t="shared" si="0"/>
        <v>-2159868</v>
      </c>
      <c r="F24" s="244">
        <f t="shared" si="1"/>
        <v>-0.7052213403877191</v>
      </c>
    </row>
    <row r="25" spans="1:6" ht="42" customHeight="1">
      <c r="A25" s="227" t="s">
        <v>239</v>
      </c>
      <c r="B25" s="261" t="s">
        <v>588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549</v>
      </c>
      <c r="C26" s="237">
        <v>338132</v>
      </c>
      <c r="D26" s="237">
        <v>1145714</v>
      </c>
      <c r="E26" s="237">
        <f aca="true" t="shared" si="2" ref="E26:E36">D26-C26</f>
        <v>807582</v>
      </c>
      <c r="F26" s="238">
        <f aca="true" t="shared" si="3" ref="F26:F36">IF(C26=0,0,E26/C26)</f>
        <v>2.38836312446027</v>
      </c>
    </row>
    <row r="27" spans="1:6" ht="20.25" customHeight="1">
      <c r="A27" s="235">
        <v>2</v>
      </c>
      <c r="B27" s="236" t="s">
        <v>550</v>
      </c>
      <c r="C27" s="237">
        <v>212704</v>
      </c>
      <c r="D27" s="237">
        <v>569298</v>
      </c>
      <c r="E27" s="237">
        <f t="shared" si="2"/>
        <v>356594</v>
      </c>
      <c r="F27" s="238">
        <f t="shared" si="3"/>
        <v>1.6764799909733714</v>
      </c>
    </row>
    <row r="28" spans="1:6" ht="20.25" customHeight="1">
      <c r="A28" s="235">
        <v>3</v>
      </c>
      <c r="B28" s="236" t="s">
        <v>551</v>
      </c>
      <c r="C28" s="237">
        <v>879109</v>
      </c>
      <c r="D28" s="237">
        <v>3609664</v>
      </c>
      <c r="E28" s="237">
        <f t="shared" si="2"/>
        <v>2730555</v>
      </c>
      <c r="F28" s="238">
        <f t="shared" si="3"/>
        <v>3.1060482829774236</v>
      </c>
    </row>
    <row r="29" spans="1:6" ht="20.25" customHeight="1">
      <c r="A29" s="235">
        <v>4</v>
      </c>
      <c r="B29" s="236" t="s">
        <v>552</v>
      </c>
      <c r="C29" s="237">
        <v>383042</v>
      </c>
      <c r="D29" s="237">
        <v>1405210</v>
      </c>
      <c r="E29" s="237">
        <f t="shared" si="2"/>
        <v>1022168</v>
      </c>
      <c r="F29" s="238">
        <f t="shared" si="3"/>
        <v>2.668553317912918</v>
      </c>
    </row>
    <row r="30" spans="1:6" ht="20.25" customHeight="1">
      <c r="A30" s="235">
        <v>5</v>
      </c>
      <c r="B30" s="236" t="s">
        <v>488</v>
      </c>
      <c r="C30" s="239">
        <v>80</v>
      </c>
      <c r="D30" s="239">
        <v>222</v>
      </c>
      <c r="E30" s="239">
        <f t="shared" si="2"/>
        <v>142</v>
      </c>
      <c r="F30" s="238">
        <f t="shared" si="3"/>
        <v>1.775</v>
      </c>
    </row>
    <row r="31" spans="1:6" ht="20.25" customHeight="1">
      <c r="A31" s="235">
        <v>6</v>
      </c>
      <c r="B31" s="236" t="s">
        <v>487</v>
      </c>
      <c r="C31" s="239">
        <v>204</v>
      </c>
      <c r="D31" s="239">
        <v>524</v>
      </c>
      <c r="E31" s="239">
        <f t="shared" si="2"/>
        <v>320</v>
      </c>
      <c r="F31" s="238">
        <f t="shared" si="3"/>
        <v>1.5686274509803921</v>
      </c>
    </row>
    <row r="32" spans="1:6" ht="20.25" customHeight="1">
      <c r="A32" s="235">
        <v>7</v>
      </c>
      <c r="B32" s="236" t="s">
        <v>553</v>
      </c>
      <c r="C32" s="239">
        <v>1359</v>
      </c>
      <c r="D32" s="239">
        <v>5233</v>
      </c>
      <c r="E32" s="239">
        <f t="shared" si="2"/>
        <v>3874</v>
      </c>
      <c r="F32" s="238">
        <f t="shared" si="3"/>
        <v>2.850625459896983</v>
      </c>
    </row>
    <row r="33" spans="1:6" ht="20.25" customHeight="1">
      <c r="A33" s="235">
        <v>8</v>
      </c>
      <c r="B33" s="236" t="s">
        <v>554</v>
      </c>
      <c r="C33" s="239">
        <v>631</v>
      </c>
      <c r="D33" s="239">
        <v>2855</v>
      </c>
      <c r="E33" s="239">
        <f t="shared" si="2"/>
        <v>2224</v>
      </c>
      <c r="F33" s="238">
        <f t="shared" si="3"/>
        <v>3.5245641838351824</v>
      </c>
    </row>
    <row r="34" spans="1:6" ht="20.25" customHeight="1">
      <c r="A34" s="235">
        <v>9</v>
      </c>
      <c r="B34" s="236" t="s">
        <v>555</v>
      </c>
      <c r="C34" s="239">
        <v>12</v>
      </c>
      <c r="D34" s="239">
        <v>36</v>
      </c>
      <c r="E34" s="239">
        <f t="shared" si="2"/>
        <v>24</v>
      </c>
      <c r="F34" s="238">
        <f t="shared" si="3"/>
        <v>2</v>
      </c>
    </row>
    <row r="35" spans="1:6" s="240" customFormat="1" ht="39.75" customHeight="1">
      <c r="A35" s="245"/>
      <c r="B35" s="242" t="s">
        <v>556</v>
      </c>
      <c r="C35" s="243">
        <f>+C26+C28</f>
        <v>1217241</v>
      </c>
      <c r="D35" s="243">
        <f>+D26+D28</f>
        <v>4755378</v>
      </c>
      <c r="E35" s="243">
        <f t="shared" si="2"/>
        <v>3538137</v>
      </c>
      <c r="F35" s="244">
        <f t="shared" si="3"/>
        <v>2.906685693301491</v>
      </c>
    </row>
    <row r="36" spans="1:6" s="240" customFormat="1" ht="39.75" customHeight="1">
      <c r="A36" s="245"/>
      <c r="B36" s="242" t="s">
        <v>585</v>
      </c>
      <c r="C36" s="243">
        <f>+C27+C29</f>
        <v>595746</v>
      </c>
      <c r="D36" s="243">
        <f>+D27+D29</f>
        <v>1974508</v>
      </c>
      <c r="E36" s="243">
        <f t="shared" si="2"/>
        <v>1378762</v>
      </c>
      <c r="F36" s="244">
        <f t="shared" si="3"/>
        <v>2.3143453753780974</v>
      </c>
    </row>
    <row r="37" spans="1:6" ht="42" customHeight="1">
      <c r="A37" s="227" t="s">
        <v>256</v>
      </c>
      <c r="B37" s="261" t="s">
        <v>589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549</v>
      </c>
      <c r="C38" s="237">
        <v>530744</v>
      </c>
      <c r="D38" s="237">
        <v>0</v>
      </c>
      <c r="E38" s="237">
        <f aca="true" t="shared" si="4" ref="E38:E48">D38-C38</f>
        <v>-530744</v>
      </c>
      <c r="F38" s="238">
        <f aca="true" t="shared" si="5" ref="F38:F48">IF(C38=0,0,E38/C38)</f>
        <v>-1</v>
      </c>
    </row>
    <row r="39" spans="1:6" ht="20.25" customHeight="1">
      <c r="A39" s="235">
        <v>2</v>
      </c>
      <c r="B39" s="236" t="s">
        <v>550</v>
      </c>
      <c r="C39" s="237">
        <v>266426</v>
      </c>
      <c r="D39" s="237">
        <v>0</v>
      </c>
      <c r="E39" s="237">
        <f t="shared" si="4"/>
        <v>-266426</v>
      </c>
      <c r="F39" s="238">
        <f t="shared" si="5"/>
        <v>-1</v>
      </c>
    </row>
    <row r="40" spans="1:6" ht="20.25" customHeight="1">
      <c r="A40" s="235">
        <v>3</v>
      </c>
      <c r="B40" s="236" t="s">
        <v>551</v>
      </c>
      <c r="C40" s="237">
        <v>1613269</v>
      </c>
      <c r="D40" s="237">
        <v>0</v>
      </c>
      <c r="E40" s="237">
        <f t="shared" si="4"/>
        <v>-1613269</v>
      </c>
      <c r="F40" s="238">
        <f t="shared" si="5"/>
        <v>-1</v>
      </c>
    </row>
    <row r="41" spans="1:6" ht="20.25" customHeight="1">
      <c r="A41" s="235">
        <v>4</v>
      </c>
      <c r="B41" s="236" t="s">
        <v>552</v>
      </c>
      <c r="C41" s="237">
        <v>667753</v>
      </c>
      <c r="D41" s="237">
        <v>0</v>
      </c>
      <c r="E41" s="237">
        <f t="shared" si="4"/>
        <v>-667753</v>
      </c>
      <c r="F41" s="238">
        <f t="shared" si="5"/>
        <v>-1</v>
      </c>
    </row>
    <row r="42" spans="1:6" ht="20.25" customHeight="1">
      <c r="A42" s="235">
        <v>5</v>
      </c>
      <c r="B42" s="236" t="s">
        <v>488</v>
      </c>
      <c r="C42" s="239">
        <v>88</v>
      </c>
      <c r="D42" s="239">
        <v>0</v>
      </c>
      <c r="E42" s="239">
        <f t="shared" si="4"/>
        <v>-88</v>
      </c>
      <c r="F42" s="238">
        <f t="shared" si="5"/>
        <v>-1</v>
      </c>
    </row>
    <row r="43" spans="1:6" ht="20.25" customHeight="1">
      <c r="A43" s="235">
        <v>6</v>
      </c>
      <c r="B43" s="236" t="s">
        <v>487</v>
      </c>
      <c r="C43" s="239">
        <v>289</v>
      </c>
      <c r="D43" s="239">
        <v>0</v>
      </c>
      <c r="E43" s="239">
        <f t="shared" si="4"/>
        <v>-289</v>
      </c>
      <c r="F43" s="238">
        <f t="shared" si="5"/>
        <v>-1</v>
      </c>
    </row>
    <row r="44" spans="1:6" ht="20.25" customHeight="1">
      <c r="A44" s="235">
        <v>7</v>
      </c>
      <c r="B44" s="236" t="s">
        <v>553</v>
      </c>
      <c r="C44" s="239">
        <v>2275</v>
      </c>
      <c r="D44" s="239">
        <v>0</v>
      </c>
      <c r="E44" s="239">
        <f t="shared" si="4"/>
        <v>-2275</v>
      </c>
      <c r="F44" s="238">
        <f t="shared" si="5"/>
        <v>-1</v>
      </c>
    </row>
    <row r="45" spans="1:6" ht="20.25" customHeight="1">
      <c r="A45" s="235">
        <v>8</v>
      </c>
      <c r="B45" s="236" t="s">
        <v>554</v>
      </c>
      <c r="C45" s="239">
        <v>1047</v>
      </c>
      <c r="D45" s="239">
        <v>0</v>
      </c>
      <c r="E45" s="239">
        <f t="shared" si="4"/>
        <v>-1047</v>
      </c>
      <c r="F45" s="238">
        <f t="shared" si="5"/>
        <v>-1</v>
      </c>
    </row>
    <row r="46" spans="1:6" ht="20.25" customHeight="1">
      <c r="A46" s="235">
        <v>9</v>
      </c>
      <c r="B46" s="236" t="s">
        <v>555</v>
      </c>
      <c r="C46" s="239">
        <v>25</v>
      </c>
      <c r="D46" s="239">
        <v>0</v>
      </c>
      <c r="E46" s="239">
        <f t="shared" si="4"/>
        <v>-25</v>
      </c>
      <c r="F46" s="238">
        <f t="shared" si="5"/>
        <v>-1</v>
      </c>
    </row>
    <row r="47" spans="1:6" s="240" customFormat="1" ht="39.75" customHeight="1">
      <c r="A47" s="245"/>
      <c r="B47" s="242" t="s">
        <v>556</v>
      </c>
      <c r="C47" s="243">
        <f>+C38+C40</f>
        <v>2144013</v>
      </c>
      <c r="D47" s="243">
        <f>+D38+D40</f>
        <v>0</v>
      </c>
      <c r="E47" s="243">
        <f t="shared" si="4"/>
        <v>-2144013</v>
      </c>
      <c r="F47" s="244">
        <f t="shared" si="5"/>
        <v>-1</v>
      </c>
    </row>
    <row r="48" spans="1:6" s="240" customFormat="1" ht="39.75" customHeight="1">
      <c r="A48" s="245"/>
      <c r="B48" s="242" t="s">
        <v>585</v>
      </c>
      <c r="C48" s="243">
        <f>+C39+C41</f>
        <v>934179</v>
      </c>
      <c r="D48" s="243">
        <f>+D39+D41</f>
        <v>0</v>
      </c>
      <c r="E48" s="243">
        <f t="shared" si="4"/>
        <v>-934179</v>
      </c>
      <c r="F48" s="244">
        <f t="shared" si="5"/>
        <v>-1</v>
      </c>
    </row>
    <row r="49" spans="1:6" ht="42" customHeight="1">
      <c r="A49" s="227" t="s">
        <v>286</v>
      </c>
      <c r="B49" s="261" t="s">
        <v>590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549</v>
      </c>
      <c r="C50" s="237">
        <v>0</v>
      </c>
      <c r="D50" s="237">
        <v>505056</v>
      </c>
      <c r="E50" s="237">
        <f aca="true" t="shared" si="6" ref="E50:E60">D50-C50</f>
        <v>505056</v>
      </c>
      <c r="F50" s="238">
        <f aca="true" t="shared" si="7" ref="F50:F60">IF(C50=0,0,E50/C50)</f>
        <v>0</v>
      </c>
    </row>
    <row r="51" spans="1:6" ht="20.25" customHeight="1">
      <c r="A51" s="235">
        <v>2</v>
      </c>
      <c r="B51" s="236" t="s">
        <v>550</v>
      </c>
      <c r="C51" s="237">
        <v>0</v>
      </c>
      <c r="D51" s="237">
        <v>303470</v>
      </c>
      <c r="E51" s="237">
        <f t="shared" si="6"/>
        <v>303470</v>
      </c>
      <c r="F51" s="238">
        <f t="shared" si="7"/>
        <v>0</v>
      </c>
    </row>
    <row r="52" spans="1:6" ht="20.25" customHeight="1">
      <c r="A52" s="235">
        <v>3</v>
      </c>
      <c r="B52" s="236" t="s">
        <v>551</v>
      </c>
      <c r="C52" s="237">
        <v>0</v>
      </c>
      <c r="D52" s="237">
        <v>2793332</v>
      </c>
      <c r="E52" s="237">
        <f t="shared" si="6"/>
        <v>2793332</v>
      </c>
      <c r="F52" s="238">
        <f t="shared" si="7"/>
        <v>0</v>
      </c>
    </row>
    <row r="53" spans="1:6" ht="20.25" customHeight="1">
      <c r="A53" s="235">
        <v>4</v>
      </c>
      <c r="B53" s="236" t="s">
        <v>552</v>
      </c>
      <c r="C53" s="237">
        <v>0</v>
      </c>
      <c r="D53" s="237">
        <v>1010558</v>
      </c>
      <c r="E53" s="237">
        <f t="shared" si="6"/>
        <v>1010558</v>
      </c>
      <c r="F53" s="238">
        <f t="shared" si="7"/>
        <v>0</v>
      </c>
    </row>
    <row r="54" spans="1:6" ht="20.25" customHeight="1">
      <c r="A54" s="235">
        <v>5</v>
      </c>
      <c r="B54" s="236" t="s">
        <v>488</v>
      </c>
      <c r="C54" s="239">
        <v>0</v>
      </c>
      <c r="D54" s="239">
        <v>58</v>
      </c>
      <c r="E54" s="239">
        <f t="shared" si="6"/>
        <v>58</v>
      </c>
      <c r="F54" s="238">
        <f t="shared" si="7"/>
        <v>0</v>
      </c>
    </row>
    <row r="55" spans="1:6" ht="20.25" customHeight="1">
      <c r="A55" s="235">
        <v>6</v>
      </c>
      <c r="B55" s="236" t="s">
        <v>487</v>
      </c>
      <c r="C55" s="239">
        <v>0</v>
      </c>
      <c r="D55" s="239">
        <v>324</v>
      </c>
      <c r="E55" s="239">
        <f t="shared" si="6"/>
        <v>324</v>
      </c>
      <c r="F55" s="238">
        <f t="shared" si="7"/>
        <v>0</v>
      </c>
    </row>
    <row r="56" spans="1:6" ht="20.25" customHeight="1">
      <c r="A56" s="235">
        <v>7</v>
      </c>
      <c r="B56" s="236" t="s">
        <v>553</v>
      </c>
      <c r="C56" s="239">
        <v>0</v>
      </c>
      <c r="D56" s="239">
        <v>4257</v>
      </c>
      <c r="E56" s="239">
        <f t="shared" si="6"/>
        <v>4257</v>
      </c>
      <c r="F56" s="238">
        <f t="shared" si="7"/>
        <v>0</v>
      </c>
    </row>
    <row r="57" spans="1:6" ht="20.25" customHeight="1">
      <c r="A57" s="235">
        <v>8</v>
      </c>
      <c r="B57" s="236" t="s">
        <v>554</v>
      </c>
      <c r="C57" s="239">
        <v>0</v>
      </c>
      <c r="D57" s="239">
        <v>201</v>
      </c>
      <c r="E57" s="239">
        <f t="shared" si="6"/>
        <v>201</v>
      </c>
      <c r="F57" s="238">
        <f t="shared" si="7"/>
        <v>0</v>
      </c>
    </row>
    <row r="58" spans="1:6" ht="20.25" customHeight="1">
      <c r="A58" s="235">
        <v>9</v>
      </c>
      <c r="B58" s="236" t="s">
        <v>555</v>
      </c>
      <c r="C58" s="239">
        <v>0</v>
      </c>
      <c r="D58" s="239">
        <v>35</v>
      </c>
      <c r="E58" s="239">
        <f t="shared" si="6"/>
        <v>35</v>
      </c>
      <c r="F58" s="238">
        <f t="shared" si="7"/>
        <v>0</v>
      </c>
    </row>
    <row r="59" spans="1:6" s="240" customFormat="1" ht="39.75" customHeight="1">
      <c r="A59" s="245"/>
      <c r="B59" s="242" t="s">
        <v>556</v>
      </c>
      <c r="C59" s="243">
        <f>+C50+C52</f>
        <v>0</v>
      </c>
      <c r="D59" s="243">
        <f>+D50+D52</f>
        <v>3298388</v>
      </c>
      <c r="E59" s="243">
        <f t="shared" si="6"/>
        <v>3298388</v>
      </c>
      <c r="F59" s="244">
        <f t="shared" si="7"/>
        <v>0</v>
      </c>
    </row>
    <row r="60" spans="1:6" s="240" customFormat="1" ht="39.75" customHeight="1">
      <c r="A60" s="245"/>
      <c r="B60" s="242" t="s">
        <v>585</v>
      </c>
      <c r="C60" s="243">
        <f>+C51+C53</f>
        <v>0</v>
      </c>
      <c r="D60" s="243">
        <f>+D51+D53</f>
        <v>1314028</v>
      </c>
      <c r="E60" s="243">
        <f t="shared" si="6"/>
        <v>1314028</v>
      </c>
      <c r="F60" s="244">
        <f t="shared" si="7"/>
        <v>0</v>
      </c>
    </row>
    <row r="61" spans="1:6" ht="42" customHeight="1">
      <c r="A61" s="227" t="s">
        <v>291</v>
      </c>
      <c r="B61" s="261" t="s">
        <v>564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549</v>
      </c>
      <c r="C62" s="237">
        <v>0</v>
      </c>
      <c r="D62" s="237">
        <v>0</v>
      </c>
      <c r="E62" s="237">
        <f aca="true" t="shared" si="8" ref="E62:E72">D62-C62</f>
        <v>0</v>
      </c>
      <c r="F62" s="238">
        <f aca="true" t="shared" si="9" ref="F62:F72">IF(C62=0,0,E62/C62)</f>
        <v>0</v>
      </c>
    </row>
    <row r="63" spans="1:6" ht="20.25" customHeight="1">
      <c r="A63" s="235">
        <v>2</v>
      </c>
      <c r="B63" s="236" t="s">
        <v>550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>
      <c r="A64" s="235">
        <v>3</v>
      </c>
      <c r="B64" s="236" t="s">
        <v>551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>
      <c r="A65" s="235">
        <v>4</v>
      </c>
      <c r="B65" s="236" t="s">
        <v>552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>
      <c r="A66" s="235">
        <v>5</v>
      </c>
      <c r="B66" s="236" t="s">
        <v>488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>
      <c r="A67" s="235">
        <v>6</v>
      </c>
      <c r="B67" s="236" t="s">
        <v>487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>
      <c r="A68" s="235">
        <v>7</v>
      </c>
      <c r="B68" s="236" t="s">
        <v>553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>
      <c r="A69" s="235">
        <v>8</v>
      </c>
      <c r="B69" s="236" t="s">
        <v>554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>
      <c r="A70" s="235">
        <v>9</v>
      </c>
      <c r="B70" s="236" t="s">
        <v>555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75" customHeight="1">
      <c r="A71" s="245"/>
      <c r="B71" s="242" t="s">
        <v>556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75" customHeight="1">
      <c r="A72" s="245"/>
      <c r="B72" s="242" t="s">
        <v>585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>
      <c r="A73" s="227" t="s">
        <v>297</v>
      </c>
      <c r="B73" s="261" t="s">
        <v>591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549</v>
      </c>
      <c r="C74" s="237">
        <v>31577</v>
      </c>
      <c r="D74" s="237">
        <v>0</v>
      </c>
      <c r="E74" s="237">
        <f aca="true" t="shared" si="10" ref="E74:E84">D74-C74</f>
        <v>-31577</v>
      </c>
      <c r="F74" s="238">
        <f aca="true" t="shared" si="11" ref="F74:F84">IF(C74=0,0,E74/C74)</f>
        <v>-1</v>
      </c>
    </row>
    <row r="75" spans="1:6" ht="20.25" customHeight="1">
      <c r="A75" s="235">
        <v>2</v>
      </c>
      <c r="B75" s="236" t="s">
        <v>550</v>
      </c>
      <c r="C75" s="237">
        <v>12501</v>
      </c>
      <c r="D75" s="237">
        <v>0</v>
      </c>
      <c r="E75" s="237">
        <f t="shared" si="10"/>
        <v>-12501</v>
      </c>
      <c r="F75" s="238">
        <f t="shared" si="11"/>
        <v>-1</v>
      </c>
    </row>
    <row r="76" spans="1:6" ht="20.25" customHeight="1">
      <c r="A76" s="235">
        <v>3</v>
      </c>
      <c r="B76" s="236" t="s">
        <v>551</v>
      </c>
      <c r="C76" s="237">
        <v>143578</v>
      </c>
      <c r="D76" s="237">
        <v>0</v>
      </c>
      <c r="E76" s="237">
        <f t="shared" si="10"/>
        <v>-143578</v>
      </c>
      <c r="F76" s="238">
        <f t="shared" si="11"/>
        <v>-1</v>
      </c>
    </row>
    <row r="77" spans="1:6" ht="20.25" customHeight="1">
      <c r="A77" s="235">
        <v>4</v>
      </c>
      <c r="B77" s="236" t="s">
        <v>552</v>
      </c>
      <c r="C77" s="237">
        <v>55006</v>
      </c>
      <c r="D77" s="237">
        <v>0</v>
      </c>
      <c r="E77" s="237">
        <f t="shared" si="10"/>
        <v>-55006</v>
      </c>
      <c r="F77" s="238">
        <f t="shared" si="11"/>
        <v>-1</v>
      </c>
    </row>
    <row r="78" spans="1:6" ht="20.25" customHeight="1">
      <c r="A78" s="235">
        <v>5</v>
      </c>
      <c r="B78" s="236" t="s">
        <v>488</v>
      </c>
      <c r="C78" s="239">
        <v>5</v>
      </c>
      <c r="D78" s="239">
        <v>0</v>
      </c>
      <c r="E78" s="239">
        <f t="shared" si="10"/>
        <v>-5</v>
      </c>
      <c r="F78" s="238">
        <f t="shared" si="11"/>
        <v>-1</v>
      </c>
    </row>
    <row r="79" spans="1:6" ht="20.25" customHeight="1">
      <c r="A79" s="235">
        <v>6</v>
      </c>
      <c r="B79" s="236" t="s">
        <v>487</v>
      </c>
      <c r="C79" s="239">
        <v>18</v>
      </c>
      <c r="D79" s="239">
        <v>0</v>
      </c>
      <c r="E79" s="239">
        <f t="shared" si="10"/>
        <v>-18</v>
      </c>
      <c r="F79" s="238">
        <f t="shared" si="11"/>
        <v>-1</v>
      </c>
    </row>
    <row r="80" spans="1:6" ht="20.25" customHeight="1">
      <c r="A80" s="235">
        <v>7</v>
      </c>
      <c r="B80" s="236" t="s">
        <v>553</v>
      </c>
      <c r="C80" s="239">
        <v>179</v>
      </c>
      <c r="D80" s="239">
        <v>0</v>
      </c>
      <c r="E80" s="239">
        <f t="shared" si="10"/>
        <v>-179</v>
      </c>
      <c r="F80" s="238">
        <f t="shared" si="11"/>
        <v>-1</v>
      </c>
    </row>
    <row r="81" spans="1:6" ht="20.25" customHeight="1">
      <c r="A81" s="235">
        <v>8</v>
      </c>
      <c r="B81" s="236" t="s">
        <v>554</v>
      </c>
      <c r="C81" s="239">
        <v>128</v>
      </c>
      <c r="D81" s="239">
        <v>0</v>
      </c>
      <c r="E81" s="239">
        <f t="shared" si="10"/>
        <v>-128</v>
      </c>
      <c r="F81" s="238">
        <f t="shared" si="11"/>
        <v>-1</v>
      </c>
    </row>
    <row r="82" spans="1:6" ht="20.25" customHeight="1">
      <c r="A82" s="235">
        <v>9</v>
      </c>
      <c r="B82" s="236" t="s">
        <v>555</v>
      </c>
      <c r="C82" s="239">
        <v>3</v>
      </c>
      <c r="D82" s="239">
        <v>0</v>
      </c>
      <c r="E82" s="239">
        <f t="shared" si="10"/>
        <v>-3</v>
      </c>
      <c r="F82" s="238">
        <f t="shared" si="11"/>
        <v>-1</v>
      </c>
    </row>
    <row r="83" spans="1:6" s="240" customFormat="1" ht="39.75" customHeight="1">
      <c r="A83" s="245"/>
      <c r="B83" s="242" t="s">
        <v>556</v>
      </c>
      <c r="C83" s="243">
        <f>+C74+C76</f>
        <v>175155</v>
      </c>
      <c r="D83" s="243">
        <f>+D74+D76</f>
        <v>0</v>
      </c>
      <c r="E83" s="243">
        <f t="shared" si="10"/>
        <v>-175155</v>
      </c>
      <c r="F83" s="244">
        <f t="shared" si="11"/>
        <v>-1</v>
      </c>
    </row>
    <row r="84" spans="1:6" s="240" customFormat="1" ht="39.75" customHeight="1">
      <c r="A84" s="245"/>
      <c r="B84" s="242" t="s">
        <v>585</v>
      </c>
      <c r="C84" s="243">
        <f>+C75+C77</f>
        <v>67507</v>
      </c>
      <c r="D84" s="243">
        <f>+D75+D77</f>
        <v>0</v>
      </c>
      <c r="E84" s="243">
        <f t="shared" si="10"/>
        <v>-67507</v>
      </c>
      <c r="F84" s="244">
        <f t="shared" si="11"/>
        <v>-1</v>
      </c>
    </row>
    <row r="85" spans="1:6" ht="42" customHeight="1">
      <c r="A85" s="227" t="s">
        <v>299</v>
      </c>
      <c r="B85" s="261" t="s">
        <v>592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549</v>
      </c>
      <c r="C86" s="237">
        <v>0</v>
      </c>
      <c r="D86" s="237">
        <v>81394</v>
      </c>
      <c r="E86" s="237">
        <f aca="true" t="shared" si="12" ref="E86:E96">D86-C86</f>
        <v>81394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550</v>
      </c>
      <c r="C87" s="237">
        <v>0</v>
      </c>
      <c r="D87" s="237">
        <v>24829</v>
      </c>
      <c r="E87" s="237">
        <f t="shared" si="12"/>
        <v>24829</v>
      </c>
      <c r="F87" s="238">
        <f t="shared" si="13"/>
        <v>0</v>
      </c>
    </row>
    <row r="88" spans="1:6" ht="20.25" customHeight="1">
      <c r="A88" s="235">
        <v>3</v>
      </c>
      <c r="B88" s="236" t="s">
        <v>551</v>
      </c>
      <c r="C88" s="237">
        <v>0</v>
      </c>
      <c r="D88" s="237">
        <v>439268</v>
      </c>
      <c r="E88" s="237">
        <f t="shared" si="12"/>
        <v>439268</v>
      </c>
      <c r="F88" s="238">
        <f t="shared" si="13"/>
        <v>0</v>
      </c>
    </row>
    <row r="89" spans="1:6" ht="20.25" customHeight="1">
      <c r="A89" s="235">
        <v>4</v>
      </c>
      <c r="B89" s="236" t="s">
        <v>552</v>
      </c>
      <c r="C89" s="237">
        <v>0</v>
      </c>
      <c r="D89" s="237">
        <v>154520</v>
      </c>
      <c r="E89" s="237">
        <f t="shared" si="12"/>
        <v>154520</v>
      </c>
      <c r="F89" s="238">
        <f t="shared" si="13"/>
        <v>0</v>
      </c>
    </row>
    <row r="90" spans="1:6" ht="20.25" customHeight="1">
      <c r="A90" s="235">
        <v>5</v>
      </c>
      <c r="B90" s="236" t="s">
        <v>488</v>
      </c>
      <c r="C90" s="239">
        <v>0</v>
      </c>
      <c r="D90" s="239">
        <v>14</v>
      </c>
      <c r="E90" s="239">
        <f t="shared" si="12"/>
        <v>14</v>
      </c>
      <c r="F90" s="238">
        <f t="shared" si="13"/>
        <v>0</v>
      </c>
    </row>
    <row r="91" spans="1:6" ht="20.25" customHeight="1">
      <c r="A91" s="235">
        <v>6</v>
      </c>
      <c r="B91" s="236" t="s">
        <v>487</v>
      </c>
      <c r="C91" s="239">
        <v>0</v>
      </c>
      <c r="D91" s="239">
        <v>35</v>
      </c>
      <c r="E91" s="239">
        <f t="shared" si="12"/>
        <v>35</v>
      </c>
      <c r="F91" s="238">
        <f t="shared" si="13"/>
        <v>0</v>
      </c>
    </row>
    <row r="92" spans="1:6" ht="20.25" customHeight="1">
      <c r="A92" s="235">
        <v>7</v>
      </c>
      <c r="B92" s="236" t="s">
        <v>553</v>
      </c>
      <c r="C92" s="239">
        <v>0</v>
      </c>
      <c r="D92" s="239">
        <v>527</v>
      </c>
      <c r="E92" s="239">
        <f t="shared" si="12"/>
        <v>527</v>
      </c>
      <c r="F92" s="238">
        <f t="shared" si="13"/>
        <v>0</v>
      </c>
    </row>
    <row r="93" spans="1:6" ht="20.25" customHeight="1">
      <c r="A93" s="235">
        <v>8</v>
      </c>
      <c r="B93" s="236" t="s">
        <v>554</v>
      </c>
      <c r="C93" s="239">
        <v>0</v>
      </c>
      <c r="D93" s="239">
        <v>424</v>
      </c>
      <c r="E93" s="239">
        <f t="shared" si="12"/>
        <v>424</v>
      </c>
      <c r="F93" s="238">
        <f t="shared" si="13"/>
        <v>0</v>
      </c>
    </row>
    <row r="94" spans="1:6" ht="20.25" customHeight="1">
      <c r="A94" s="235">
        <v>9</v>
      </c>
      <c r="B94" s="236" t="s">
        <v>555</v>
      </c>
      <c r="C94" s="239">
        <v>0</v>
      </c>
      <c r="D94" s="239">
        <v>6</v>
      </c>
      <c r="E94" s="239">
        <f t="shared" si="12"/>
        <v>6</v>
      </c>
      <c r="F94" s="238">
        <f t="shared" si="13"/>
        <v>0</v>
      </c>
    </row>
    <row r="95" spans="1:6" s="240" customFormat="1" ht="39.75" customHeight="1">
      <c r="A95" s="245"/>
      <c r="B95" s="242" t="s">
        <v>556</v>
      </c>
      <c r="C95" s="243">
        <f>+C86+C88</f>
        <v>0</v>
      </c>
      <c r="D95" s="243">
        <f>+D86+D88</f>
        <v>520662</v>
      </c>
      <c r="E95" s="243">
        <f t="shared" si="12"/>
        <v>520662</v>
      </c>
      <c r="F95" s="244">
        <f t="shared" si="13"/>
        <v>0</v>
      </c>
    </row>
    <row r="96" spans="1:6" s="240" customFormat="1" ht="39.75" customHeight="1">
      <c r="A96" s="245"/>
      <c r="B96" s="242" t="s">
        <v>585</v>
      </c>
      <c r="C96" s="243">
        <f>+C87+C89</f>
        <v>0</v>
      </c>
      <c r="D96" s="243">
        <f>+D87+D89</f>
        <v>179349</v>
      </c>
      <c r="E96" s="243">
        <f t="shared" si="12"/>
        <v>179349</v>
      </c>
      <c r="F96" s="244">
        <f t="shared" si="13"/>
        <v>0</v>
      </c>
    </row>
    <row r="97" spans="1:6" ht="42" customHeight="1">
      <c r="A97" s="227" t="s">
        <v>302</v>
      </c>
      <c r="B97" s="261" t="s">
        <v>565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549</v>
      </c>
      <c r="C98" s="237">
        <v>0</v>
      </c>
      <c r="D98" s="237">
        <v>465677</v>
      </c>
      <c r="E98" s="237">
        <f aca="true" t="shared" si="14" ref="E98:E108">D98-C98</f>
        <v>465677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550</v>
      </c>
      <c r="C99" s="237">
        <v>0</v>
      </c>
      <c r="D99" s="237">
        <v>210881</v>
      </c>
      <c r="E99" s="237">
        <f t="shared" si="14"/>
        <v>210881</v>
      </c>
      <c r="F99" s="238">
        <f t="shared" si="15"/>
        <v>0</v>
      </c>
    </row>
    <row r="100" spans="1:6" ht="20.25" customHeight="1">
      <c r="A100" s="235">
        <v>3</v>
      </c>
      <c r="B100" s="236" t="s">
        <v>551</v>
      </c>
      <c r="C100" s="237">
        <v>1087</v>
      </c>
      <c r="D100" s="237">
        <v>1759047</v>
      </c>
      <c r="E100" s="237">
        <f t="shared" si="14"/>
        <v>1757960</v>
      </c>
      <c r="F100" s="238">
        <f t="shared" si="15"/>
        <v>1617.2585096596135</v>
      </c>
    </row>
    <row r="101" spans="1:6" ht="20.25" customHeight="1">
      <c r="A101" s="235">
        <v>4</v>
      </c>
      <c r="B101" s="236" t="s">
        <v>552</v>
      </c>
      <c r="C101" s="237">
        <v>583</v>
      </c>
      <c r="D101" s="237">
        <v>564739</v>
      </c>
      <c r="E101" s="237">
        <f t="shared" si="14"/>
        <v>564156</v>
      </c>
      <c r="F101" s="238">
        <f t="shared" si="15"/>
        <v>967.6775300171527</v>
      </c>
    </row>
    <row r="102" spans="1:6" ht="20.25" customHeight="1">
      <c r="A102" s="235">
        <v>5</v>
      </c>
      <c r="B102" s="236" t="s">
        <v>488</v>
      </c>
      <c r="C102" s="239">
        <v>0</v>
      </c>
      <c r="D102" s="239">
        <v>99</v>
      </c>
      <c r="E102" s="239">
        <f t="shared" si="14"/>
        <v>99</v>
      </c>
      <c r="F102" s="238">
        <f t="shared" si="15"/>
        <v>0</v>
      </c>
    </row>
    <row r="103" spans="1:6" ht="20.25" customHeight="1">
      <c r="A103" s="235">
        <v>6</v>
      </c>
      <c r="B103" s="236" t="s">
        <v>487</v>
      </c>
      <c r="C103" s="239">
        <v>0</v>
      </c>
      <c r="D103" s="239">
        <v>221</v>
      </c>
      <c r="E103" s="239">
        <f t="shared" si="14"/>
        <v>221</v>
      </c>
      <c r="F103" s="238">
        <f t="shared" si="15"/>
        <v>0</v>
      </c>
    </row>
    <row r="104" spans="1:6" ht="20.25" customHeight="1">
      <c r="A104" s="235">
        <v>7</v>
      </c>
      <c r="B104" s="236" t="s">
        <v>553</v>
      </c>
      <c r="C104" s="239">
        <v>0</v>
      </c>
      <c r="D104" s="239">
        <v>2675</v>
      </c>
      <c r="E104" s="239">
        <f t="shared" si="14"/>
        <v>2675</v>
      </c>
      <c r="F104" s="238">
        <f t="shared" si="15"/>
        <v>0</v>
      </c>
    </row>
    <row r="105" spans="1:6" ht="20.25" customHeight="1">
      <c r="A105" s="235">
        <v>8</v>
      </c>
      <c r="B105" s="236" t="s">
        <v>554</v>
      </c>
      <c r="C105" s="239">
        <v>2</v>
      </c>
      <c r="D105" s="239">
        <v>1552</v>
      </c>
      <c r="E105" s="239">
        <f t="shared" si="14"/>
        <v>1550</v>
      </c>
      <c r="F105" s="238">
        <f t="shared" si="15"/>
        <v>775</v>
      </c>
    </row>
    <row r="106" spans="1:6" ht="20.25" customHeight="1">
      <c r="A106" s="235">
        <v>9</v>
      </c>
      <c r="B106" s="236" t="s">
        <v>555</v>
      </c>
      <c r="C106" s="239">
        <v>0</v>
      </c>
      <c r="D106" s="239">
        <v>21</v>
      </c>
      <c r="E106" s="239">
        <f t="shared" si="14"/>
        <v>21</v>
      </c>
      <c r="F106" s="238">
        <f t="shared" si="15"/>
        <v>0</v>
      </c>
    </row>
    <row r="107" spans="1:6" s="240" customFormat="1" ht="39.75" customHeight="1">
      <c r="A107" s="245"/>
      <c r="B107" s="242" t="s">
        <v>556</v>
      </c>
      <c r="C107" s="243">
        <f>+C98+C100</f>
        <v>1087</v>
      </c>
      <c r="D107" s="243">
        <f>+D98+D100</f>
        <v>2224724</v>
      </c>
      <c r="E107" s="243">
        <f t="shared" si="14"/>
        <v>2223637</v>
      </c>
      <c r="F107" s="244">
        <f t="shared" si="15"/>
        <v>2045.6642134314627</v>
      </c>
    </row>
    <row r="108" spans="1:6" s="240" customFormat="1" ht="39.75" customHeight="1">
      <c r="A108" s="245"/>
      <c r="B108" s="242" t="s">
        <v>585</v>
      </c>
      <c r="C108" s="243">
        <f>+C99+C101</f>
        <v>583</v>
      </c>
      <c r="D108" s="243">
        <f>+D99+D101</f>
        <v>775620</v>
      </c>
      <c r="E108" s="243">
        <f t="shared" si="14"/>
        <v>775037</v>
      </c>
      <c r="F108" s="244">
        <f t="shared" si="15"/>
        <v>1329.394511149228</v>
      </c>
    </row>
    <row r="109" spans="1:7" s="240" customFormat="1" ht="20.25" customHeight="1">
      <c r="A109" s="688" t="s">
        <v>159</v>
      </c>
      <c r="B109" s="689" t="s">
        <v>593</v>
      </c>
      <c r="C109" s="691"/>
      <c r="D109" s="692"/>
      <c r="E109" s="692"/>
      <c r="F109" s="693"/>
      <c r="G109" s="212"/>
    </row>
    <row r="110" spans="1:6" ht="20.25" customHeight="1">
      <c r="A110" s="680"/>
      <c r="B110" s="690"/>
      <c r="C110" s="686"/>
      <c r="D110" s="660"/>
      <c r="E110" s="660"/>
      <c r="F110" s="661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575</v>
      </c>
      <c r="C112" s="243">
        <f aca="true" t="shared" si="16" ref="C112:D120">+C98+C86+C74+C62+C50+C38+C26+C14</f>
        <v>2743646</v>
      </c>
      <c r="D112" s="243">
        <f t="shared" si="16"/>
        <v>2753894</v>
      </c>
      <c r="E112" s="243">
        <f aca="true" t="shared" si="17" ref="E112:E122">D112-C112</f>
        <v>10248</v>
      </c>
      <c r="F112" s="244">
        <f aca="true" t="shared" si="18" ref="F112:F122">IF(C112=0,0,E112/C112)</f>
        <v>0.0037351757478916742</v>
      </c>
    </row>
    <row r="113" spans="1:6" ht="20.25" customHeight="1">
      <c r="A113" s="249"/>
      <c r="B113" s="250" t="s">
        <v>576</v>
      </c>
      <c r="C113" s="243">
        <f t="shared" si="16"/>
        <v>1479823</v>
      </c>
      <c r="D113" s="243">
        <f t="shared" si="16"/>
        <v>1415306</v>
      </c>
      <c r="E113" s="243">
        <f t="shared" si="17"/>
        <v>-64517</v>
      </c>
      <c r="F113" s="244">
        <f t="shared" si="18"/>
        <v>-0.043597781626586424</v>
      </c>
    </row>
    <row r="114" spans="1:6" ht="20.25" customHeight="1">
      <c r="A114" s="249"/>
      <c r="B114" s="250" t="s">
        <v>577</v>
      </c>
      <c r="C114" s="243">
        <f t="shared" si="16"/>
        <v>7984505</v>
      </c>
      <c r="D114" s="243">
        <f t="shared" si="16"/>
        <v>9902556</v>
      </c>
      <c r="E114" s="243">
        <f t="shared" si="17"/>
        <v>1918051</v>
      </c>
      <c r="F114" s="244">
        <f t="shared" si="18"/>
        <v>0.24022165431670467</v>
      </c>
    </row>
    <row r="115" spans="1:6" ht="20.25" customHeight="1">
      <c r="A115" s="249"/>
      <c r="B115" s="250" t="s">
        <v>578</v>
      </c>
      <c r="C115" s="243">
        <f t="shared" si="16"/>
        <v>3180873</v>
      </c>
      <c r="D115" s="243">
        <f t="shared" si="16"/>
        <v>3731012</v>
      </c>
      <c r="E115" s="243">
        <f t="shared" si="17"/>
        <v>550139</v>
      </c>
      <c r="F115" s="244">
        <f t="shared" si="18"/>
        <v>0.17295220525937377</v>
      </c>
    </row>
    <row r="116" spans="1:6" ht="20.25" customHeight="1">
      <c r="A116" s="249"/>
      <c r="B116" s="250" t="s">
        <v>579</v>
      </c>
      <c r="C116" s="252">
        <f t="shared" si="16"/>
        <v>483</v>
      </c>
      <c r="D116" s="252">
        <f t="shared" si="16"/>
        <v>471</v>
      </c>
      <c r="E116" s="252">
        <f t="shared" si="17"/>
        <v>-12</v>
      </c>
      <c r="F116" s="244">
        <f t="shared" si="18"/>
        <v>-0.024844720496894408</v>
      </c>
    </row>
    <row r="117" spans="1:6" ht="20.25" customHeight="1">
      <c r="A117" s="249"/>
      <c r="B117" s="250" t="s">
        <v>580</v>
      </c>
      <c r="C117" s="252">
        <f t="shared" si="16"/>
        <v>1569</v>
      </c>
      <c r="D117" s="252">
        <f t="shared" si="16"/>
        <v>1331</v>
      </c>
      <c r="E117" s="252">
        <f t="shared" si="17"/>
        <v>-238</v>
      </c>
      <c r="F117" s="244">
        <f t="shared" si="18"/>
        <v>-0.1516889738687062</v>
      </c>
    </row>
    <row r="118" spans="1:6" ht="39.75" customHeight="1">
      <c r="A118" s="249"/>
      <c r="B118" s="250" t="s">
        <v>581</v>
      </c>
      <c r="C118" s="252">
        <f t="shared" si="16"/>
        <v>11778</v>
      </c>
      <c r="D118" s="252">
        <f t="shared" si="16"/>
        <v>14514</v>
      </c>
      <c r="E118" s="252">
        <f t="shared" si="17"/>
        <v>2736</v>
      </c>
      <c r="F118" s="244">
        <f t="shared" si="18"/>
        <v>0.23229750382068262</v>
      </c>
    </row>
    <row r="119" spans="1:6" ht="39.75" customHeight="1">
      <c r="A119" s="249"/>
      <c r="B119" s="250" t="s">
        <v>582</v>
      </c>
      <c r="C119" s="252">
        <f t="shared" si="16"/>
        <v>5486</v>
      </c>
      <c r="D119" s="252">
        <f t="shared" si="16"/>
        <v>6101</v>
      </c>
      <c r="E119" s="252">
        <f t="shared" si="17"/>
        <v>615</v>
      </c>
      <c r="F119" s="244">
        <f t="shared" si="18"/>
        <v>0.11210353627415238</v>
      </c>
    </row>
    <row r="120" spans="1:6" ht="39.75" customHeight="1">
      <c r="A120" s="249"/>
      <c r="B120" s="250" t="s">
        <v>583</v>
      </c>
      <c r="C120" s="252">
        <f t="shared" si="16"/>
        <v>118</v>
      </c>
      <c r="D120" s="252">
        <f t="shared" si="16"/>
        <v>122</v>
      </c>
      <c r="E120" s="252">
        <f t="shared" si="17"/>
        <v>4</v>
      </c>
      <c r="F120" s="244">
        <f t="shared" si="18"/>
        <v>0.03389830508474576</v>
      </c>
    </row>
    <row r="121" spans="1:6" ht="39.75" customHeight="1">
      <c r="A121" s="249"/>
      <c r="B121" s="242" t="s">
        <v>556</v>
      </c>
      <c r="C121" s="243">
        <f>+C112+C114</f>
        <v>10728151</v>
      </c>
      <c r="D121" s="243">
        <f>+D112+D114</f>
        <v>12656450</v>
      </c>
      <c r="E121" s="243">
        <f t="shared" si="17"/>
        <v>1928299</v>
      </c>
      <c r="F121" s="244">
        <f t="shared" si="18"/>
        <v>0.17974197044765683</v>
      </c>
    </row>
    <row r="122" spans="1:6" ht="39.75" customHeight="1">
      <c r="A122" s="249"/>
      <c r="B122" s="242" t="s">
        <v>585</v>
      </c>
      <c r="C122" s="243">
        <f>+C113+C115</f>
        <v>4660696</v>
      </c>
      <c r="D122" s="243">
        <f>+D113+D115</f>
        <v>5146318</v>
      </c>
      <c r="E122" s="243">
        <f t="shared" si="17"/>
        <v>485622</v>
      </c>
      <c r="F122" s="244">
        <f t="shared" si="18"/>
        <v>0.10419516741705531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FILING&amp;RCHARLOTTE HUNGERFORD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594</v>
      </c>
      <c r="C1" s="3"/>
      <c r="D1" s="3"/>
      <c r="E1" s="4"/>
      <c r="F1" s="5"/>
    </row>
    <row r="2" spans="1:6" ht="24" customHeight="1">
      <c r="A2" s="3"/>
      <c r="B2" s="3" t="s">
        <v>116</v>
      </c>
      <c r="C2" s="3"/>
      <c r="D2" s="3"/>
      <c r="E2" s="4"/>
      <c r="F2" s="5"/>
    </row>
    <row r="3" spans="1:6" ht="24" customHeight="1">
      <c r="A3" s="3"/>
      <c r="B3" s="3" t="s">
        <v>117</v>
      </c>
      <c r="C3" s="3"/>
      <c r="D3" s="3"/>
      <c r="E3" s="4"/>
      <c r="F3" s="5"/>
    </row>
    <row r="4" spans="1:6" ht="24" customHeight="1">
      <c r="A4" s="3"/>
      <c r="B4" s="3" t="s">
        <v>595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119</v>
      </c>
      <c r="D7" s="10" t="s">
        <v>120</v>
      </c>
      <c r="E7" s="11" t="s">
        <v>121</v>
      </c>
      <c r="F7" s="11" t="s">
        <v>122</v>
      </c>
      <c r="H7" s="12"/>
    </row>
    <row r="8" spans="1:6" s="6" customFormat="1" ht="15.75" customHeight="1">
      <c r="A8" s="13" t="s">
        <v>123</v>
      </c>
      <c r="B8" s="13" t="s">
        <v>124</v>
      </c>
      <c r="C8" s="14" t="s">
        <v>125</v>
      </c>
      <c r="D8" s="14" t="s">
        <v>125</v>
      </c>
      <c r="E8" s="15" t="s">
        <v>126</v>
      </c>
      <c r="F8" s="15" t="s">
        <v>126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127</v>
      </c>
      <c r="B10" s="16" t="s">
        <v>128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129</v>
      </c>
      <c r="B12" s="16" t="s">
        <v>130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131</v>
      </c>
      <c r="C13" s="23">
        <v>2941661</v>
      </c>
      <c r="D13" s="23">
        <v>4021421</v>
      </c>
      <c r="E13" s="23">
        <f aca="true" t="shared" si="0" ref="E13:E22">D13-C13</f>
        <v>1079760</v>
      </c>
      <c r="F13" s="24">
        <f aca="true" t="shared" si="1" ref="F13:F22">IF(C13=0,0,E13/C13)</f>
        <v>0.36705793087646743</v>
      </c>
    </row>
    <row r="14" spans="1:6" ht="24" customHeight="1">
      <c r="A14" s="21">
        <v>2</v>
      </c>
      <c r="B14" s="22" t="s">
        <v>132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4.5" customHeight="1">
      <c r="A15" s="21">
        <v>3</v>
      </c>
      <c r="B15" s="22" t="s">
        <v>133</v>
      </c>
      <c r="C15" s="23">
        <v>9622809</v>
      </c>
      <c r="D15" s="23">
        <v>9891564</v>
      </c>
      <c r="E15" s="23">
        <f t="shared" si="0"/>
        <v>268755</v>
      </c>
      <c r="F15" s="24">
        <f t="shared" si="1"/>
        <v>0.027928955048364776</v>
      </c>
    </row>
    <row r="16" spans="1:6" ht="34.5" customHeight="1">
      <c r="A16" s="21">
        <v>4</v>
      </c>
      <c r="B16" s="22" t="s">
        <v>134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6" ht="24" customHeight="1">
      <c r="A17" s="21">
        <v>5</v>
      </c>
      <c r="B17" s="22" t="s">
        <v>135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136</v>
      </c>
      <c r="C18" s="23">
        <v>396514</v>
      </c>
      <c r="D18" s="23">
        <v>102157</v>
      </c>
      <c r="E18" s="23">
        <f t="shared" si="0"/>
        <v>-294357</v>
      </c>
      <c r="F18" s="24">
        <f t="shared" si="1"/>
        <v>-0.7423621864549549</v>
      </c>
    </row>
    <row r="19" spans="1:6" ht="24" customHeight="1">
      <c r="A19" s="21">
        <v>7</v>
      </c>
      <c r="B19" s="22" t="s">
        <v>137</v>
      </c>
      <c r="C19" s="23">
        <v>1666956</v>
      </c>
      <c r="D19" s="23">
        <v>1825569</v>
      </c>
      <c r="E19" s="23">
        <f t="shared" si="0"/>
        <v>158613</v>
      </c>
      <c r="F19" s="24">
        <f t="shared" si="1"/>
        <v>0.09515128173749038</v>
      </c>
    </row>
    <row r="20" spans="1:6" ht="24" customHeight="1">
      <c r="A20" s="21">
        <v>8</v>
      </c>
      <c r="B20" s="22" t="s">
        <v>138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6" ht="24" customHeight="1">
      <c r="A21" s="21">
        <v>9</v>
      </c>
      <c r="B21" s="22" t="s">
        <v>139</v>
      </c>
      <c r="C21" s="23">
        <v>2571294</v>
      </c>
      <c r="D21" s="23">
        <v>1892228</v>
      </c>
      <c r="E21" s="23">
        <f t="shared" si="0"/>
        <v>-679066</v>
      </c>
      <c r="F21" s="24">
        <f t="shared" si="1"/>
        <v>-0.2640950431961495</v>
      </c>
    </row>
    <row r="22" spans="1:6" ht="24" customHeight="1">
      <c r="A22" s="25"/>
      <c r="B22" s="26" t="s">
        <v>140</v>
      </c>
      <c r="C22" s="27">
        <f>SUM(C13:C21)</f>
        <v>17199234</v>
      </c>
      <c r="D22" s="27">
        <f>SUM(D13:D21)</f>
        <v>17732939</v>
      </c>
      <c r="E22" s="27">
        <f t="shared" si="0"/>
        <v>533705</v>
      </c>
      <c r="F22" s="28">
        <f t="shared" si="1"/>
        <v>0.031030742415621534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141</v>
      </c>
      <c r="B24" s="30" t="s">
        <v>142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143</v>
      </c>
      <c r="C25" s="23">
        <v>13476546</v>
      </c>
      <c r="D25" s="23">
        <v>14994411</v>
      </c>
      <c r="E25" s="23">
        <f>D25-C25</f>
        <v>1517865</v>
      </c>
      <c r="F25" s="24">
        <f>IF(C25=0,0,E25/C25)</f>
        <v>0.11263012050713885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144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145</v>
      </c>
      <c r="C27" s="23">
        <v>206373</v>
      </c>
      <c r="D27" s="23">
        <v>359776</v>
      </c>
      <c r="E27" s="23">
        <f>D27-C27</f>
        <v>153403</v>
      </c>
      <c r="F27" s="24">
        <f>IF(C27=0,0,E27/C27)</f>
        <v>0.7433288269298793</v>
      </c>
    </row>
    <row r="28" spans="1:6" ht="34.5" customHeight="1">
      <c r="A28" s="21">
        <v>4</v>
      </c>
      <c r="B28" s="22" t="s">
        <v>146</v>
      </c>
      <c r="C28" s="23">
        <v>2678836</v>
      </c>
      <c r="D28" s="23">
        <v>6674126</v>
      </c>
      <c r="E28" s="23">
        <f>D28-C28</f>
        <v>3995290</v>
      </c>
      <c r="F28" s="24">
        <f>IF(C28=0,0,E28/C28)</f>
        <v>1.491427620055875</v>
      </c>
    </row>
    <row r="29" spans="1:6" ht="34.5" customHeight="1">
      <c r="A29" s="25"/>
      <c r="B29" s="26" t="s">
        <v>147</v>
      </c>
      <c r="C29" s="27">
        <f>SUM(C25:C28)</f>
        <v>16361755</v>
      </c>
      <c r="D29" s="27">
        <f>SUM(D25:D28)</f>
        <v>22028313</v>
      </c>
      <c r="E29" s="27">
        <f>D29-C29</f>
        <v>5666558</v>
      </c>
      <c r="F29" s="28">
        <f>IF(C29=0,0,E29/C29)</f>
        <v>0.34632947382478224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148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149</v>
      </c>
      <c r="C32" s="23">
        <v>33763779</v>
      </c>
      <c r="D32" s="23">
        <v>27523678</v>
      </c>
      <c r="E32" s="23">
        <f>D32-C32</f>
        <v>-6240101</v>
      </c>
      <c r="F32" s="24">
        <f>IF(C32=0,0,E32/C32)</f>
        <v>-0.18481642709484622</v>
      </c>
    </row>
    <row r="33" spans="1:6" ht="24" customHeight="1">
      <c r="A33" s="21">
        <v>7</v>
      </c>
      <c r="B33" s="22" t="s">
        <v>150</v>
      </c>
      <c r="C33" s="23">
        <v>1361431</v>
      </c>
      <c r="D33" s="23">
        <v>1555668</v>
      </c>
      <c r="E33" s="23">
        <f>D33-C33</f>
        <v>194237</v>
      </c>
      <c r="F33" s="24">
        <f>IF(C33=0,0,E33/C33)</f>
        <v>0.14267120404926875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151</v>
      </c>
      <c r="B35" s="30" t="s">
        <v>152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153</v>
      </c>
      <c r="C36" s="23">
        <v>130171049</v>
      </c>
      <c r="D36" s="23">
        <v>136380516</v>
      </c>
      <c r="E36" s="23">
        <f>D36-C36</f>
        <v>6209467</v>
      </c>
      <c r="F36" s="24">
        <f>IF(C36=0,0,E36/C36)</f>
        <v>0.04770236583097675</v>
      </c>
    </row>
    <row r="37" spans="1:6" ht="24" customHeight="1">
      <c r="A37" s="21">
        <v>2</v>
      </c>
      <c r="B37" s="22" t="s">
        <v>154</v>
      </c>
      <c r="C37" s="23">
        <v>86425259</v>
      </c>
      <c r="D37" s="23">
        <v>91686498</v>
      </c>
      <c r="E37" s="23">
        <f>D37-C37</f>
        <v>5261239</v>
      </c>
      <c r="F37" s="23">
        <f>IF(C37=0,0,E37/C37)</f>
        <v>0.060876172786476695</v>
      </c>
    </row>
    <row r="38" spans="1:6" ht="24" customHeight="1">
      <c r="A38" s="25"/>
      <c r="B38" s="26" t="s">
        <v>155</v>
      </c>
      <c r="C38" s="27">
        <f>C36-C37</f>
        <v>43745790</v>
      </c>
      <c r="D38" s="27">
        <f>D36-D37</f>
        <v>44694018</v>
      </c>
      <c r="E38" s="27">
        <f>D38-C38</f>
        <v>948228</v>
      </c>
      <c r="F38" s="28">
        <f>IF(C38=0,0,E38/C38)</f>
        <v>0.021675868695021853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156</v>
      </c>
      <c r="C40" s="23">
        <v>3167618</v>
      </c>
      <c r="D40" s="23">
        <v>861053</v>
      </c>
      <c r="E40" s="23">
        <f>D40-C40</f>
        <v>-2306565</v>
      </c>
      <c r="F40" s="24">
        <f>IF(C40=0,0,E40/C40)</f>
        <v>-0.7281701897135324</v>
      </c>
    </row>
    <row r="41" spans="1:6" ht="24" customHeight="1">
      <c r="A41" s="25"/>
      <c r="B41" s="26" t="s">
        <v>157</v>
      </c>
      <c r="C41" s="27">
        <f>+C38+C40</f>
        <v>46913408</v>
      </c>
      <c r="D41" s="27">
        <f>+D38+D40</f>
        <v>45555071</v>
      </c>
      <c r="E41" s="27">
        <f>D41-C41</f>
        <v>-1358337</v>
      </c>
      <c r="F41" s="28">
        <f>IF(C41=0,0,E41/C41)</f>
        <v>-0.028954131833696668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158</v>
      </c>
      <c r="C43" s="27">
        <f>C22+C29+C31+C32+C33+C41</f>
        <v>115599607</v>
      </c>
      <c r="D43" s="27">
        <f>D22+D29+D31+D32+D33+D41</f>
        <v>114395669</v>
      </c>
      <c r="E43" s="27">
        <f>D43-C43</f>
        <v>-1203938</v>
      </c>
      <c r="F43" s="28">
        <f>IF(C43=0,0,E43/C43)</f>
        <v>-0.010414723987772727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159</v>
      </c>
      <c r="B46" s="16" t="s">
        <v>160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129</v>
      </c>
      <c r="B48" s="41" t="s">
        <v>161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162</v>
      </c>
      <c r="C49" s="23">
        <v>4167738</v>
      </c>
      <c r="D49" s="23">
        <v>3810358</v>
      </c>
      <c r="E49" s="23">
        <f aca="true" t="shared" si="2" ref="E49:E56">D49-C49</f>
        <v>-357380</v>
      </c>
      <c r="F49" s="24">
        <f aca="true" t="shared" si="3" ref="F49:F56">IF(C49=0,0,E49/C49)</f>
        <v>-0.08574915217799199</v>
      </c>
    </row>
    <row r="50" spans="1:6" ht="24" customHeight="1">
      <c r="A50" s="21">
        <f aca="true" t="shared" si="4" ref="A50:A55">1+A49</f>
        <v>2</v>
      </c>
      <c r="B50" s="22" t="s">
        <v>163</v>
      </c>
      <c r="C50" s="23">
        <v>4278174</v>
      </c>
      <c r="D50" s="23">
        <v>4615109</v>
      </c>
      <c r="E50" s="23">
        <f t="shared" si="2"/>
        <v>336935</v>
      </c>
      <c r="F50" s="24">
        <f t="shared" si="3"/>
        <v>0.07875673125964489</v>
      </c>
    </row>
    <row r="51" spans="1:6" ht="24" customHeight="1">
      <c r="A51" s="21">
        <f t="shared" si="4"/>
        <v>3</v>
      </c>
      <c r="B51" s="22" t="s">
        <v>164</v>
      </c>
      <c r="C51" s="23">
        <v>957758</v>
      </c>
      <c r="D51" s="23">
        <v>2366000</v>
      </c>
      <c r="E51" s="23">
        <f t="shared" si="2"/>
        <v>1408242</v>
      </c>
      <c r="F51" s="24">
        <f t="shared" si="3"/>
        <v>1.4703526360521133</v>
      </c>
    </row>
    <row r="52" spans="1:6" ht="24" customHeight="1">
      <c r="A52" s="21">
        <f t="shared" si="4"/>
        <v>4</v>
      </c>
      <c r="B52" s="22" t="s">
        <v>165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166</v>
      </c>
      <c r="C53" s="23">
        <v>1045000</v>
      </c>
      <c r="D53" s="23">
        <v>1080000</v>
      </c>
      <c r="E53" s="23">
        <f t="shared" si="2"/>
        <v>35000</v>
      </c>
      <c r="F53" s="24">
        <f t="shared" si="3"/>
        <v>0.03349282296650718</v>
      </c>
    </row>
    <row r="54" spans="1:6" ht="24" customHeight="1">
      <c r="A54" s="21">
        <f t="shared" si="4"/>
        <v>6</v>
      </c>
      <c r="B54" s="22" t="s">
        <v>167</v>
      </c>
      <c r="C54" s="23">
        <v>401623</v>
      </c>
      <c r="D54" s="23">
        <v>300392</v>
      </c>
      <c r="E54" s="23">
        <f t="shared" si="2"/>
        <v>-101231</v>
      </c>
      <c r="F54" s="24">
        <f t="shared" si="3"/>
        <v>-0.25205478769891165</v>
      </c>
    </row>
    <row r="55" spans="1:6" ht="24" customHeight="1">
      <c r="A55" s="21">
        <f t="shared" si="4"/>
        <v>7</v>
      </c>
      <c r="B55" s="22" t="s">
        <v>168</v>
      </c>
      <c r="C55" s="23">
        <v>3918820</v>
      </c>
      <c r="D55" s="23">
        <v>4051021</v>
      </c>
      <c r="E55" s="23">
        <f t="shared" si="2"/>
        <v>132201</v>
      </c>
      <c r="F55" s="24">
        <f t="shared" si="3"/>
        <v>0.0337348997912637</v>
      </c>
    </row>
    <row r="56" spans="1:6" ht="24" customHeight="1">
      <c r="A56" s="25"/>
      <c r="B56" s="26" t="s">
        <v>169</v>
      </c>
      <c r="C56" s="27">
        <f>SUM(C49:C55)</f>
        <v>14769113</v>
      </c>
      <c r="D56" s="27">
        <f>SUM(D49:D55)</f>
        <v>16222880</v>
      </c>
      <c r="E56" s="27">
        <f t="shared" si="2"/>
        <v>1453767</v>
      </c>
      <c r="F56" s="28">
        <f t="shared" si="3"/>
        <v>0.09843292552504676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141</v>
      </c>
      <c r="B58" s="41" t="s">
        <v>170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171</v>
      </c>
      <c r="C59" s="23">
        <v>4555000</v>
      </c>
      <c r="D59" s="23">
        <v>3475000</v>
      </c>
      <c r="E59" s="23">
        <f>D59-C59</f>
        <v>-1080000</v>
      </c>
      <c r="F59" s="24">
        <f>IF(C59=0,0,E59/C59)</f>
        <v>-0.23710208562019758</v>
      </c>
    </row>
    <row r="60" spans="1:6" ht="24" customHeight="1">
      <c r="A60" s="21">
        <v>2</v>
      </c>
      <c r="B60" s="22" t="s">
        <v>172</v>
      </c>
      <c r="C60" s="23">
        <v>4300354</v>
      </c>
      <c r="D60" s="23">
        <v>3960989</v>
      </c>
      <c r="E60" s="23">
        <f>D60-C60</f>
        <v>-339365</v>
      </c>
      <c r="F60" s="24">
        <f>IF(C60=0,0,E60/C60)</f>
        <v>-0.0789155962509133</v>
      </c>
    </row>
    <row r="61" spans="1:6" ht="24" customHeight="1">
      <c r="A61" s="25"/>
      <c r="B61" s="26" t="s">
        <v>173</v>
      </c>
      <c r="C61" s="27">
        <f>SUM(C59:C60)</f>
        <v>8855354</v>
      </c>
      <c r="D61" s="27">
        <f>SUM(D59:D60)</f>
        <v>7435989</v>
      </c>
      <c r="E61" s="27">
        <f>D61-C61</f>
        <v>-1419365</v>
      </c>
      <c r="F61" s="28">
        <f>IF(C61=0,0,E61/C61)</f>
        <v>-0.1602832591446937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174</v>
      </c>
      <c r="C63" s="23">
        <v>8874031</v>
      </c>
      <c r="D63" s="23">
        <v>28349714</v>
      </c>
      <c r="E63" s="23">
        <f>D63-C63</f>
        <v>19475683</v>
      </c>
      <c r="F63" s="24">
        <f>IF(C63=0,0,E63/C63)</f>
        <v>2.194682777195617</v>
      </c>
    </row>
    <row r="64" spans="1:6" ht="24" customHeight="1">
      <c r="A64" s="21">
        <v>4</v>
      </c>
      <c r="B64" s="22" t="s">
        <v>175</v>
      </c>
      <c r="C64" s="23">
        <v>2069059</v>
      </c>
      <c r="D64" s="23">
        <v>2192084</v>
      </c>
      <c r="E64" s="23">
        <f>D64-C64</f>
        <v>123025</v>
      </c>
      <c r="F64" s="24">
        <f>IF(C64=0,0,E64/C64)</f>
        <v>0.05945939675958974</v>
      </c>
    </row>
    <row r="65" spans="1:6" ht="24" customHeight="1">
      <c r="A65" s="25"/>
      <c r="B65" s="26" t="s">
        <v>176</v>
      </c>
      <c r="C65" s="27">
        <f>SUM(C61:C64)</f>
        <v>19798444</v>
      </c>
      <c r="D65" s="27">
        <f>SUM(D61:D64)</f>
        <v>37977787</v>
      </c>
      <c r="E65" s="27">
        <f>D65-C65</f>
        <v>18179343</v>
      </c>
      <c r="F65" s="28">
        <f>IF(C65=0,0,E65/C65)</f>
        <v>0.9182207955332248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177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151</v>
      </c>
      <c r="B69" s="41" t="s">
        <v>178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179</v>
      </c>
      <c r="C70" s="23">
        <v>61095321</v>
      </c>
      <c r="D70" s="23">
        <v>41711965</v>
      </c>
      <c r="E70" s="23">
        <f>D70-C70</f>
        <v>-19383356</v>
      </c>
      <c r="F70" s="24">
        <f>IF(C70=0,0,E70/C70)</f>
        <v>-0.3172641649595392</v>
      </c>
    </row>
    <row r="71" spans="1:6" ht="24" customHeight="1">
      <c r="A71" s="21">
        <v>2</v>
      </c>
      <c r="B71" s="22" t="s">
        <v>180</v>
      </c>
      <c r="C71" s="23">
        <v>3401343</v>
      </c>
      <c r="D71" s="23">
        <v>2924647</v>
      </c>
      <c r="E71" s="23">
        <f>D71-C71</f>
        <v>-476696</v>
      </c>
      <c r="F71" s="24">
        <f>IF(C71=0,0,E71/C71)</f>
        <v>-0.14014934689033126</v>
      </c>
    </row>
    <row r="72" spans="1:6" ht="24" customHeight="1">
      <c r="A72" s="21">
        <v>3</v>
      </c>
      <c r="B72" s="22" t="s">
        <v>181</v>
      </c>
      <c r="C72" s="23">
        <v>16535386</v>
      </c>
      <c r="D72" s="23">
        <v>15558390</v>
      </c>
      <c r="E72" s="23">
        <f>D72-C72</f>
        <v>-976996</v>
      </c>
      <c r="F72" s="24">
        <f>IF(C72=0,0,E72/C72)</f>
        <v>-0.05908516438624414</v>
      </c>
    </row>
    <row r="73" spans="1:6" ht="24" customHeight="1">
      <c r="A73" s="21"/>
      <c r="B73" s="26" t="s">
        <v>182</v>
      </c>
      <c r="C73" s="27">
        <f>SUM(C70:C72)</f>
        <v>81032050</v>
      </c>
      <c r="D73" s="27">
        <f>SUM(D70:D72)</f>
        <v>60195002</v>
      </c>
      <c r="E73" s="27">
        <f>D73-C73</f>
        <v>-20837048</v>
      </c>
      <c r="F73" s="28">
        <f>IF(C73=0,0,E73/C73)</f>
        <v>-0.2571457589928923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183</v>
      </c>
      <c r="C75" s="27">
        <f>C56+C65+C67+C73</f>
        <v>115599607</v>
      </c>
      <c r="D75" s="27">
        <f>D56+D65+D67+D73</f>
        <v>114395669</v>
      </c>
      <c r="E75" s="27">
        <f>D75-C75</f>
        <v>-1203938</v>
      </c>
      <c r="F75" s="28">
        <f>IF(C75=0,0,E75/C75)</f>
        <v>-0.010414723987772727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FILING&amp;RTHE CHARLOTTE HUNGERFORD HOSPITAL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594</v>
      </c>
      <c r="B1" s="696"/>
      <c r="C1" s="696"/>
      <c r="D1" s="696"/>
      <c r="E1" s="696"/>
      <c r="F1" s="697"/>
    </row>
    <row r="2" spans="1:6" ht="22.5" customHeight="1">
      <c r="A2" s="695" t="s">
        <v>116</v>
      </c>
      <c r="B2" s="696"/>
      <c r="C2" s="696"/>
      <c r="D2" s="696"/>
      <c r="E2" s="696"/>
      <c r="F2" s="697"/>
    </row>
    <row r="3" spans="1:6" ht="22.5" customHeight="1">
      <c r="A3" s="695" t="s">
        <v>117</v>
      </c>
      <c r="B3" s="696"/>
      <c r="C3" s="696"/>
      <c r="D3" s="696"/>
      <c r="E3" s="696"/>
      <c r="F3" s="697"/>
    </row>
    <row r="4" spans="1:6" ht="22.5" customHeight="1">
      <c r="A4" s="695" t="s">
        <v>596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119</v>
      </c>
      <c r="D6" s="10" t="s">
        <v>120</v>
      </c>
      <c r="E6" s="59" t="s">
        <v>121</v>
      </c>
      <c r="F6" s="59" t="s">
        <v>122</v>
      </c>
    </row>
    <row r="7" spans="1:8" ht="15.75" customHeight="1">
      <c r="A7" s="61" t="s">
        <v>123</v>
      </c>
      <c r="B7" s="62" t="s">
        <v>124</v>
      </c>
      <c r="C7" s="14" t="s">
        <v>125</v>
      </c>
      <c r="D7" s="14" t="s">
        <v>125</v>
      </c>
      <c r="E7" s="63" t="s">
        <v>126</v>
      </c>
      <c r="F7" s="63" t="s">
        <v>126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129</v>
      </c>
      <c r="B11" s="30" t="s">
        <v>185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186</v>
      </c>
      <c r="C12" s="51">
        <v>161532679</v>
      </c>
      <c r="D12" s="51">
        <v>183421886</v>
      </c>
      <c r="E12" s="51">
        <f aca="true" t="shared" si="0" ref="E12:E19">D12-C12</f>
        <v>21889207</v>
      </c>
      <c r="F12" s="70">
        <f aca="true" t="shared" si="1" ref="F12:F19">IF(C12=0,0,E12/C12)</f>
        <v>0.1355094655490732</v>
      </c>
    </row>
    <row r="13" spans="1:6" ht="22.5" customHeight="1">
      <c r="A13" s="25">
        <v>2</v>
      </c>
      <c r="B13" s="48" t="s">
        <v>187</v>
      </c>
      <c r="C13" s="51">
        <v>70323699</v>
      </c>
      <c r="D13" s="51">
        <v>84117826</v>
      </c>
      <c r="E13" s="51">
        <f t="shared" si="0"/>
        <v>13794127</v>
      </c>
      <c r="F13" s="70">
        <f t="shared" si="1"/>
        <v>0.19615189752746084</v>
      </c>
    </row>
    <row r="14" spans="1:6" ht="22.5" customHeight="1">
      <c r="A14" s="25">
        <v>3</v>
      </c>
      <c r="B14" s="48" t="s">
        <v>188</v>
      </c>
      <c r="C14" s="51">
        <v>1110508</v>
      </c>
      <c r="D14" s="51">
        <v>1438204</v>
      </c>
      <c r="E14" s="51">
        <f t="shared" si="0"/>
        <v>327696</v>
      </c>
      <c r="F14" s="70">
        <f t="shared" si="1"/>
        <v>0.29508657299181995</v>
      </c>
    </row>
    <row r="15" spans="1:7" ht="22.5" customHeight="1">
      <c r="A15" s="25">
        <v>4</v>
      </c>
      <c r="B15" s="48" t="s">
        <v>189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190</v>
      </c>
      <c r="C16" s="27">
        <f>C12-C13-C14-C15</f>
        <v>90098472</v>
      </c>
      <c r="D16" s="27">
        <f>D12-D13-D14-D15</f>
        <v>97865856</v>
      </c>
      <c r="E16" s="27">
        <f t="shared" si="0"/>
        <v>7767384</v>
      </c>
      <c r="F16" s="28">
        <f t="shared" si="1"/>
        <v>0.08620994149601116</v>
      </c>
    </row>
    <row r="17" spans="1:7" ht="22.5" customHeight="1">
      <c r="A17" s="25">
        <v>5</v>
      </c>
      <c r="B17" s="48" t="s">
        <v>191</v>
      </c>
      <c r="C17" s="51">
        <v>5881539</v>
      </c>
      <c r="D17" s="51">
        <v>5612083</v>
      </c>
      <c r="E17" s="51">
        <f t="shared" si="0"/>
        <v>-269456</v>
      </c>
      <c r="F17" s="70">
        <f t="shared" si="1"/>
        <v>-0.04581385926370632</v>
      </c>
      <c r="G17" s="64"/>
    </row>
    <row r="18" spans="1:7" ht="33" customHeight="1">
      <c r="A18" s="25">
        <v>6</v>
      </c>
      <c r="B18" s="45" t="s">
        <v>192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6" ht="22.5" customHeight="1">
      <c r="A19" s="29"/>
      <c r="B19" s="71" t="s">
        <v>193</v>
      </c>
      <c r="C19" s="27">
        <f>SUM(C16:C18)</f>
        <v>95980011</v>
      </c>
      <c r="D19" s="27">
        <f>SUM(D16:D18)</f>
        <v>103477939</v>
      </c>
      <c r="E19" s="27">
        <f t="shared" si="0"/>
        <v>7497928</v>
      </c>
      <c r="F19" s="28">
        <f t="shared" si="1"/>
        <v>0.07811968264933832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141</v>
      </c>
      <c r="B21" s="30" t="s">
        <v>194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195</v>
      </c>
      <c r="C22" s="51">
        <v>44748357</v>
      </c>
      <c r="D22" s="51">
        <v>48180018</v>
      </c>
      <c r="E22" s="51">
        <f aca="true" t="shared" si="2" ref="E22:E31">D22-C22</f>
        <v>3431661</v>
      </c>
      <c r="F22" s="70">
        <f aca="true" t="shared" si="3" ref="F22:F31">IF(C22=0,0,E22/C22)</f>
        <v>0.07668797761669775</v>
      </c>
    </row>
    <row r="23" spans="1:6" ht="22.5" customHeight="1">
      <c r="A23" s="25">
        <v>2</v>
      </c>
      <c r="B23" s="48" t="s">
        <v>196</v>
      </c>
      <c r="C23" s="51">
        <v>11159462</v>
      </c>
      <c r="D23" s="51">
        <v>12887310</v>
      </c>
      <c r="E23" s="51">
        <f t="shared" si="2"/>
        <v>1727848</v>
      </c>
      <c r="F23" s="70">
        <f t="shared" si="3"/>
        <v>0.15483255375572766</v>
      </c>
    </row>
    <row r="24" spans="1:7" ht="22.5" customHeight="1">
      <c r="A24" s="25">
        <v>3</v>
      </c>
      <c r="B24" s="48" t="s">
        <v>197</v>
      </c>
      <c r="C24" s="51">
        <v>1158724</v>
      </c>
      <c r="D24" s="51">
        <v>900019</v>
      </c>
      <c r="E24" s="51">
        <f t="shared" si="2"/>
        <v>-258705</v>
      </c>
      <c r="F24" s="70">
        <f t="shared" si="3"/>
        <v>-0.22326714558428065</v>
      </c>
      <c r="G24" s="64"/>
    </row>
    <row r="25" spans="1:6" ht="22.5" customHeight="1">
      <c r="A25" s="25">
        <v>4</v>
      </c>
      <c r="B25" s="48" t="s">
        <v>198</v>
      </c>
      <c r="C25" s="51">
        <v>10555813</v>
      </c>
      <c r="D25" s="51">
        <v>11988735</v>
      </c>
      <c r="E25" s="51">
        <f t="shared" si="2"/>
        <v>1432922</v>
      </c>
      <c r="F25" s="70">
        <f t="shared" si="3"/>
        <v>0.1357471944605309</v>
      </c>
    </row>
    <row r="26" spans="1:6" ht="22.5" customHeight="1">
      <c r="A26" s="25">
        <v>5</v>
      </c>
      <c r="B26" s="48" t="s">
        <v>199</v>
      </c>
      <c r="C26" s="51">
        <v>5922262</v>
      </c>
      <c r="D26" s="51">
        <v>6201756</v>
      </c>
      <c r="E26" s="51">
        <f t="shared" si="2"/>
        <v>279494</v>
      </c>
      <c r="F26" s="70">
        <f t="shared" si="3"/>
        <v>0.04719379183156706</v>
      </c>
    </row>
    <row r="27" spans="1:6" ht="22.5" customHeight="1">
      <c r="A27" s="25">
        <v>6</v>
      </c>
      <c r="B27" s="48" t="s">
        <v>200</v>
      </c>
      <c r="C27" s="51">
        <v>2441497</v>
      </c>
      <c r="D27" s="51">
        <v>2247042</v>
      </c>
      <c r="E27" s="51">
        <f t="shared" si="2"/>
        <v>-194455</v>
      </c>
      <c r="F27" s="70">
        <f t="shared" si="3"/>
        <v>-0.07964580746976138</v>
      </c>
    </row>
    <row r="28" spans="1:6" ht="22.5" customHeight="1">
      <c r="A28" s="25">
        <v>7</v>
      </c>
      <c r="B28" s="48" t="s">
        <v>201</v>
      </c>
      <c r="C28" s="51">
        <v>653403</v>
      </c>
      <c r="D28" s="51">
        <v>563756</v>
      </c>
      <c r="E28" s="51">
        <f t="shared" si="2"/>
        <v>-89647</v>
      </c>
      <c r="F28" s="70">
        <f t="shared" si="3"/>
        <v>-0.1372001659006769</v>
      </c>
    </row>
    <row r="29" spans="1:6" ht="22.5" customHeight="1">
      <c r="A29" s="25">
        <v>8</v>
      </c>
      <c r="B29" s="48" t="s">
        <v>202</v>
      </c>
      <c r="C29" s="51">
        <v>1568612</v>
      </c>
      <c r="D29" s="51">
        <v>1515372</v>
      </c>
      <c r="E29" s="51">
        <f t="shared" si="2"/>
        <v>-53240</v>
      </c>
      <c r="F29" s="70">
        <f t="shared" si="3"/>
        <v>-0.033940834317218026</v>
      </c>
    </row>
    <row r="30" spans="1:6" ht="22.5" customHeight="1">
      <c r="A30" s="25">
        <v>9</v>
      </c>
      <c r="B30" s="48" t="s">
        <v>203</v>
      </c>
      <c r="C30" s="51">
        <v>18423013</v>
      </c>
      <c r="D30" s="51">
        <v>19026780</v>
      </c>
      <c r="E30" s="51">
        <f t="shared" si="2"/>
        <v>603767</v>
      </c>
      <c r="F30" s="70">
        <f t="shared" si="3"/>
        <v>0.03277243521458732</v>
      </c>
    </row>
    <row r="31" spans="1:6" ht="22.5" customHeight="1">
      <c r="A31" s="29"/>
      <c r="B31" s="71" t="s">
        <v>204</v>
      </c>
      <c r="C31" s="27">
        <f>SUM(C22:C30)</f>
        <v>96631143</v>
      </c>
      <c r="D31" s="27">
        <f>SUM(D22:D30)</f>
        <v>103510788</v>
      </c>
      <c r="E31" s="27">
        <f t="shared" si="2"/>
        <v>6879645</v>
      </c>
      <c r="F31" s="28">
        <f t="shared" si="3"/>
        <v>0.0711949045247245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205</v>
      </c>
      <c r="C33" s="27">
        <f>+C19-C31</f>
        <v>-651132</v>
      </c>
      <c r="D33" s="27">
        <f>+D19-D31</f>
        <v>-32849</v>
      </c>
      <c r="E33" s="27">
        <f>D33-C33</f>
        <v>618283</v>
      </c>
      <c r="F33" s="28">
        <f>IF(C33=0,0,E33/C33)</f>
        <v>-0.9495509359085408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151</v>
      </c>
      <c r="B35" s="30" t="s">
        <v>206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207</v>
      </c>
      <c r="C36" s="51">
        <v>1576449</v>
      </c>
      <c r="D36" s="51">
        <v>0</v>
      </c>
      <c r="E36" s="51">
        <f>D36-C36</f>
        <v>-1576449</v>
      </c>
      <c r="F36" s="70">
        <f>IF(C36=0,0,E36/C36)</f>
        <v>-1</v>
      </c>
    </row>
    <row r="37" spans="1:6" ht="22.5" customHeight="1">
      <c r="A37" s="44">
        <v>2</v>
      </c>
      <c r="B37" s="48" t="s">
        <v>208</v>
      </c>
      <c r="C37" s="51">
        <v>192033</v>
      </c>
      <c r="D37" s="51">
        <v>188183</v>
      </c>
      <c r="E37" s="51">
        <f>D37-C37</f>
        <v>-3850</v>
      </c>
      <c r="F37" s="70">
        <f>IF(C37=0,0,E37/C37)</f>
        <v>-0.02004863747376753</v>
      </c>
    </row>
    <row r="38" spans="1:6" ht="22.5" customHeight="1">
      <c r="A38" s="44">
        <v>3</v>
      </c>
      <c r="B38" s="48" t="s">
        <v>209</v>
      </c>
      <c r="C38" s="51">
        <v>74291</v>
      </c>
      <c r="D38" s="51">
        <v>-43176</v>
      </c>
      <c r="E38" s="51">
        <f>D38-C38</f>
        <v>-117467</v>
      </c>
      <c r="F38" s="70">
        <f>IF(C38=0,0,E38/C38)</f>
        <v>-1.5811740318477339</v>
      </c>
    </row>
    <row r="39" spans="1:6" ht="22.5" customHeight="1">
      <c r="A39" s="20"/>
      <c r="B39" s="71" t="s">
        <v>210</v>
      </c>
      <c r="C39" s="27">
        <f>SUM(C36:C38)</f>
        <v>1842773</v>
      </c>
      <c r="D39" s="27">
        <f>SUM(D36:D38)</f>
        <v>145007</v>
      </c>
      <c r="E39" s="27">
        <f>D39-C39</f>
        <v>-1697766</v>
      </c>
      <c r="F39" s="28">
        <f>IF(C39=0,0,E39/C39)</f>
        <v>-0.9213104381277564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211</v>
      </c>
      <c r="C41" s="27">
        <f>C33+C39</f>
        <v>1191641</v>
      </c>
      <c r="D41" s="27">
        <f>D33+D39</f>
        <v>112158</v>
      </c>
      <c r="E41" s="27">
        <f>D41-C41</f>
        <v>-1079483</v>
      </c>
      <c r="F41" s="28">
        <f>IF(C41=0,0,E41/C41)</f>
        <v>-0.9058793713878592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212</v>
      </c>
      <c r="C43" s="27"/>
      <c r="D43" s="27"/>
      <c r="E43" s="27"/>
      <c r="F43" s="28"/>
    </row>
    <row r="44" spans="1:6" ht="22.5" customHeight="1">
      <c r="A44" s="44"/>
      <c r="B44" s="48" t="s">
        <v>213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214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215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216</v>
      </c>
      <c r="C48" s="27">
        <f>C41+C46</f>
        <v>1191641</v>
      </c>
      <c r="D48" s="27">
        <f>D41+D46</f>
        <v>112158</v>
      </c>
      <c r="E48" s="27">
        <f>D48-C48</f>
        <v>-1079483</v>
      </c>
      <c r="F48" s="28">
        <f>IF(C48=0,0,E48/C48)</f>
        <v>-0.9058793713878592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 r:id="rId1"/>
  <headerFooter alignWithMargins="0">
    <oddHeader>&amp;L&amp;8OFFICE OF HEALTH CARE ACCESS&amp;C&amp;8TWELVE MONTHS ACTUAL FILING&amp;R&amp;8THE CHARLOTTE HUNGERFORD HOSPITAL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2010-08-17T20:49:44Z</cp:lastPrinted>
  <dcterms:created xsi:type="dcterms:W3CDTF">2006-08-03T13:49:12Z</dcterms:created>
  <dcterms:modified xsi:type="dcterms:W3CDTF">2010-08-17T20:49:48Z</dcterms:modified>
  <cp:category/>
  <cp:version/>
  <cp:contentType/>
  <cp:contentStatus/>
</cp:coreProperties>
</file>