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firstSheet="7" activeTab="18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<sst xmlns="http://schemas.openxmlformats.org/spreadsheetml/2006/main" count="2302" uniqueCount="979">
  <si>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</si>
  <si>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</si>
  <si>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</si>
  <si>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</si>
  <si>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</si>
  <si>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</si>
  <si>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</si>
  <si>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</si>
  <si>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</si>
  <si>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</si>
  <si>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</si>
  <si>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</si>
  <si>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</si>
  <si>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</si>
  <si>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</si>
  <si>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</si>
  <si>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</si>
  <si>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</si>
  <si>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</si>
  <si>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</si>
  <si>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</si>
  <si>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</si>
  <si>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</si>
  <si>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</si>
  <si>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</si>
  <si>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</si>
  <si>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</si>
  <si>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</si>
  <si>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</si>
  <si>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</si>
  <si>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</si>
  <si>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</si>
  <si>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</si>
  <si>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</si>
  <si>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</si>
  <si>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</si>
  <si>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</si>
  <si>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</si>
  <si>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</si>
  <si>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</si>
  <si>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</si>
  <si>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</si>
  <si>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</si>
  <si>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</si>
  <si>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</si>
  <si>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</si>
  <si>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</si>
  <si>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</si>
  <si>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</si>
  <si>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</si>
  <si>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</si>
  <si>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</si>
  <si>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</si>
  <si>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</si>
  <si>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</si>
  <si>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</si>
  <si>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</si>
  <si>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</si>
  <si>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</si>
  <si>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</si>
  <si>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</si>
  <si>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</si>
  <si>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</si>
  <si>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</si>
  <si>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</si>
  <si>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</si>
  <si>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</si>
  <si>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</si>
  <si>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</si>
  <si>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</si>
  <si>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</si>
  <si>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</si>
  <si>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</si>
  <si>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</si>
  <si>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</si>
  <si>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</si>
  <si>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</si>
  <si>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</si>
  <si>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</si>
  <si>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</si>
  <si>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</si>
  <si>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</si>
  <si>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</si>
  <si>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</si>
  <si>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</si>
  <si>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</si>
  <si>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</si>
  <si>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</si>
  <si>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</si>
  <si>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</si>
  <si>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</si>
  <si>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</si>
  <si>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</si>
  <si>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</si>
  <si>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</si>
  <si>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</si>
  <si>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</si>
  <si>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</si>
  <si>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</si>
  <si>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</si>
  <si>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</si>
  <si>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</si>
  <si>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 xml:space="preserve">     TOTAL EMERGENCY DEPARTMENT OUTPATIENT VISITS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</si>
  <si>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</si>
  <si>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</si>
  <si>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</si>
  <si>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</si>
  <si>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</si>
  <si>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</si>
  <si>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</si>
  <si>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</si>
  <si>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</si>
  <si>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</si>
  <si>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</si>
  <si>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</si>
  <si>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</si>
  <si>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</si>
  <si>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</si>
  <si>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</si>
  <si>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</si>
  <si>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</si>
  <si>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</si>
  <si>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</si>
  <si>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</si>
  <si>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</si>
  <si>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</si>
  <si>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</si>
  <si>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</si>
  <si>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</si>
  <si>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</si>
  <si>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</si>
  <si>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</si>
  <si>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</si>
  <si>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</si>
  <si>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</si>
  <si>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</si>
  <si>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</si>
  <si>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</si>
  <si>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</si>
  <si>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</si>
  <si>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</si>
  <si>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</si>
  <si>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</si>
  <si>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</si>
  <si>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</si>
  <si>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</si>
  <si>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</si>
  <si>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</si>
  <si>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</si>
  <si>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</si>
  <si>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</si>
  <si>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</si>
  <si>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</si>
  <si>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</si>
  <si>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</si>
  <si>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</si>
  <si>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</si>
  <si>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HARTFORD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</si>
  <si>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</si>
  <si>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</si>
  <si>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</si>
  <si>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</si>
  <si>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</si>
  <si>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</si>
  <si>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</si>
  <si>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</si>
  <si>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</si>
  <si>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</si>
  <si>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</si>
  <si>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</si>
  <si>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</si>
  <si>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</si>
  <si>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</si>
  <si>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</si>
  <si>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</si>
  <si>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</si>
  <si>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</si>
  <si>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</si>
  <si>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</si>
  <si>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</si>
  <si>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</si>
  <si>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</si>
  <si>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</si>
  <si>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</si>
  <si>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</si>
  <si>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</si>
  <si>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</si>
  <si>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</si>
  <si>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</si>
  <si>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</si>
  <si>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</si>
  <si>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</si>
  <si>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</si>
  <si>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</si>
  <si>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</si>
  <si>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</si>
  <si>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</si>
  <si>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</si>
  <si>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</si>
  <si>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</si>
  <si>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</si>
  <si>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</si>
  <si>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</si>
  <si>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</si>
  <si>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</si>
  <si>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</si>
  <si>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</si>
  <si>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</si>
  <si>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</si>
  <si>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</si>
  <si>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</si>
  <si>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</si>
  <si>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</si>
  <si>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</si>
  <si>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</si>
  <si>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</si>
  <si>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</si>
  <si>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</si>
  <si>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</si>
  <si>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</si>
  <si>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</si>
  <si>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</si>
  <si>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</si>
  <si>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</si>
  <si>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</si>
  <si>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</si>
  <si>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</si>
  <si>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</si>
  <si>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</si>
  <si>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</si>
  <si>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</si>
  <si>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</si>
  <si>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</si>
  <si>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</si>
  <si>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</si>
  <si>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</si>
  <si>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</si>
  <si>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</si>
  <si>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</si>
  <si>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</si>
  <si>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</si>
  <si>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</si>
  <si>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</si>
  <si>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</si>
  <si>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</si>
  <si>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</si>
  <si>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</si>
  <si>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</si>
  <si>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</si>
  <si>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</si>
  <si>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</si>
  <si>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</si>
  <si>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</si>
  <si>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</si>
  <si>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</si>
  <si>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</si>
  <si>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</si>
  <si>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</si>
  <si>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</si>
  <si>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</si>
  <si>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</si>
  <si>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</si>
  <si>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</si>
  <si>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</si>
  <si>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</si>
  <si>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</si>
  <si>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</si>
  <si>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</si>
  <si>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</si>
  <si>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</si>
  <si>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</si>
  <si>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</si>
  <si>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</si>
  <si>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</si>
  <si>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</si>
  <si>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</si>
  <si>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</si>
  <si>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</si>
  <si>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</si>
  <si>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</si>
  <si>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</si>
  <si>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</si>
  <si>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</si>
  <si>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</si>
  <si>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</si>
  <si>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</si>
  <si>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</si>
  <si>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</si>
  <si>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</si>
  <si>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</si>
  <si>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</si>
  <si>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</si>
  <si>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</si>
  <si>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</si>
  <si>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</si>
  <si>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</si>
  <si>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</si>
  <si>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</si>
  <si>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</si>
  <si>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</si>
  <si>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</si>
  <si>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</si>
  <si>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</si>
  <si>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</si>
  <si>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</si>
  <si>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</si>
  <si>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</si>
  <si>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</si>
  <si>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</si>
  <si>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</si>
  <si>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</si>
  <si>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</si>
  <si>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</si>
  <si>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</si>
  <si>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</si>
  <si>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</si>
  <si>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</si>
  <si>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</si>
  <si>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</si>
  <si>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</si>
  <si>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</si>
  <si>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</si>
  <si>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</si>
  <si>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</si>
  <si>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</si>
  <si>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</si>
  <si>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</si>
  <si>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</si>
  <si>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</si>
  <si>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</si>
  <si>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</si>
  <si>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</si>
  <si>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</si>
  <si>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</si>
  <si>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</si>
  <si>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</si>
  <si>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</si>
  <si>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</si>
  <si>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</si>
  <si>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</si>
  <si>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</si>
  <si>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</si>
  <si>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</si>
  <si>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</si>
  <si>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</si>
  <si>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</si>
  <si>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</si>
  <si>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</si>
  <si>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</si>
  <si>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</si>
  <si>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</si>
  <si>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</si>
  <si>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</si>
  <si>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</si>
  <si>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</si>
  <si>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</si>
  <si>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</si>
  <si>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</si>
  <si>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</si>
  <si>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</si>
  <si>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</si>
  <si>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</si>
  <si>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</si>
  <si>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</si>
  <si>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</si>
  <si>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</si>
  <si>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</si>
  <si>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</si>
  <si>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</si>
  <si>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</si>
  <si>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</si>
  <si>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</si>
  <si>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</si>
  <si>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</si>
  <si>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</si>
  <si>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</si>
  <si>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</si>
  <si>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</si>
  <si>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</si>
  <si>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</si>
  <si>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</si>
  <si>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</si>
  <si>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</si>
  <si>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</si>
  <si>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</si>
  <si>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</si>
  <si>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</si>
  <si>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</si>
  <si>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</si>
  <si>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</si>
  <si>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</si>
  <si>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</si>
  <si>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</si>
  <si>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</si>
  <si>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</si>
  <si>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</si>
  <si>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</si>
  <si>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</si>
  <si>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</si>
  <si>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</si>
  <si>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</si>
  <si>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</si>
  <si>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</si>
  <si>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</si>
  <si>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</si>
  <si>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</si>
  <si>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</si>
  <si>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</si>
  <si>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</si>
  <si>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</si>
  <si>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</si>
  <si>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</si>
  <si>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</si>
  <si>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</si>
  <si>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</si>
  <si>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</si>
  <si>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</si>
  <si>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</si>
  <si>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</si>
  <si>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</si>
  <si>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</si>
  <si>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</si>
  <si>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</si>
  <si>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</si>
  <si>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</si>
  <si>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</si>
  <si>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</si>
  <si>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</si>
  <si>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</si>
  <si>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</si>
  <si>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</si>
  <si>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</si>
  <si>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</si>
  <si>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</si>
  <si>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</si>
  <si>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</si>
  <si>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</si>
  <si>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</si>
  <si>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</si>
  <si>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</si>
  <si>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</si>
  <si>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</si>
  <si>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</si>
  <si>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</si>
  <si>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</si>
  <si>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</si>
  <si>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</si>
  <si>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</si>
  <si>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</si>
  <si>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</si>
  <si>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</si>
  <si>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</si>
  <si>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</si>
  <si>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</si>
  <si>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</si>
  <si>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</si>
  <si>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</si>
  <si>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</si>
  <si>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</si>
  <si>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</si>
  <si>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</si>
  <si>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</si>
  <si>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</si>
  <si>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</si>
  <si>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</si>
  <si>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</si>
  <si>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</si>
  <si>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</si>
  <si>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</si>
  <si>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</si>
  <si>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</si>
  <si>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</si>
  <si>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</si>
  <si>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</si>
  <si>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</si>
  <si>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</si>
  <si>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</si>
  <si>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</si>
  <si>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</si>
  <si>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</si>
  <si>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</si>
  <si>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</si>
  <si>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</si>
  <si>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</si>
  <si>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</si>
  <si>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</si>
  <si>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</si>
  <si>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</si>
  <si>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</si>
  <si>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</si>
  <si>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</si>
  <si>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</si>
  <si>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</si>
  <si>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</si>
  <si>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</si>
  <si>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</si>
  <si>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</si>
  <si>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</si>
  <si>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</si>
  <si>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</si>
  <si>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</si>
  <si>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</si>
  <si>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</si>
  <si>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</si>
  <si>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</si>
  <si>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</si>
  <si>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</si>
  <si>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</si>
  <si>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</si>
  <si>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</si>
  <si>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</si>
  <si>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</si>
  <si>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</si>
  <si>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</si>
  <si>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</si>
  <si>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</si>
  <si>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</si>
  <si>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</si>
  <si>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</si>
  <si>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</si>
  <si>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</si>
  <si>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</si>
  <si>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</si>
  <si>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</si>
  <si>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</si>
  <si>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</si>
  <si>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</si>
  <si>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</si>
  <si>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</si>
  <si>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</si>
  <si>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</si>
  <si>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</si>
  <si>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</si>
  <si>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</si>
  <si>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</si>
  <si>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</si>
  <si>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</si>
  <si>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</si>
  <si>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</si>
  <si>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</si>
  <si>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</si>
  <si>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</si>
  <si>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</si>
  <si>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</si>
  <si>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</si>
  <si>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</si>
  <si>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</si>
  <si>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</si>
  <si>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</si>
  <si>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</si>
  <si>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</si>
  <si>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</si>
  <si>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</si>
  <si>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</si>
  <si>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</si>
  <si>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</si>
  <si>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</si>
  <si>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</si>
  <si>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</si>
  <si>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</si>
  <si>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</si>
  <si>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</si>
  <si>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</si>
  <si>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</si>
  <si>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</si>
  <si>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</si>
  <si>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</si>
  <si>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</si>
  <si>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</si>
  <si>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</si>
  <si>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</si>
  <si>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</si>
  <si>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</si>
  <si>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</si>
  <si>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</si>
  <si>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</si>
  <si>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</si>
  <si>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</si>
  <si>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</si>
  <si>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</si>
  <si>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</si>
  <si>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</si>
  <si>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</si>
  <si>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</si>
  <si>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</si>
  <si>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</si>
  <si>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</si>
  <si>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</si>
  <si>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</si>
  <si>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</si>
  <si>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</si>
  <si>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</si>
  <si>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</si>
  <si>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</si>
  <si>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</si>
  <si>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</si>
  <si>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</si>
  <si>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</si>
  <si>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</si>
  <si>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</si>
  <si>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</si>
  <si>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</si>
  <si>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</si>
  <si>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</si>
  <si>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</si>
  <si>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</si>
  <si>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</si>
  <si>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</si>
  <si>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</si>
  <si>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</si>
  <si>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</si>
  <si>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</si>
  <si>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</si>
  <si>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</si>
  <si>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</si>
  <si>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</si>
  <si>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</si>
  <si>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</si>
  <si>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</si>
  <si>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</si>
  <si>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</si>
  <si>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</si>
  <si>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</si>
  <si>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</si>
  <si>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</si>
  <si>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</si>
  <si>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</si>
  <si>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</si>
  <si>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</si>
  <si>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</si>
  <si>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</si>
  <si>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</si>
  <si>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</si>
  <si>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</si>
  <si>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</si>
  <si>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HARTFORD HEALTH CARE CORPORATION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</si>
  <si>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</si>
  <si>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</si>
  <si>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</si>
  <si>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</si>
  <si>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</si>
  <si>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</si>
  <si>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</si>
  <si>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</si>
  <si>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</si>
  <si>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</si>
  <si>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</si>
  <si>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</si>
  <si>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</si>
  <si>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</si>
  <si>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</si>
  <si>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</si>
  <si>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</si>
  <si>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</si>
  <si>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</si>
  <si>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</si>
  <si>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</si>
  <si>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</si>
  <si>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</si>
  <si>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</si>
  <si>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</si>
  <si>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</si>
  <si>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</si>
  <si>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</si>
  <si>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</si>
  <si>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</si>
  <si>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</si>
  <si>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</si>
  <si>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</si>
  <si>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</si>
  <si>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</si>
  <si>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</si>
  <si>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</si>
  <si>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</si>
  <si>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</si>
  <si>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</si>
  <si>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</si>
  <si>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</si>
  <si>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</si>
  <si>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</si>
  <si>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</si>
  <si>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</si>
  <si>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</si>
  <si>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</si>
  <si>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</si>
  <si>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</si>
  <si>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</si>
  <si>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</si>
  <si>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</si>
  <si>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</si>
  <si>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</si>
  <si>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</si>
  <si>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</si>
  <si>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</si>
  <si>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</si>
  <si>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</si>
  <si>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</si>
  <si>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</si>
  <si>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</si>
  <si>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</si>
  <si>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</si>
  <si>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</si>
  <si>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</si>
  <si>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</si>
  <si>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</si>
  <si>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</si>
  <si>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</si>
  <si>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</si>
  <si>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</si>
  <si>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</si>
  <si>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</si>
  <si>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</si>
  <si>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</si>
  <si>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</si>
  <si>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</si>
  <si>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</si>
  <si>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</si>
  <si>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</si>
  <si>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</si>
  <si>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</si>
  <si>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</si>
  <si>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</si>
  <si>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</si>
  <si>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</si>
  <si>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</si>
  <si>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</si>
  <si>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</si>
  <si>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</si>
  <si>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</si>
  <si>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</si>
  <si>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</si>
  <si>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</si>
  <si>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</si>
  <si>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</si>
  <si>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</si>
  <si>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</si>
  <si>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</si>
  <si>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</si>
  <si>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</si>
  <si>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Hartford Hospital</t>
  </si>
  <si>
    <t>West Hartford Surgery Center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</si>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</sst>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center"/>
    </xf>
    <xf numFmtId="168" fontId="23" fillId="20" borderId="35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9.1406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157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160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10244779</v>
      </c>
      <c r="D13" s="23">
        <v>13957075</v>
      </c>
      <c r="E13" s="23">
        <f aca="true" t="shared" si="0" ref="E13:E22">D13-C13</f>
        <v>3712296</v>
      </c>
      <c r="F13" s="24">
        <f aca="true" t="shared" si="1" ref="F13:F22">IF(C13=0,0,E13/C13)</f>
        <v>0.3623597932175989</v>
      </c>
    </row>
    <row r="14" spans="1:6" ht="24" customHeight="1">
      <c r="A14" s="21">
        <v>2</v>
      </c>
      <c r="B14" s="22" t="s">
        <v>174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0" customHeight="1">
      <c r="A15" s="21">
        <v>3</v>
      </c>
      <c r="B15" s="22" t="s">
        <v>175</v>
      </c>
      <c r="C15" s="23">
        <v>105442656</v>
      </c>
      <c r="D15" s="23">
        <v>115042880</v>
      </c>
      <c r="E15" s="23">
        <f t="shared" si="0"/>
        <v>9600224</v>
      </c>
      <c r="F15" s="24">
        <f t="shared" si="1"/>
        <v>0.09104687196043316</v>
      </c>
    </row>
    <row r="16" spans="1:6" ht="24" customHeight="1">
      <c r="A16" s="21">
        <v>4</v>
      </c>
      <c r="B16" s="22" t="s">
        <v>176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177</v>
      </c>
      <c r="C17" s="23">
        <v>-2897629</v>
      </c>
      <c r="D17" s="23">
        <v>-4120386</v>
      </c>
      <c r="E17" s="23">
        <f t="shared" si="0"/>
        <v>-1222757</v>
      </c>
      <c r="F17" s="24">
        <f t="shared" si="1"/>
        <v>0.4219853542327192</v>
      </c>
    </row>
    <row r="18" spans="1:6" ht="24" customHeight="1">
      <c r="A18" s="21">
        <v>6</v>
      </c>
      <c r="B18" s="22" t="s">
        <v>178</v>
      </c>
      <c r="C18" s="23">
        <v>10926483</v>
      </c>
      <c r="D18" s="23">
        <v>6972476</v>
      </c>
      <c r="E18" s="23">
        <f t="shared" si="0"/>
        <v>-3954007</v>
      </c>
      <c r="F18" s="24">
        <f t="shared" si="1"/>
        <v>-0.36187371544896924</v>
      </c>
    </row>
    <row r="19" spans="1:6" ht="24" customHeight="1">
      <c r="A19" s="21">
        <v>7</v>
      </c>
      <c r="B19" s="22" t="s">
        <v>179</v>
      </c>
      <c r="C19" s="23">
        <v>9266981</v>
      </c>
      <c r="D19" s="23">
        <v>10595678</v>
      </c>
      <c r="E19" s="23">
        <f t="shared" si="0"/>
        <v>1328697</v>
      </c>
      <c r="F19" s="24">
        <f t="shared" si="1"/>
        <v>0.1433797047819565</v>
      </c>
    </row>
    <row r="20" spans="1:6" ht="24" customHeight="1">
      <c r="A20" s="21">
        <v>8</v>
      </c>
      <c r="B20" s="22" t="s">
        <v>180</v>
      </c>
      <c r="C20" s="23">
        <v>11283164</v>
      </c>
      <c r="D20" s="23">
        <v>14983134</v>
      </c>
      <c r="E20" s="23">
        <f t="shared" si="0"/>
        <v>3699970</v>
      </c>
      <c r="F20" s="24">
        <f t="shared" si="1"/>
        <v>0.3279195445532831</v>
      </c>
    </row>
    <row r="21" spans="1:6" ht="24" customHeight="1">
      <c r="A21" s="21">
        <v>9</v>
      </c>
      <c r="B21" s="22" t="s">
        <v>181</v>
      </c>
      <c r="C21" s="23">
        <v>18436552</v>
      </c>
      <c r="D21" s="23">
        <v>17976669</v>
      </c>
      <c r="E21" s="23">
        <f t="shared" si="0"/>
        <v>-459883</v>
      </c>
      <c r="F21" s="24">
        <f t="shared" si="1"/>
        <v>-0.024944089328633685</v>
      </c>
    </row>
    <row r="22" spans="1:6" ht="24" customHeight="1">
      <c r="A22" s="25"/>
      <c r="B22" s="26" t="s">
        <v>182</v>
      </c>
      <c r="C22" s="27">
        <f>SUM(C13:C21)</f>
        <v>162702986</v>
      </c>
      <c r="D22" s="27">
        <f>SUM(D13:D21)</f>
        <v>175407526</v>
      </c>
      <c r="E22" s="27">
        <f t="shared" si="0"/>
        <v>12704540</v>
      </c>
      <c r="F22" s="28">
        <f t="shared" si="1"/>
        <v>0.07808424609982266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93960992</v>
      </c>
      <c r="D25" s="23">
        <v>91129918</v>
      </c>
      <c r="E25" s="23">
        <f>D25-C25</f>
        <v>-2831074</v>
      </c>
      <c r="F25" s="24">
        <f>IF(C25=0,0,E25/C25)</f>
        <v>-0.030130311949026677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188</v>
      </c>
      <c r="C28" s="23">
        <v>307691482</v>
      </c>
      <c r="D28" s="23">
        <v>270851312</v>
      </c>
      <c r="E28" s="23">
        <f>D28-C28</f>
        <v>-36840170</v>
      </c>
      <c r="F28" s="24">
        <f>IF(C28=0,0,E28/C28)</f>
        <v>-0.11973087379779984</v>
      </c>
    </row>
    <row r="29" spans="1:6" ht="24" customHeight="1">
      <c r="A29" s="25"/>
      <c r="B29" s="26" t="s">
        <v>189</v>
      </c>
      <c r="C29" s="27">
        <f>SUM(C25:C28)</f>
        <v>401652474</v>
      </c>
      <c r="D29" s="27">
        <f>SUM(D25:D28)</f>
        <v>361981230</v>
      </c>
      <c r="E29" s="27">
        <f>D29-C29</f>
        <v>-39671244</v>
      </c>
      <c r="F29" s="28">
        <f>IF(C29=0,0,E29/C29)</f>
        <v>-0.0987700725578003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192</v>
      </c>
      <c r="C33" s="23">
        <v>66613642</v>
      </c>
      <c r="D33" s="23">
        <v>15708815</v>
      </c>
      <c r="E33" s="23">
        <f>D33-C33</f>
        <v>-50904827</v>
      </c>
      <c r="F33" s="24">
        <f>IF(C33=0,0,E33/C33)</f>
        <v>-0.7641802110144346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193</v>
      </c>
      <c r="B35" s="30" t="s">
        <v>194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195</v>
      </c>
      <c r="C36" s="23">
        <v>702316326</v>
      </c>
      <c r="D36" s="23">
        <v>750450223</v>
      </c>
      <c r="E36" s="23">
        <f>D36-C36</f>
        <v>48133897</v>
      </c>
      <c r="F36" s="24">
        <f>IF(C36=0,0,E36/C36)</f>
        <v>0.06853592208819022</v>
      </c>
    </row>
    <row r="37" spans="1:6" ht="24" customHeight="1">
      <c r="A37" s="21">
        <v>2</v>
      </c>
      <c r="B37" s="22" t="s">
        <v>196</v>
      </c>
      <c r="C37" s="23">
        <v>472739018</v>
      </c>
      <c r="D37" s="23">
        <v>512321937</v>
      </c>
      <c r="E37" s="23">
        <f>D37-C37</f>
        <v>39582919</v>
      </c>
      <c r="F37" s="24">
        <f>IF(C37=0,0,E37/C37)</f>
        <v>0.08373101752307655</v>
      </c>
    </row>
    <row r="38" spans="1:6" ht="24" customHeight="1">
      <c r="A38" s="25"/>
      <c r="B38" s="26" t="s">
        <v>197</v>
      </c>
      <c r="C38" s="27">
        <f>C36-C37</f>
        <v>229577308</v>
      </c>
      <c r="D38" s="27">
        <f>D36-D37</f>
        <v>238128286</v>
      </c>
      <c r="E38" s="27">
        <f>D38-C38</f>
        <v>8550978</v>
      </c>
      <c r="F38" s="28">
        <f>IF(C38=0,0,E38/C38)</f>
        <v>0.03724661672572622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198</v>
      </c>
      <c r="C40" s="23">
        <v>25617273</v>
      </c>
      <c r="D40" s="23">
        <v>28598070</v>
      </c>
      <c r="E40" s="23">
        <f>D40-C40</f>
        <v>2980797</v>
      </c>
      <c r="F40" s="24">
        <f>IF(C40=0,0,E40/C40)</f>
        <v>0.11635887239051557</v>
      </c>
    </row>
    <row r="41" spans="1:6" ht="24" customHeight="1">
      <c r="A41" s="25"/>
      <c r="B41" s="26" t="s">
        <v>199</v>
      </c>
      <c r="C41" s="27">
        <f>+C38+C40</f>
        <v>255194581</v>
      </c>
      <c r="D41" s="27">
        <f>+D38+D40</f>
        <v>266726356</v>
      </c>
      <c r="E41" s="27">
        <f>D41-C41</f>
        <v>11531775</v>
      </c>
      <c r="F41" s="28">
        <f>IF(C41=0,0,E41/C41)</f>
        <v>0.04518816565309433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200</v>
      </c>
      <c r="C43" s="27">
        <f>C22+C29+C31+C32+C33+C41</f>
        <v>886163683</v>
      </c>
      <c r="D43" s="27">
        <f>D22+D29+D31+D32+D33+D41</f>
        <v>819823927</v>
      </c>
      <c r="E43" s="27">
        <f>D43-C43</f>
        <v>-66339756</v>
      </c>
      <c r="F43" s="28">
        <f>IF(C43=0,0,E43/C43)</f>
        <v>-0.07486174086418751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204</v>
      </c>
      <c r="C49" s="23">
        <v>31559937</v>
      </c>
      <c r="D49" s="23">
        <v>44618325</v>
      </c>
      <c r="E49" s="23">
        <f aca="true" t="shared" si="2" ref="E49:E56">D49-C49</f>
        <v>13058388</v>
      </c>
      <c r="F49" s="24">
        <f aca="true" t="shared" si="3" ref="F49:F56">IF(C49=0,0,E49/C49)</f>
        <v>0.4137647042831549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35498221</v>
      </c>
      <c r="D50" s="23">
        <v>37105008</v>
      </c>
      <c r="E50" s="23">
        <f t="shared" si="2"/>
        <v>1606787</v>
      </c>
      <c r="F50" s="24">
        <f t="shared" si="3"/>
        <v>0.045263873927654005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208</v>
      </c>
      <c r="C53" s="23">
        <v>0</v>
      </c>
      <c r="D53" s="23">
        <v>27020912</v>
      </c>
      <c r="E53" s="23">
        <f t="shared" si="2"/>
        <v>27020912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49895406</v>
      </c>
      <c r="D55" s="23">
        <v>20856731</v>
      </c>
      <c r="E55" s="23">
        <f t="shared" si="2"/>
        <v>-29038675</v>
      </c>
      <c r="F55" s="24">
        <f t="shared" si="3"/>
        <v>-0.5819909552394463</v>
      </c>
    </row>
    <row r="56" spans="1:6" ht="24" customHeight="1">
      <c r="A56" s="25"/>
      <c r="B56" s="26" t="s">
        <v>211</v>
      </c>
      <c r="C56" s="27">
        <f>SUM(C49:C55)</f>
        <v>116953564</v>
      </c>
      <c r="D56" s="27">
        <f>SUM(D49:D55)</f>
        <v>129600976</v>
      </c>
      <c r="E56" s="27">
        <f t="shared" si="2"/>
        <v>12647412</v>
      </c>
      <c r="F56" s="28">
        <f t="shared" si="3"/>
        <v>0.1081404582078405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213</v>
      </c>
      <c r="C59" s="23">
        <v>45940000</v>
      </c>
      <c r="D59" s="23">
        <v>45940000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45940000</v>
      </c>
      <c r="D61" s="27">
        <f>SUM(D59:D60)</f>
        <v>45940000</v>
      </c>
      <c r="E61" s="27">
        <f>D61-C61</f>
        <v>0</v>
      </c>
      <c r="F61" s="28">
        <f>IF(C61=0,0,E61/C61)</f>
        <v>0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216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217</v>
      </c>
      <c r="C64" s="23">
        <v>75134637</v>
      </c>
      <c r="D64" s="23">
        <v>240294553</v>
      </c>
      <c r="E64" s="23">
        <f>D64-C64</f>
        <v>165159916</v>
      </c>
      <c r="F64" s="24">
        <f>IF(C64=0,0,E64/C64)</f>
        <v>2.1981861175425657</v>
      </c>
    </row>
    <row r="65" spans="1:6" ht="24" customHeight="1">
      <c r="A65" s="25"/>
      <c r="B65" s="26" t="s">
        <v>218</v>
      </c>
      <c r="C65" s="27">
        <f>SUM(C61:C64)</f>
        <v>121074637</v>
      </c>
      <c r="D65" s="27">
        <f>SUM(D61:D64)</f>
        <v>286234553</v>
      </c>
      <c r="E65" s="27">
        <f>D65-C65</f>
        <v>165159916</v>
      </c>
      <c r="F65" s="28">
        <f>IF(C65=0,0,E65/C65)</f>
        <v>1.36411654903413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193</v>
      </c>
      <c r="B69" s="41" t="s">
        <v>220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221</v>
      </c>
      <c r="C70" s="23">
        <v>393127114</v>
      </c>
      <c r="D70" s="23">
        <v>164603489</v>
      </c>
      <c r="E70" s="23">
        <f>D70-C70</f>
        <v>-228523625</v>
      </c>
      <c r="F70" s="24">
        <f>IF(C70=0,0,E70/C70)</f>
        <v>-0.5812970331016141</v>
      </c>
    </row>
    <row r="71" spans="1:6" ht="24" customHeight="1">
      <c r="A71" s="21">
        <v>2</v>
      </c>
      <c r="B71" s="22" t="s">
        <v>222</v>
      </c>
      <c r="C71" s="23">
        <v>98261075</v>
      </c>
      <c r="D71" s="23">
        <v>85669294</v>
      </c>
      <c r="E71" s="23">
        <f>D71-C71</f>
        <v>-12591781</v>
      </c>
      <c r="F71" s="24">
        <f>IF(C71=0,0,E71/C71)</f>
        <v>-0.12814617588907917</v>
      </c>
    </row>
    <row r="72" spans="1:6" ht="24" customHeight="1">
      <c r="A72" s="21">
        <v>3</v>
      </c>
      <c r="B72" s="22" t="s">
        <v>223</v>
      </c>
      <c r="C72" s="23">
        <v>156747293</v>
      </c>
      <c r="D72" s="23">
        <v>153715615</v>
      </c>
      <c r="E72" s="23">
        <f>D72-C72</f>
        <v>-3031678</v>
      </c>
      <c r="F72" s="24">
        <f>IF(C72=0,0,E72/C72)</f>
        <v>-0.019341182498124544</v>
      </c>
    </row>
    <row r="73" spans="1:6" ht="24" customHeight="1">
      <c r="A73" s="21"/>
      <c r="B73" s="26" t="s">
        <v>224</v>
      </c>
      <c r="C73" s="27">
        <f>SUM(C70:C72)</f>
        <v>648135482</v>
      </c>
      <c r="D73" s="27">
        <f>SUM(D70:D72)</f>
        <v>403988398</v>
      </c>
      <c r="E73" s="27">
        <f>D73-C73</f>
        <v>-244147084</v>
      </c>
      <c r="F73" s="28">
        <f>IF(C73=0,0,E73/C73)</f>
        <v>-0.37669143378266706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225</v>
      </c>
      <c r="C75" s="27">
        <f>C56+C65+C67+C73</f>
        <v>886163683</v>
      </c>
      <c r="D75" s="27">
        <f>D56+D65+D67+D73</f>
        <v>819823927</v>
      </c>
      <c r="E75" s="27">
        <f>D75-C75</f>
        <v>-66339756</v>
      </c>
      <c r="F75" s="28">
        <f>IF(C75=0,0,E75/C75)</f>
        <v>-0.07486174086418751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0" r:id="rId1"/>
  <headerFooter alignWithMargins="0">
    <oddHeader>&amp;LOFFICE OF HEALTH CARE ACCESS&amp;CTWELVE MONTHS ACTUAL FILING&amp;RHARTFORD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635</v>
      </c>
      <c r="B1" s="696"/>
      <c r="C1" s="696"/>
      <c r="D1" s="696"/>
      <c r="E1" s="697"/>
    </row>
    <row r="2" spans="1:5" ht="24" customHeight="1">
      <c r="A2" s="695" t="s">
        <v>158</v>
      </c>
      <c r="B2" s="696"/>
      <c r="C2" s="696"/>
      <c r="D2" s="696"/>
      <c r="E2" s="697"/>
    </row>
    <row r="3" spans="1:5" ht="24" customHeight="1">
      <c r="A3" s="695" t="s">
        <v>159</v>
      </c>
      <c r="B3" s="696"/>
      <c r="C3" s="696"/>
      <c r="D3" s="696"/>
      <c r="E3" s="697"/>
    </row>
    <row r="4" spans="1:5" ht="24" customHeight="1">
      <c r="A4" s="695" t="s">
        <v>638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167</v>
      </c>
      <c r="D7" s="59" t="s">
        <v>167</v>
      </c>
      <c r="E7" s="59" t="s">
        <v>167</v>
      </c>
      <c r="F7" s="59"/>
    </row>
    <row r="8" spans="1:6" ht="24" customHeight="1">
      <c r="A8" s="61" t="s">
        <v>165</v>
      </c>
      <c r="B8" s="62" t="s">
        <v>166</v>
      </c>
      <c r="C8" s="264" t="s">
        <v>463</v>
      </c>
      <c r="D8" s="264" t="s">
        <v>161</v>
      </c>
      <c r="E8" s="264" t="s">
        <v>162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171</v>
      </c>
      <c r="B10" s="187" t="s">
        <v>639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640</v>
      </c>
      <c r="C11" s="51">
        <v>916486000</v>
      </c>
      <c r="D11" s="51">
        <v>1026069000</v>
      </c>
      <c r="E11" s="51">
        <v>1118786000</v>
      </c>
      <c r="F11" s="28"/>
    </row>
    <row r="12" spans="1:6" ht="24" customHeight="1">
      <c r="A12" s="44">
        <v>2</v>
      </c>
      <c r="B12" s="48" t="s">
        <v>233</v>
      </c>
      <c r="C12" s="49">
        <v>157647000</v>
      </c>
      <c r="D12" s="49">
        <v>185202000</v>
      </c>
      <c r="E12" s="49">
        <v>173157000</v>
      </c>
      <c r="F12" s="28"/>
    </row>
    <row r="13" spans="1:6" s="56" customFormat="1" ht="24" customHeight="1">
      <c r="A13" s="44">
        <v>3</v>
      </c>
      <c r="B13" s="48" t="s">
        <v>235</v>
      </c>
      <c r="C13" s="51">
        <f>+C11+C12</f>
        <v>1074133000</v>
      </c>
      <c r="D13" s="51">
        <f>+D11+D12</f>
        <v>1211271000</v>
      </c>
      <c r="E13" s="51">
        <f>+E11+E12</f>
        <v>1291943000</v>
      </c>
      <c r="F13" s="70"/>
    </row>
    <row r="14" spans="1:6" s="56" customFormat="1" ht="24" customHeight="1">
      <c r="A14" s="44">
        <v>4</v>
      </c>
      <c r="B14" s="48" t="s">
        <v>246</v>
      </c>
      <c r="C14" s="49">
        <v>1070059000</v>
      </c>
      <c r="D14" s="49">
        <v>1212021000</v>
      </c>
      <c r="E14" s="49">
        <v>1281211000</v>
      </c>
      <c r="F14" s="70"/>
    </row>
    <row r="15" spans="1:6" s="56" customFormat="1" ht="24" customHeight="1">
      <c r="A15" s="44">
        <v>5</v>
      </c>
      <c r="B15" s="48" t="s">
        <v>247</v>
      </c>
      <c r="C15" s="51">
        <f>+C13-C14</f>
        <v>4074000</v>
      </c>
      <c r="D15" s="51">
        <f>+D13-D14</f>
        <v>-750000</v>
      </c>
      <c r="E15" s="51">
        <f>+E13-E14</f>
        <v>10732000</v>
      </c>
      <c r="F15" s="70"/>
    </row>
    <row r="16" spans="1:6" s="56" customFormat="1" ht="24" customHeight="1">
      <c r="A16" s="44">
        <v>6</v>
      </c>
      <c r="B16" s="48" t="s">
        <v>252</v>
      </c>
      <c r="C16" s="49">
        <v>34736000</v>
      </c>
      <c r="D16" s="49">
        <v>-48648000</v>
      </c>
      <c r="E16" s="49">
        <v>-17606000</v>
      </c>
      <c r="F16" s="70"/>
    </row>
    <row r="17" spans="1:6" s="56" customFormat="1" ht="24" customHeight="1">
      <c r="A17" s="44">
        <v>7</v>
      </c>
      <c r="B17" s="45" t="s">
        <v>466</v>
      </c>
      <c r="C17" s="51">
        <f>C15+C16</f>
        <v>38810000</v>
      </c>
      <c r="D17" s="51">
        <f>D15+D16</f>
        <v>-49398000</v>
      </c>
      <c r="E17" s="51">
        <f>E15+E16</f>
        <v>-6874000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183</v>
      </c>
      <c r="B19" s="30" t="s">
        <v>641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642</v>
      </c>
      <c r="C20" s="169">
        <f>IF(+C27=0,0,+C24/+C27)</f>
        <v>0.003674013792431748</v>
      </c>
      <c r="D20" s="169">
        <f>IF(+D27=0,0,+D24/+D27)</f>
        <v>-0.0006450930353175535</v>
      </c>
      <c r="E20" s="169">
        <f>IF(+E27=0,0,+E24/+E27)</f>
        <v>0.00842163415171968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643</v>
      </c>
      <c r="C21" s="169">
        <f>IF(+C27=0,0,+C26/+C27)</f>
        <v>0.03132561195235867</v>
      </c>
      <c r="D21" s="169">
        <f>IF(+D27=0,0,+D26/+D27)</f>
        <v>-0.04184331464283779</v>
      </c>
      <c r="E21" s="169">
        <f>IF(+E27=0,0,+E26/+E27)</f>
        <v>-0.013815811673050378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644</v>
      </c>
      <c r="C22" s="169">
        <f>IF(+C27=0,0,+C28/+C27)</f>
        <v>0.03499962574479041</v>
      </c>
      <c r="D22" s="169">
        <f>IF(+D27=0,0,+D28/+D27)</f>
        <v>-0.04248840767815534</v>
      </c>
      <c r="E22" s="169">
        <f>IF(+E27=0,0,+E28/+E27)</f>
        <v>-0.0053941775213307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247</v>
      </c>
      <c r="C24" s="51">
        <f>+C15</f>
        <v>4074000</v>
      </c>
      <c r="D24" s="51">
        <f>+D15</f>
        <v>-750000</v>
      </c>
      <c r="E24" s="51">
        <f>+E15</f>
        <v>10732000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235</v>
      </c>
      <c r="C25" s="51">
        <f>+C13</f>
        <v>1074133000</v>
      </c>
      <c r="D25" s="51">
        <f>+D13</f>
        <v>1211271000</v>
      </c>
      <c r="E25" s="51">
        <f>+E13</f>
        <v>1291943000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252</v>
      </c>
      <c r="C26" s="51">
        <f>+C16</f>
        <v>34736000</v>
      </c>
      <c r="D26" s="51">
        <f>+D16</f>
        <v>-48648000</v>
      </c>
      <c r="E26" s="51">
        <f>+E16</f>
        <v>-17606000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471</v>
      </c>
      <c r="C27" s="51">
        <f>SUM(C25:C26)</f>
        <v>1108869000</v>
      </c>
      <c r="D27" s="51">
        <f>SUM(D25:D26)</f>
        <v>1162623000</v>
      </c>
      <c r="E27" s="51">
        <f>SUM(E25:E26)</f>
        <v>1274337000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466</v>
      </c>
      <c r="C28" s="51">
        <f>+C17</f>
        <v>38810000</v>
      </c>
      <c r="D28" s="51">
        <f>+D17</f>
        <v>-49398000</v>
      </c>
      <c r="E28" s="51">
        <f>+E17</f>
        <v>-6874000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193</v>
      </c>
      <c r="B30" s="41" t="s">
        <v>645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646</v>
      </c>
      <c r="C31" s="51">
        <v>811623000</v>
      </c>
      <c r="D31" s="51">
        <v>640110000</v>
      </c>
      <c r="E31" s="52">
        <v>350486000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647</v>
      </c>
      <c r="C32" s="51">
        <v>1222946000</v>
      </c>
      <c r="D32" s="51">
        <v>972328000</v>
      </c>
      <c r="E32" s="51">
        <v>661045000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648</v>
      </c>
      <c r="C33" s="51">
        <v>1222946000</v>
      </c>
      <c r="D33" s="51">
        <f>+D32-C32</f>
        <v>-250618000</v>
      </c>
      <c r="E33" s="51">
        <f>+E32-D32</f>
        <v>-311283000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649</v>
      </c>
      <c r="C34" s="171">
        <v>0</v>
      </c>
      <c r="D34" s="171">
        <f>IF(C32=0,0,+D33/C32)</f>
        <v>-0.2049297352458735</v>
      </c>
      <c r="E34" s="171">
        <f>IF(D32=0,0,+E33/D32)</f>
        <v>-0.3201419685538213</v>
      </c>
      <c r="F34" s="28"/>
    </row>
    <row r="35" spans="5:6" ht="24" customHeight="1">
      <c r="E35" s="55"/>
      <c r="F35" s="28"/>
    </row>
    <row r="36" spans="1:6" ht="15.75" customHeight="1">
      <c r="A36" s="20" t="s">
        <v>477</v>
      </c>
      <c r="B36" s="16" t="s">
        <v>499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500</v>
      </c>
      <c r="C38" s="269">
        <f>IF(+C40=0,0,+C39/+C40)</f>
        <v>2.3384775040171397</v>
      </c>
      <c r="D38" s="269">
        <f>IF(+D40=0,0,+D39/+D40)</f>
        <v>1.7755956630000393</v>
      </c>
      <c r="E38" s="269">
        <f>IF(+E40=0,0,+E39/+E40)</f>
        <v>1.6748906449882393</v>
      </c>
      <c r="F38" s="28"/>
    </row>
    <row r="39" spans="1:6" ht="24" customHeight="1">
      <c r="A39" s="17">
        <v>2</v>
      </c>
      <c r="B39" s="45" t="s">
        <v>182</v>
      </c>
      <c r="C39" s="270">
        <v>279420000</v>
      </c>
      <c r="D39" s="270">
        <v>315898000</v>
      </c>
      <c r="E39" s="270">
        <v>324701000</v>
      </c>
      <c r="F39" s="28"/>
    </row>
    <row r="40" spans="1:5" ht="24" customHeight="1">
      <c r="A40" s="17">
        <v>3</v>
      </c>
      <c r="B40" s="45" t="s">
        <v>211</v>
      </c>
      <c r="C40" s="270">
        <v>119488000</v>
      </c>
      <c r="D40" s="270">
        <v>177911000</v>
      </c>
      <c r="E40" s="270">
        <v>193864000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501</v>
      </c>
      <c r="C42" s="271">
        <f>IF((C48/365)=0,0,+C45/(C48/365))</f>
        <v>22.25819955177686</v>
      </c>
      <c r="D42" s="271">
        <f>IF((D48/365)=0,0,+D45/(D48/365))</f>
        <v>25.42617818406544</v>
      </c>
      <c r="E42" s="271">
        <f>IF((E48/365)=0,0,+E45/(E48/365))</f>
        <v>24.690649598154188</v>
      </c>
    </row>
    <row r="43" spans="1:5" ht="24" customHeight="1">
      <c r="A43" s="17">
        <v>5</v>
      </c>
      <c r="B43" s="188" t="s">
        <v>173</v>
      </c>
      <c r="C43" s="272">
        <v>61985000</v>
      </c>
      <c r="D43" s="272">
        <v>80257000</v>
      </c>
      <c r="E43" s="272">
        <v>82561000</v>
      </c>
    </row>
    <row r="44" spans="1:5" ht="24" customHeight="1">
      <c r="A44" s="17">
        <v>6</v>
      </c>
      <c r="B44" s="273" t="s">
        <v>174</v>
      </c>
      <c r="C44" s="274">
        <v>0</v>
      </c>
      <c r="D44" s="274">
        <v>0</v>
      </c>
      <c r="E44" s="274">
        <v>0</v>
      </c>
    </row>
    <row r="45" spans="1:5" ht="24" customHeight="1">
      <c r="A45" s="17">
        <v>7</v>
      </c>
      <c r="B45" s="45" t="s">
        <v>502</v>
      </c>
      <c r="C45" s="270">
        <f>+C43+C44</f>
        <v>61985000</v>
      </c>
      <c r="D45" s="270">
        <f>+D43+D44</f>
        <v>80257000</v>
      </c>
      <c r="E45" s="270">
        <f>+E43+E44</f>
        <v>82561000</v>
      </c>
    </row>
    <row r="46" spans="1:5" ht="24" customHeight="1">
      <c r="A46" s="17">
        <v>8</v>
      </c>
      <c r="B46" s="45" t="s">
        <v>480</v>
      </c>
      <c r="C46" s="270">
        <f>+C14</f>
        <v>1070059000</v>
      </c>
      <c r="D46" s="270">
        <f>+D14</f>
        <v>1212021000</v>
      </c>
      <c r="E46" s="270">
        <f>+E14</f>
        <v>1281211000</v>
      </c>
    </row>
    <row r="47" spans="1:5" ht="24" customHeight="1">
      <c r="A47" s="17">
        <v>9</v>
      </c>
      <c r="B47" s="45" t="s">
        <v>503</v>
      </c>
      <c r="C47" s="270">
        <v>53601000</v>
      </c>
      <c r="D47" s="270">
        <v>59909000</v>
      </c>
      <c r="E47" s="270">
        <v>60718000</v>
      </c>
    </row>
    <row r="48" spans="1:5" ht="24" customHeight="1">
      <c r="A48" s="17">
        <v>10</v>
      </c>
      <c r="B48" s="45" t="s">
        <v>504</v>
      </c>
      <c r="C48" s="270">
        <f>+C46-C47</f>
        <v>1016458000</v>
      </c>
      <c r="D48" s="270">
        <f>+D46-D47</f>
        <v>1152112000</v>
      </c>
      <c r="E48" s="270">
        <f>+E46-E47</f>
        <v>1220493000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505</v>
      </c>
      <c r="C50" s="278">
        <f>IF((C55/365)=0,0,+C54/(C55/365))</f>
        <v>65.67352365448026</v>
      </c>
      <c r="D50" s="278">
        <f>IF((D55/365)=0,0,+D54/(D55/365))</f>
        <v>62.26673352376887</v>
      </c>
      <c r="E50" s="278">
        <f>IF((E55/365)=0,0,+E54/(E55/365))</f>
        <v>58.48816485011432</v>
      </c>
    </row>
    <row r="51" spans="1:5" ht="24" customHeight="1">
      <c r="A51" s="17">
        <v>12</v>
      </c>
      <c r="B51" s="188" t="s">
        <v>506</v>
      </c>
      <c r="C51" s="279">
        <v>156780000</v>
      </c>
      <c r="D51" s="279">
        <v>163557000</v>
      </c>
      <c r="E51" s="279">
        <v>173216000</v>
      </c>
    </row>
    <row r="52" spans="1:5" ht="24" customHeight="1">
      <c r="A52" s="17">
        <v>13</v>
      </c>
      <c r="B52" s="188" t="s">
        <v>178</v>
      </c>
      <c r="C52" s="270">
        <v>8121000</v>
      </c>
      <c r="D52" s="270">
        <v>11484000</v>
      </c>
      <c r="E52" s="270">
        <v>6060000</v>
      </c>
    </row>
    <row r="53" spans="1:5" ht="24" customHeight="1">
      <c r="A53" s="17">
        <v>14</v>
      </c>
      <c r="B53" s="188" t="s">
        <v>206</v>
      </c>
      <c r="C53" s="270">
        <v>0</v>
      </c>
      <c r="D53" s="270">
        <v>0</v>
      </c>
      <c r="E53" s="270">
        <v>0</v>
      </c>
    </row>
    <row r="54" spans="1:5" ht="32.25" customHeight="1">
      <c r="A54" s="17">
        <v>15</v>
      </c>
      <c r="B54" s="45" t="s">
        <v>507</v>
      </c>
      <c r="C54" s="280">
        <f>+C51+C52-C53</f>
        <v>164901000</v>
      </c>
      <c r="D54" s="280">
        <f>+D51+D52-D53</f>
        <v>175041000</v>
      </c>
      <c r="E54" s="280">
        <f>+E51+E52-E53</f>
        <v>179276000</v>
      </c>
    </row>
    <row r="55" spans="1:5" ht="24" customHeight="1">
      <c r="A55" s="17">
        <v>16</v>
      </c>
      <c r="B55" s="45" t="s">
        <v>232</v>
      </c>
      <c r="C55" s="270">
        <f>+C11</f>
        <v>916486000</v>
      </c>
      <c r="D55" s="270">
        <f>+D11</f>
        <v>1026069000</v>
      </c>
      <c r="E55" s="270">
        <f>+E11</f>
        <v>1118786000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508</v>
      </c>
      <c r="C57" s="283">
        <f>IF((C61/365)=0,0,+C58/(C61/365))</f>
        <v>42.90695729680912</v>
      </c>
      <c r="D57" s="283">
        <f>IF((D61/365)=0,0,+D58/(D61/365))</f>
        <v>56.363890837001954</v>
      </c>
      <c r="E57" s="283">
        <f>IF((E61/365)=0,0,+E58/(E61/365))</f>
        <v>57.97686672516762</v>
      </c>
    </row>
    <row r="58" spans="1:5" ht="24" customHeight="1">
      <c r="A58" s="17">
        <v>18</v>
      </c>
      <c r="B58" s="45" t="s">
        <v>211</v>
      </c>
      <c r="C58" s="281">
        <f>+C40</f>
        <v>119488000</v>
      </c>
      <c r="D58" s="281">
        <f>+D40</f>
        <v>177911000</v>
      </c>
      <c r="E58" s="281">
        <f>+E40</f>
        <v>193864000</v>
      </c>
    </row>
    <row r="59" spans="1:5" ht="24" customHeight="1">
      <c r="A59" s="17">
        <v>19</v>
      </c>
      <c r="B59" s="45" t="s">
        <v>480</v>
      </c>
      <c r="C59" s="281">
        <f aca="true" t="shared" si="0" ref="C59:E60">+C46</f>
        <v>1070059000</v>
      </c>
      <c r="D59" s="281">
        <f t="shared" si="0"/>
        <v>1212021000</v>
      </c>
      <c r="E59" s="281">
        <f t="shared" si="0"/>
        <v>1281211000</v>
      </c>
    </row>
    <row r="60" spans="1:5" ht="24" customHeight="1">
      <c r="A60" s="17">
        <v>20</v>
      </c>
      <c r="B60" s="45" t="s">
        <v>503</v>
      </c>
      <c r="C60" s="176">
        <f t="shared" si="0"/>
        <v>53601000</v>
      </c>
      <c r="D60" s="176">
        <f t="shared" si="0"/>
        <v>59909000</v>
      </c>
      <c r="E60" s="176">
        <f t="shared" si="0"/>
        <v>60718000</v>
      </c>
    </row>
    <row r="61" spans="1:5" ht="24" customHeight="1">
      <c r="A61" s="17">
        <v>21</v>
      </c>
      <c r="B61" s="45" t="s">
        <v>509</v>
      </c>
      <c r="C61" s="281">
        <f>+C59-C60</f>
        <v>1016458000</v>
      </c>
      <c r="D61" s="281">
        <f>+D59-D60</f>
        <v>1152112000</v>
      </c>
      <c r="E61" s="281">
        <f>+E59-E60</f>
        <v>1220493000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498</v>
      </c>
      <c r="B63" s="16" t="s">
        <v>511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512</v>
      </c>
      <c r="C65" s="284">
        <f>IF(C67=0,0,(C66/C67)*100)</f>
        <v>77.3731937812741</v>
      </c>
      <c r="D65" s="284">
        <f>IF(D67=0,0,(D66/D67)*100)</f>
        <v>66.74263058472081</v>
      </c>
      <c r="E65" s="284">
        <f>IF(E67=0,0,(E66/E67)*100)</f>
        <v>47.766680347769785</v>
      </c>
    </row>
    <row r="66" spans="1:5" ht="24" customHeight="1">
      <c r="A66" s="17">
        <v>2</v>
      </c>
      <c r="B66" s="45" t="s">
        <v>224</v>
      </c>
      <c r="C66" s="281">
        <f>+C32</f>
        <v>1222946000</v>
      </c>
      <c r="D66" s="281">
        <f>+D32</f>
        <v>972328000</v>
      </c>
      <c r="E66" s="281">
        <f>+E32</f>
        <v>661045000</v>
      </c>
    </row>
    <row r="67" spans="1:5" ht="24" customHeight="1">
      <c r="A67" s="17">
        <v>3</v>
      </c>
      <c r="B67" s="45" t="s">
        <v>200</v>
      </c>
      <c r="C67" s="281">
        <v>1580581000</v>
      </c>
      <c r="D67" s="281">
        <v>1456832000</v>
      </c>
      <c r="E67" s="281">
        <v>1383904000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513</v>
      </c>
      <c r="C69" s="284">
        <f>IF(C75=0,0,(C72/C75)*100)</f>
        <v>38.136880246292</v>
      </c>
      <c r="D69" s="284">
        <f>IF(D75=0,0,(D72/D75)*100)</f>
        <v>3.0260805476943804</v>
      </c>
      <c r="E69" s="284">
        <f>IF(E75=0,0,(E72/E75)*100)</f>
        <v>14.977677019151866</v>
      </c>
    </row>
    <row r="70" spans="1:5" ht="24" customHeight="1">
      <c r="A70" s="17">
        <v>5</v>
      </c>
      <c r="B70" s="45" t="s">
        <v>514</v>
      </c>
      <c r="C70" s="281">
        <f>+C28</f>
        <v>38810000</v>
      </c>
      <c r="D70" s="281">
        <f>+D28</f>
        <v>-49398000</v>
      </c>
      <c r="E70" s="281">
        <f>+E28</f>
        <v>-6874000</v>
      </c>
    </row>
    <row r="71" spans="1:5" ht="24" customHeight="1">
      <c r="A71" s="17">
        <v>6</v>
      </c>
      <c r="B71" s="45" t="s">
        <v>503</v>
      </c>
      <c r="C71" s="176">
        <f>+C47</f>
        <v>53601000</v>
      </c>
      <c r="D71" s="176">
        <f>+D47</f>
        <v>59909000</v>
      </c>
      <c r="E71" s="176">
        <f>+E47</f>
        <v>60718000</v>
      </c>
    </row>
    <row r="72" spans="1:5" ht="24" customHeight="1">
      <c r="A72" s="17">
        <v>7</v>
      </c>
      <c r="B72" s="45" t="s">
        <v>515</v>
      </c>
      <c r="C72" s="281">
        <f>+C70+C71</f>
        <v>92411000</v>
      </c>
      <c r="D72" s="281">
        <f>+D70+D71</f>
        <v>10511000</v>
      </c>
      <c r="E72" s="281">
        <f>+E70+E71</f>
        <v>53844000</v>
      </c>
    </row>
    <row r="73" spans="1:5" ht="24" customHeight="1">
      <c r="A73" s="17">
        <v>8</v>
      </c>
      <c r="B73" s="45" t="s">
        <v>211</v>
      </c>
      <c r="C73" s="270">
        <f>+C40</f>
        <v>119488000</v>
      </c>
      <c r="D73" s="270">
        <f>+D40</f>
        <v>177911000</v>
      </c>
      <c r="E73" s="270">
        <f>+E40</f>
        <v>193864000</v>
      </c>
    </row>
    <row r="74" spans="1:5" ht="24" customHeight="1">
      <c r="A74" s="17">
        <v>9</v>
      </c>
      <c r="B74" s="45" t="s">
        <v>215</v>
      </c>
      <c r="C74" s="281">
        <v>122826000</v>
      </c>
      <c r="D74" s="281">
        <v>169436000</v>
      </c>
      <c r="E74" s="281">
        <v>165631000</v>
      </c>
    </row>
    <row r="75" spans="1:5" ht="24" customHeight="1">
      <c r="A75" s="17">
        <v>10</v>
      </c>
      <c r="B75" s="285" t="s">
        <v>516</v>
      </c>
      <c r="C75" s="270">
        <f>+C73+C74</f>
        <v>242314000</v>
      </c>
      <c r="D75" s="270">
        <f>+D73+D74</f>
        <v>347347000</v>
      </c>
      <c r="E75" s="270">
        <f>+E73+E74</f>
        <v>359495000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517</v>
      </c>
      <c r="C77" s="286">
        <f>IF(C80=0,0,(C78/C80)*100)</f>
        <v>9.126806026578054</v>
      </c>
      <c r="D77" s="286">
        <f>IF(D80=0,0,(D78/D80)*100)</f>
        <v>14.839844311083553</v>
      </c>
      <c r="E77" s="286">
        <f>IF(E80=0,0,(E78/E80)*100)</f>
        <v>20.03578185407584</v>
      </c>
    </row>
    <row r="78" spans="1:5" ht="24" customHeight="1">
      <c r="A78" s="17">
        <v>12</v>
      </c>
      <c r="B78" s="45" t="s">
        <v>215</v>
      </c>
      <c r="C78" s="270">
        <f>+C74</f>
        <v>122826000</v>
      </c>
      <c r="D78" s="270">
        <f>+D74</f>
        <v>169436000</v>
      </c>
      <c r="E78" s="270">
        <f>+E74</f>
        <v>165631000</v>
      </c>
    </row>
    <row r="79" spans="1:5" ht="24" customHeight="1">
      <c r="A79" s="17">
        <v>13</v>
      </c>
      <c r="B79" s="45" t="s">
        <v>224</v>
      </c>
      <c r="C79" s="270">
        <f>+C32</f>
        <v>1222946000</v>
      </c>
      <c r="D79" s="270">
        <f>+D32</f>
        <v>972328000</v>
      </c>
      <c r="E79" s="270">
        <f>+E32</f>
        <v>661045000</v>
      </c>
    </row>
    <row r="80" spans="1:5" ht="24" customHeight="1">
      <c r="A80" s="17">
        <v>14</v>
      </c>
      <c r="B80" s="45" t="s">
        <v>518</v>
      </c>
      <c r="C80" s="270">
        <f>+C78+C79</f>
        <v>1345772000</v>
      </c>
      <c r="D80" s="270">
        <f>+D78+D79</f>
        <v>1141764000</v>
      </c>
      <c r="E80" s="270">
        <f>+E78+E79</f>
        <v>826676000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157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158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159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650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651</v>
      </c>
      <c r="G7" s="126" t="s">
        <v>651</v>
      </c>
      <c r="H7" s="125"/>
      <c r="I7" s="289"/>
    </row>
    <row r="8" spans="1:9" ht="15.75" customHeight="1">
      <c r="A8" s="287"/>
      <c r="B8" s="126"/>
      <c r="C8" s="126" t="s">
        <v>652</v>
      </c>
      <c r="D8" s="126" t="s">
        <v>653</v>
      </c>
      <c r="E8" s="126" t="s">
        <v>654</v>
      </c>
      <c r="F8" s="126" t="s">
        <v>655</v>
      </c>
      <c r="G8" s="126" t="s">
        <v>656</v>
      </c>
      <c r="H8" s="125"/>
      <c r="I8" s="289"/>
    </row>
    <row r="9" spans="1:9" ht="15.75" customHeight="1">
      <c r="A9" s="290" t="s">
        <v>165</v>
      </c>
      <c r="B9" s="291" t="s">
        <v>166</v>
      </c>
      <c r="C9" s="292" t="s">
        <v>657</v>
      </c>
      <c r="D9" s="292" t="s">
        <v>658</v>
      </c>
      <c r="E9" s="292" t="s">
        <v>659</v>
      </c>
      <c r="F9" s="292" t="s">
        <v>658</v>
      </c>
      <c r="G9" s="292" t="s">
        <v>659</v>
      </c>
      <c r="H9" s="125"/>
      <c r="I9" s="56"/>
    </row>
    <row r="10" spans="1:9" ht="15.75" customHeight="1">
      <c r="A10" s="293" t="s">
        <v>660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661</v>
      </c>
      <c r="C11" s="296">
        <v>137102</v>
      </c>
      <c r="D11" s="297">
        <v>376</v>
      </c>
      <c r="E11" s="297">
        <v>472</v>
      </c>
      <c r="F11" s="298">
        <f>IF(D11=0,0,$C11/(D11*365))</f>
        <v>0.998994462255902</v>
      </c>
      <c r="G11" s="298">
        <f>IF(E11=0,0,$C11/(E11*365))</f>
        <v>0.7958091478987694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662</v>
      </c>
      <c r="C13" s="296">
        <v>22275</v>
      </c>
      <c r="D13" s="297">
        <v>62</v>
      </c>
      <c r="E13" s="297">
        <v>66</v>
      </c>
      <c r="F13" s="298">
        <f>IF(D13=0,0,$C13/(D13*365))</f>
        <v>0.984312859036677</v>
      </c>
      <c r="G13" s="298">
        <f>IF(E13=0,0,$C13/(E13*365))</f>
        <v>0.9246575342465754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663</v>
      </c>
      <c r="C15" s="296">
        <v>8655</v>
      </c>
      <c r="D15" s="297">
        <v>24</v>
      </c>
      <c r="E15" s="297">
        <v>29</v>
      </c>
      <c r="F15" s="298">
        <f aca="true" t="shared" si="0" ref="F15:G17">IF(D15=0,0,$C15/(D15*365))</f>
        <v>0.988013698630137</v>
      </c>
      <c r="G15" s="298">
        <f t="shared" si="0"/>
        <v>0.8176665092111478</v>
      </c>
      <c r="H15" s="125"/>
      <c r="I15" s="299"/>
    </row>
    <row r="16" spans="1:9" ht="15" customHeight="1">
      <c r="A16" s="294">
        <v>4</v>
      </c>
      <c r="B16" s="295" t="s">
        <v>664</v>
      </c>
      <c r="C16" s="296">
        <v>26399</v>
      </c>
      <c r="D16" s="297">
        <v>73</v>
      </c>
      <c r="E16" s="297">
        <v>94</v>
      </c>
      <c r="F16" s="298">
        <f t="shared" si="0"/>
        <v>0.9907674985926065</v>
      </c>
      <c r="G16" s="298">
        <f t="shared" si="0"/>
        <v>0.7694258233751093</v>
      </c>
      <c r="H16" s="125"/>
      <c r="I16" s="299"/>
    </row>
    <row r="17" spans="1:9" ht="15.75" customHeight="1">
      <c r="A17" s="293"/>
      <c r="B17" s="135" t="s">
        <v>665</v>
      </c>
      <c r="C17" s="300">
        <f>SUM(C15:C16)</f>
        <v>35054</v>
      </c>
      <c r="D17" s="300">
        <f>SUM(D15:D16)</f>
        <v>97</v>
      </c>
      <c r="E17" s="300">
        <f>SUM(E15:E16)</f>
        <v>123</v>
      </c>
      <c r="F17" s="301">
        <f t="shared" si="0"/>
        <v>0.9900861460245728</v>
      </c>
      <c r="G17" s="301">
        <f t="shared" si="0"/>
        <v>0.7807996436128745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666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667</v>
      </c>
      <c r="C21" s="296">
        <v>11683</v>
      </c>
      <c r="D21" s="297">
        <v>33</v>
      </c>
      <c r="E21" s="297">
        <v>43</v>
      </c>
      <c r="F21" s="298">
        <f>IF(D21=0,0,$C21/(D21*365))</f>
        <v>0.9699460356994604</v>
      </c>
      <c r="G21" s="298">
        <f>IF(E21=0,0,$C21/(E21*365))</f>
        <v>0.7443771901879579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668</v>
      </c>
      <c r="C23" s="296">
        <v>9844</v>
      </c>
      <c r="D23" s="297">
        <v>27</v>
      </c>
      <c r="E23" s="297">
        <v>48</v>
      </c>
      <c r="F23" s="298">
        <f>IF(D23=0,0,$C23/(D23*365))</f>
        <v>0.9988838153221715</v>
      </c>
      <c r="G23" s="298">
        <f>IF(E23=0,0,$C23/(E23*365))</f>
        <v>0.5618721461187215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451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669</v>
      </c>
      <c r="C27" s="296">
        <v>0</v>
      </c>
      <c r="D27" s="297">
        <v>0</v>
      </c>
      <c r="E27" s="297">
        <v>0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670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671</v>
      </c>
      <c r="C31" s="300">
        <f>SUM(C10:C29)-C17-C23</f>
        <v>206114</v>
      </c>
      <c r="D31" s="300">
        <f>SUM(D10:D29)-D17-D23</f>
        <v>568</v>
      </c>
      <c r="E31" s="300">
        <f>SUM(E10:E29)-E17-E23</f>
        <v>704</v>
      </c>
      <c r="F31" s="301">
        <f>IF(D31=0,0,$C31/(D31*365))</f>
        <v>0.9941829056530966</v>
      </c>
      <c r="G31" s="301">
        <f>IF(E31=0,0,$C31/(E31*365))</f>
        <v>0.8021248443337484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672</v>
      </c>
      <c r="C33" s="300">
        <f>SUM(C10:C29)-C17</f>
        <v>215958</v>
      </c>
      <c r="D33" s="300">
        <f>SUM(D10:D29)-D17</f>
        <v>595</v>
      </c>
      <c r="E33" s="300">
        <f>SUM(E10:E29)-E17</f>
        <v>752</v>
      </c>
      <c r="F33" s="301">
        <f>IF(D33=0,0,$C33/(D33*365))</f>
        <v>0.9943962242431219</v>
      </c>
      <c r="G33" s="301">
        <f>IF(E33=0,0,$C33/(E33*365))</f>
        <v>0.7867895657242786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673</v>
      </c>
      <c r="C36" s="300">
        <f>+C33</f>
        <v>215958</v>
      </c>
      <c r="D36" s="300">
        <f>+D33</f>
        <v>595</v>
      </c>
      <c r="E36" s="300">
        <f>+E33</f>
        <v>752</v>
      </c>
      <c r="F36" s="301">
        <f>+F33</f>
        <v>0.9943962242431219</v>
      </c>
      <c r="G36" s="301">
        <f>+G33</f>
        <v>0.7867895657242786</v>
      </c>
      <c r="H36" s="125"/>
      <c r="I36" s="299"/>
    </row>
    <row r="37" spans="1:9" ht="15.75" customHeight="1">
      <c r="A37" s="293"/>
      <c r="B37" s="135" t="s">
        <v>674</v>
      </c>
      <c r="C37" s="300">
        <v>212013</v>
      </c>
      <c r="D37" s="302">
        <v>583</v>
      </c>
      <c r="E37" s="302">
        <v>749</v>
      </c>
      <c r="F37" s="301">
        <f>IF(D37=0,0,$C37/(D37*365))</f>
        <v>0.9963251016236284</v>
      </c>
      <c r="G37" s="301">
        <f>IF(E37=0,0,$C37/(E37*365))</f>
        <v>0.7755107266309417</v>
      </c>
      <c r="H37" s="125"/>
      <c r="I37" s="299"/>
    </row>
    <row r="38" spans="1:9" ht="15.75" customHeight="1">
      <c r="A38" s="293"/>
      <c r="B38" s="135" t="s">
        <v>675</v>
      </c>
      <c r="C38" s="300">
        <f>+C36-C37</f>
        <v>3945</v>
      </c>
      <c r="D38" s="300">
        <f>+D36-D37</f>
        <v>12</v>
      </c>
      <c r="E38" s="300">
        <f>+E36-E37</f>
        <v>3</v>
      </c>
      <c r="F38" s="301">
        <f>+F36-F37</f>
        <v>-0.0019288773805065107</v>
      </c>
      <c r="G38" s="301">
        <f>+G36-G37</f>
        <v>0.011278839093336934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676</v>
      </c>
      <c r="C40" s="148">
        <f>IF(C37=0,0,C38/C37)</f>
        <v>0.018607349549320088</v>
      </c>
      <c r="D40" s="148">
        <f>IF(D37=0,0,D38/D37)</f>
        <v>0.02058319039451115</v>
      </c>
      <c r="E40" s="148">
        <f>IF(E37=0,0,E38/E37)</f>
        <v>0.004005340453938585</v>
      </c>
      <c r="F40" s="148">
        <f>IF(F37=0,0,F38/F37)</f>
        <v>-0.0019359919541956528</v>
      </c>
      <c r="G40" s="148">
        <f>IF(G37=0,0,G38/G37)</f>
        <v>0.014543756399522283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677</v>
      </c>
      <c r="C42" s="295">
        <v>867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678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660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FILING&amp;RHARTFORD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157</v>
      </c>
      <c r="B1" s="698"/>
      <c r="C1" s="698"/>
      <c r="D1" s="698"/>
      <c r="E1" s="698"/>
      <c r="F1" s="698"/>
    </row>
    <row r="2" spans="1:6" ht="15.75" customHeight="1">
      <c r="A2" s="698" t="s">
        <v>158</v>
      </c>
      <c r="B2" s="698"/>
      <c r="C2" s="698"/>
      <c r="D2" s="698"/>
      <c r="E2" s="698"/>
      <c r="F2" s="698"/>
    </row>
    <row r="3" spans="1:6" ht="15.75" customHeight="1">
      <c r="A3" s="698" t="s">
        <v>159</v>
      </c>
      <c r="B3" s="698"/>
      <c r="C3" s="698"/>
      <c r="D3" s="698"/>
      <c r="E3" s="698"/>
      <c r="F3" s="698"/>
    </row>
    <row r="4" spans="1:6" ht="15.75" customHeight="1">
      <c r="A4" s="698" t="s">
        <v>679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167</v>
      </c>
      <c r="D8" s="312" t="s">
        <v>167</v>
      </c>
      <c r="E8" s="126" t="s">
        <v>163</v>
      </c>
      <c r="F8" s="126" t="s">
        <v>164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165</v>
      </c>
      <c r="B9" s="291" t="s">
        <v>166</v>
      </c>
      <c r="C9" s="292" t="s">
        <v>161</v>
      </c>
      <c r="D9" s="292" t="s">
        <v>162</v>
      </c>
      <c r="E9" s="315" t="s">
        <v>168</v>
      </c>
      <c r="F9" s="315" t="s">
        <v>168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171</v>
      </c>
      <c r="B11" s="291" t="s">
        <v>680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681</v>
      </c>
      <c r="C12" s="296">
        <v>26355</v>
      </c>
      <c r="D12" s="296">
        <v>27915</v>
      </c>
      <c r="E12" s="296">
        <f>+D12-C12</f>
        <v>1560</v>
      </c>
      <c r="F12" s="316">
        <f>IF(C12=0,0,+E12/C12)</f>
        <v>0.05919180421172453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682</v>
      </c>
      <c r="C13" s="296">
        <v>3017</v>
      </c>
      <c r="D13" s="296">
        <v>3617</v>
      </c>
      <c r="E13" s="296">
        <f>+D13-C13</f>
        <v>600</v>
      </c>
      <c r="F13" s="316">
        <f>IF(C13=0,0,+E13/C13)</f>
        <v>0.19887305270135897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683</v>
      </c>
      <c r="C14" s="296">
        <v>15793</v>
      </c>
      <c r="D14" s="296">
        <v>17787</v>
      </c>
      <c r="E14" s="296">
        <f>+D14-C14</f>
        <v>1994</v>
      </c>
      <c r="F14" s="316">
        <f>IF(C14=0,0,+E14/C14)</f>
        <v>0.1262584689419363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684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685</v>
      </c>
      <c r="C16" s="300">
        <f>SUM(C12:C15)</f>
        <v>45165</v>
      </c>
      <c r="D16" s="300">
        <f>SUM(D12:D15)</f>
        <v>49319</v>
      </c>
      <c r="E16" s="300">
        <f>+D16-C16</f>
        <v>4154</v>
      </c>
      <c r="F16" s="309">
        <f>IF(C16=0,0,+E16/C16)</f>
        <v>0.09197387357467066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183</v>
      </c>
      <c r="B18" s="291" t="s">
        <v>686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681</v>
      </c>
      <c r="C19" s="296">
        <v>3107</v>
      </c>
      <c r="D19" s="296">
        <v>3601</v>
      </c>
      <c r="E19" s="296">
        <f>+D19-C19</f>
        <v>494</v>
      </c>
      <c r="F19" s="316">
        <f>IF(C19=0,0,+E19/C19)</f>
        <v>0.1589958158995816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682</v>
      </c>
      <c r="C20" s="296">
        <v>3692</v>
      </c>
      <c r="D20" s="296">
        <v>4695</v>
      </c>
      <c r="E20" s="296">
        <f>+D20-C20</f>
        <v>1003</v>
      </c>
      <c r="F20" s="316">
        <f>IF(C20=0,0,+E20/C20)</f>
        <v>0.2716684723726977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683</v>
      </c>
      <c r="C21" s="296">
        <v>421</v>
      </c>
      <c r="D21" s="296">
        <v>460</v>
      </c>
      <c r="E21" s="296">
        <f>+D21-C21</f>
        <v>39</v>
      </c>
      <c r="F21" s="316">
        <f>IF(C21=0,0,+E21/C21)</f>
        <v>0.09263657957244656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684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687</v>
      </c>
      <c r="C23" s="300">
        <f>SUM(C19:C22)</f>
        <v>7220</v>
      </c>
      <c r="D23" s="300">
        <f>SUM(D19:D22)</f>
        <v>8756</v>
      </c>
      <c r="E23" s="300">
        <f>+D23-C23</f>
        <v>1536</v>
      </c>
      <c r="F23" s="309">
        <f>IF(C23=0,0,+E23/C23)</f>
        <v>0.21274238227146813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193</v>
      </c>
      <c r="B25" s="291" t="s">
        <v>688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681</v>
      </c>
      <c r="C26" s="296">
        <v>761</v>
      </c>
      <c r="D26" s="296">
        <v>202</v>
      </c>
      <c r="E26" s="296">
        <f>+D26-C26</f>
        <v>-559</v>
      </c>
      <c r="F26" s="316">
        <f>IF(C26=0,0,+E26/C26)</f>
        <v>-0.7345597897503285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682</v>
      </c>
      <c r="C27" s="296">
        <v>1907</v>
      </c>
      <c r="D27" s="296">
        <v>167</v>
      </c>
      <c r="E27" s="296">
        <f>+D27-C27</f>
        <v>-1740</v>
      </c>
      <c r="F27" s="316">
        <f>IF(C27=0,0,+E27/C27)</f>
        <v>-0.9124278972207656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683</v>
      </c>
      <c r="C28" s="296">
        <v>212</v>
      </c>
      <c r="D28" s="296">
        <v>19</v>
      </c>
      <c r="E28" s="296">
        <f>+D28-C28</f>
        <v>-193</v>
      </c>
      <c r="F28" s="316">
        <f>IF(C28=0,0,+E28/C28)</f>
        <v>-0.910377358490566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684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689</v>
      </c>
      <c r="C30" s="300">
        <f>SUM(C26:C29)</f>
        <v>2880</v>
      </c>
      <c r="D30" s="300">
        <f>SUM(D26:D29)</f>
        <v>388</v>
      </c>
      <c r="E30" s="300">
        <f>+D30-C30</f>
        <v>-2492</v>
      </c>
      <c r="F30" s="309">
        <f>IF(C30=0,0,+E30/C30)</f>
        <v>-0.8652777777777778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477</v>
      </c>
      <c r="B32" s="291" t="s">
        <v>690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681</v>
      </c>
      <c r="C33" s="296">
        <v>240</v>
      </c>
      <c r="D33" s="296">
        <v>296</v>
      </c>
      <c r="E33" s="296">
        <f>+D33-C33</f>
        <v>56</v>
      </c>
      <c r="F33" s="316">
        <f>IF(C33=0,0,+E33/C33)</f>
        <v>0.23333333333333334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682</v>
      </c>
      <c r="C34" s="296">
        <v>1354</v>
      </c>
      <c r="D34" s="296">
        <v>1207</v>
      </c>
      <c r="E34" s="296">
        <f>+D34-C34</f>
        <v>-147</v>
      </c>
      <c r="F34" s="316">
        <f>IF(C34=0,0,+E34/C34)</f>
        <v>-0.1085672082717873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683</v>
      </c>
      <c r="C35" s="296">
        <v>150</v>
      </c>
      <c r="D35" s="296">
        <v>134</v>
      </c>
      <c r="E35" s="296">
        <f>+D35-C35</f>
        <v>-16</v>
      </c>
      <c r="F35" s="316">
        <f>IF(C35=0,0,+E35/C35)</f>
        <v>-0.10666666666666667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684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691</v>
      </c>
      <c r="C37" s="300">
        <f>SUM(C33:C36)</f>
        <v>1744</v>
      </c>
      <c r="D37" s="300">
        <f>SUM(D33:D36)</f>
        <v>1637</v>
      </c>
      <c r="E37" s="300">
        <f>+D37-C37</f>
        <v>-107</v>
      </c>
      <c r="F37" s="309">
        <f>IF(C37=0,0,+E37/C37)</f>
        <v>-0.06135321100917431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692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693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498</v>
      </c>
      <c r="B42" s="291" t="s">
        <v>694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695</v>
      </c>
      <c r="C43" s="296">
        <v>794</v>
      </c>
      <c r="D43" s="296">
        <v>845</v>
      </c>
      <c r="E43" s="296">
        <f>+D43-C43</f>
        <v>51</v>
      </c>
      <c r="F43" s="316">
        <f>IF(C43=0,0,+E43/C43)</f>
        <v>0.06423173803526448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696</v>
      </c>
      <c r="C44" s="296">
        <v>20523</v>
      </c>
      <c r="D44" s="296">
        <v>23923</v>
      </c>
      <c r="E44" s="296">
        <f>+D44-C44</f>
        <v>3400</v>
      </c>
      <c r="F44" s="316">
        <f>IF(C44=0,0,+E44/C44)</f>
        <v>0.16566778736052234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697</v>
      </c>
      <c r="C45" s="300">
        <f>SUM(C43:C44)</f>
        <v>21317</v>
      </c>
      <c r="D45" s="300">
        <f>SUM(D43:D44)</f>
        <v>24768</v>
      </c>
      <c r="E45" s="300">
        <f>+D45-C45</f>
        <v>3451</v>
      </c>
      <c r="F45" s="309">
        <f>IF(C45=0,0,+E45/C45)</f>
        <v>0.16188957170333537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510</v>
      </c>
      <c r="B47" s="291" t="s">
        <v>698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695</v>
      </c>
      <c r="C48" s="296">
        <v>2205</v>
      </c>
      <c r="D48" s="296">
        <v>1837</v>
      </c>
      <c r="E48" s="296">
        <f>+D48-C48</f>
        <v>-368</v>
      </c>
      <c r="F48" s="316">
        <f>IF(C48=0,0,+E48/C48)</f>
        <v>-0.16689342403628118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696</v>
      </c>
      <c r="C49" s="296">
        <v>1287</v>
      </c>
      <c r="D49" s="296">
        <v>1131</v>
      </c>
      <c r="E49" s="296">
        <f>+D49-C49</f>
        <v>-156</v>
      </c>
      <c r="F49" s="316">
        <f>IF(C49=0,0,+E49/C49)</f>
        <v>-0.12121212121212122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699</v>
      </c>
      <c r="C50" s="300">
        <f>SUM(C48:C49)</f>
        <v>3492</v>
      </c>
      <c r="D50" s="300">
        <f>SUM(D48:D49)</f>
        <v>2968</v>
      </c>
      <c r="E50" s="300">
        <f>+D50-C50</f>
        <v>-524</v>
      </c>
      <c r="F50" s="309">
        <f>IF(C50=0,0,+E50/C50)</f>
        <v>-0.15005727376861397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522</v>
      </c>
      <c r="B52" s="291" t="s">
        <v>700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701</v>
      </c>
      <c r="C53" s="296">
        <v>2183</v>
      </c>
      <c r="D53" s="296">
        <v>1027</v>
      </c>
      <c r="E53" s="296">
        <f>+D53-C53</f>
        <v>-1156</v>
      </c>
      <c r="F53" s="316">
        <f>IF(C53=0,0,+E53/C53)</f>
        <v>-0.5295464956481906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702</v>
      </c>
      <c r="C54" s="296">
        <v>12</v>
      </c>
      <c r="D54" s="296">
        <v>5</v>
      </c>
      <c r="E54" s="296">
        <f>+D54-C54</f>
        <v>-7</v>
      </c>
      <c r="F54" s="316">
        <f>IF(C54=0,0,+E54/C54)</f>
        <v>-0.5833333333333334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703</v>
      </c>
      <c r="C55" s="300">
        <f>SUM(C53:C54)</f>
        <v>2195</v>
      </c>
      <c r="D55" s="300">
        <f>SUM(D53:D54)</f>
        <v>1032</v>
      </c>
      <c r="E55" s="300">
        <f>+D55-C55</f>
        <v>-1163</v>
      </c>
      <c r="F55" s="309">
        <f>IF(C55=0,0,+E55/C55)</f>
        <v>-0.5298405466970387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526</v>
      </c>
      <c r="B57" s="291" t="s">
        <v>704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705</v>
      </c>
      <c r="C58" s="296">
        <v>406</v>
      </c>
      <c r="D58" s="296">
        <v>295</v>
      </c>
      <c r="E58" s="296">
        <f>+D58-C58</f>
        <v>-111</v>
      </c>
      <c r="F58" s="316">
        <f>IF(C58=0,0,+E58/C58)</f>
        <v>-0.2733990147783251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706</v>
      </c>
      <c r="C59" s="296">
        <v>364</v>
      </c>
      <c r="D59" s="296">
        <v>309</v>
      </c>
      <c r="E59" s="296">
        <f>+D59-C59</f>
        <v>-55</v>
      </c>
      <c r="F59" s="316">
        <f>IF(C59=0,0,+E59/C59)</f>
        <v>-0.1510989010989011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707</v>
      </c>
      <c r="C60" s="300">
        <f>SUM(C58:C59)</f>
        <v>770</v>
      </c>
      <c r="D60" s="300">
        <f>SUM(D58:D59)</f>
        <v>604</v>
      </c>
      <c r="E60" s="300">
        <f>SUM(E58:E59)</f>
        <v>-166</v>
      </c>
      <c r="F60" s="309">
        <f>IF(C60=0,0,+E60/C60)</f>
        <v>-0.21558441558441557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169</v>
      </c>
      <c r="B62" s="291" t="s">
        <v>708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709</v>
      </c>
      <c r="C63" s="296">
        <v>11735</v>
      </c>
      <c r="D63" s="296">
        <v>12538</v>
      </c>
      <c r="E63" s="296">
        <f>+D63-C63</f>
        <v>803</v>
      </c>
      <c r="F63" s="316">
        <f>IF(C63=0,0,+E63/C63)</f>
        <v>0.06842778014486578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710</v>
      </c>
      <c r="C64" s="296">
        <v>13103</v>
      </c>
      <c r="D64" s="296">
        <v>13566</v>
      </c>
      <c r="E64" s="296">
        <f>+D64-C64</f>
        <v>463</v>
      </c>
      <c r="F64" s="316">
        <f>IF(C64=0,0,+E64/C64)</f>
        <v>0.035335419369610016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711</v>
      </c>
      <c r="C65" s="300">
        <f>SUM(C63:C64)</f>
        <v>24838</v>
      </c>
      <c r="D65" s="300">
        <f>SUM(D63:D64)</f>
        <v>26104</v>
      </c>
      <c r="E65" s="300">
        <f>+D65-C65</f>
        <v>1266</v>
      </c>
      <c r="F65" s="309">
        <f>IF(C65=0,0,+E65/C65)</f>
        <v>0.050970287462758675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552</v>
      </c>
      <c r="B67" s="291" t="s">
        <v>712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713</v>
      </c>
      <c r="C68" s="296">
        <v>3039</v>
      </c>
      <c r="D68" s="296">
        <v>3059</v>
      </c>
      <c r="E68" s="296">
        <f>+D68-C68</f>
        <v>20</v>
      </c>
      <c r="F68" s="316">
        <f>IF(C68=0,0,+E68/C68)</f>
        <v>0.006581112207963146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714</v>
      </c>
      <c r="C69" s="296">
        <v>10714</v>
      </c>
      <c r="D69" s="296">
        <v>10855</v>
      </c>
      <c r="E69" s="296">
        <f>+D69-C69</f>
        <v>141</v>
      </c>
      <c r="F69" s="318">
        <f>IF(C69=0,0,+E69/C69)</f>
        <v>0.013160350942691804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715</v>
      </c>
      <c r="C70" s="300">
        <f>SUM(C68:C69)</f>
        <v>13753</v>
      </c>
      <c r="D70" s="300">
        <f>SUM(D68:D69)</f>
        <v>13914</v>
      </c>
      <c r="E70" s="300">
        <f>+D70-C70</f>
        <v>161</v>
      </c>
      <c r="F70" s="309">
        <f>IF(C70=0,0,+E70/C70)</f>
        <v>0.011706536755616956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568</v>
      </c>
      <c r="B72" s="291" t="s">
        <v>716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717</v>
      </c>
      <c r="C73" s="319">
        <v>15872</v>
      </c>
      <c r="D73" s="319">
        <v>16393</v>
      </c>
      <c r="E73" s="296">
        <f>+D73-C73</f>
        <v>521</v>
      </c>
      <c r="F73" s="316">
        <f>IF(C73=0,0,+E73/C73)</f>
        <v>0.03282510080645161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718</v>
      </c>
      <c r="C74" s="319">
        <v>66455</v>
      </c>
      <c r="D74" s="319">
        <v>73715</v>
      </c>
      <c r="E74" s="296">
        <f>+D74-C74</f>
        <v>7260</v>
      </c>
      <c r="F74" s="316">
        <f>IF(C74=0,0,+E74/C74)</f>
        <v>0.10924685877661576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584</v>
      </c>
      <c r="C75" s="300">
        <f>SUM(C73:C74)</f>
        <v>82327</v>
      </c>
      <c r="D75" s="300">
        <f>SUM(D73:D74)</f>
        <v>90108</v>
      </c>
      <c r="E75" s="300">
        <f>SUM(E73:E74)</f>
        <v>7781</v>
      </c>
      <c r="F75" s="309">
        <f>IF(C75=0,0,+E75/C75)</f>
        <v>0.0945133431316579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577</v>
      </c>
      <c r="B78" s="291" t="s">
        <v>719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720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721</v>
      </c>
      <c r="C80" s="319">
        <v>16144</v>
      </c>
      <c r="D80" s="319">
        <v>15712</v>
      </c>
      <c r="E80" s="296">
        <f t="shared" si="0"/>
        <v>-432</v>
      </c>
      <c r="F80" s="316">
        <f t="shared" si="1"/>
        <v>-0.026759167492566897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722</v>
      </c>
      <c r="C81" s="319">
        <v>13864</v>
      </c>
      <c r="D81" s="319">
        <v>13783</v>
      </c>
      <c r="E81" s="296">
        <f t="shared" si="0"/>
        <v>-81</v>
      </c>
      <c r="F81" s="316">
        <f t="shared" si="1"/>
        <v>-0.005842469705712637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723</v>
      </c>
      <c r="C82" s="319">
        <v>13308</v>
      </c>
      <c r="D82" s="319">
        <v>13329</v>
      </c>
      <c r="E82" s="296">
        <f t="shared" si="0"/>
        <v>21</v>
      </c>
      <c r="F82" s="316">
        <f t="shared" si="1"/>
        <v>0.0015779981965734896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724</v>
      </c>
      <c r="C83" s="319">
        <v>39979</v>
      </c>
      <c r="D83" s="319">
        <v>44612</v>
      </c>
      <c r="E83" s="296">
        <f t="shared" si="0"/>
        <v>4633</v>
      </c>
      <c r="F83" s="316">
        <f t="shared" si="1"/>
        <v>0.11588584006603467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725</v>
      </c>
      <c r="C84" s="320">
        <f>SUM(C79:C83)</f>
        <v>83295</v>
      </c>
      <c r="D84" s="320">
        <f>SUM(D79:D83)</f>
        <v>87436</v>
      </c>
      <c r="E84" s="300">
        <f t="shared" si="0"/>
        <v>4141</v>
      </c>
      <c r="F84" s="309">
        <f t="shared" si="1"/>
        <v>0.04971486883966625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580</v>
      </c>
      <c r="B86" s="291" t="s">
        <v>726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727</v>
      </c>
      <c r="C87" s="322">
        <v>5863</v>
      </c>
      <c r="D87" s="322">
        <v>6396</v>
      </c>
      <c r="E87" s="323">
        <f aca="true" t="shared" si="2" ref="E87:E92">+D87-C87</f>
        <v>533</v>
      </c>
      <c r="F87" s="318">
        <f aca="true" t="shared" si="3" ref="F87:F92">IF(C87=0,0,+E87/C87)</f>
        <v>0.09090909090909091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419</v>
      </c>
      <c r="C88" s="322">
        <v>10246</v>
      </c>
      <c r="D88" s="322">
        <v>12086</v>
      </c>
      <c r="E88" s="296">
        <f t="shared" si="2"/>
        <v>1840</v>
      </c>
      <c r="F88" s="316">
        <f t="shared" si="3"/>
        <v>0.1795822760101503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728</v>
      </c>
      <c r="C89" s="322">
        <v>2315</v>
      </c>
      <c r="D89" s="322">
        <v>2707</v>
      </c>
      <c r="E89" s="296">
        <f t="shared" si="2"/>
        <v>392</v>
      </c>
      <c r="F89" s="316">
        <f t="shared" si="3"/>
        <v>0.1693304535637149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729</v>
      </c>
      <c r="C90" s="322">
        <v>12825</v>
      </c>
      <c r="D90" s="322">
        <v>11633</v>
      </c>
      <c r="E90" s="296">
        <f t="shared" si="2"/>
        <v>-1192</v>
      </c>
      <c r="F90" s="316">
        <f t="shared" si="3"/>
        <v>-0.09294346978557505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730</v>
      </c>
      <c r="C91" s="322">
        <v>28700</v>
      </c>
      <c r="D91" s="322">
        <v>35259</v>
      </c>
      <c r="E91" s="296">
        <f t="shared" si="2"/>
        <v>6559</v>
      </c>
      <c r="F91" s="316">
        <f t="shared" si="3"/>
        <v>0.22853658536585367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731</v>
      </c>
      <c r="C92" s="320">
        <f>SUM(C87:C91)</f>
        <v>59949</v>
      </c>
      <c r="D92" s="320">
        <f>SUM(D87:D91)</f>
        <v>68081</v>
      </c>
      <c r="E92" s="300">
        <f t="shared" si="2"/>
        <v>8132</v>
      </c>
      <c r="F92" s="309">
        <f t="shared" si="3"/>
        <v>0.13564863467280522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732</v>
      </c>
      <c r="B95" s="291" t="s">
        <v>733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734</v>
      </c>
      <c r="C96" s="325">
        <v>1449</v>
      </c>
      <c r="D96" s="325">
        <v>1406.4</v>
      </c>
      <c r="E96" s="326">
        <f>+D96-C96</f>
        <v>-42.59999999999991</v>
      </c>
      <c r="F96" s="316">
        <f>IF(C96=0,0,+E96/C96)</f>
        <v>-0.029399585921324987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735</v>
      </c>
      <c r="C97" s="325">
        <v>202.7</v>
      </c>
      <c r="D97" s="325">
        <v>209.4</v>
      </c>
      <c r="E97" s="326">
        <f>+D97-C97</f>
        <v>6.700000000000017</v>
      </c>
      <c r="F97" s="316">
        <f>IF(C97=0,0,+E97/C97)</f>
        <v>0.033053774050320756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736</v>
      </c>
      <c r="C98" s="325">
        <v>3679.6</v>
      </c>
      <c r="D98" s="325">
        <v>3780.5</v>
      </c>
      <c r="E98" s="326">
        <f>+D98-C98</f>
        <v>100.90000000000009</v>
      </c>
      <c r="F98" s="316">
        <f>IF(C98=0,0,+E98/C98)</f>
        <v>0.02742145885422331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737</v>
      </c>
      <c r="C99" s="327">
        <f>SUM(C96:C98)</f>
        <v>5331.3</v>
      </c>
      <c r="D99" s="327">
        <f>SUM(D96:D98)</f>
        <v>5396.3</v>
      </c>
      <c r="E99" s="327">
        <f>+D99-C99</f>
        <v>65</v>
      </c>
      <c r="F99" s="309">
        <f>IF(C99=0,0,+E99/C99)</f>
        <v>0.0121921482565228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FILING&amp;RHARTFORD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1">
      <selection activeCell="B29" sqref="B29:F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157</v>
      </c>
      <c r="B1" s="698"/>
      <c r="C1" s="698"/>
      <c r="D1" s="698"/>
      <c r="E1" s="698"/>
      <c r="F1" s="698"/>
    </row>
    <row r="2" spans="1:6" ht="15.75" customHeight="1">
      <c r="A2" s="698" t="s">
        <v>158</v>
      </c>
      <c r="B2" s="698"/>
      <c r="C2" s="698"/>
      <c r="D2" s="698"/>
      <c r="E2" s="698"/>
      <c r="F2" s="698"/>
    </row>
    <row r="3" spans="1:6" ht="15.75" customHeight="1">
      <c r="A3" s="698" t="s">
        <v>159</v>
      </c>
      <c r="B3" s="698"/>
      <c r="C3" s="698"/>
      <c r="D3" s="698"/>
      <c r="E3" s="698"/>
      <c r="F3" s="698"/>
    </row>
    <row r="4" spans="1:6" ht="15.75" customHeight="1">
      <c r="A4" s="698" t="s">
        <v>738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167</v>
      </c>
      <c r="D8" s="312" t="s">
        <v>167</v>
      </c>
      <c r="E8" s="126" t="s">
        <v>163</v>
      </c>
      <c r="F8" s="126" t="s">
        <v>164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165</v>
      </c>
      <c r="B9" s="291" t="s">
        <v>166</v>
      </c>
      <c r="C9" s="292" t="s">
        <v>161</v>
      </c>
      <c r="D9" s="292" t="s">
        <v>162</v>
      </c>
      <c r="E9" s="315" t="s">
        <v>168</v>
      </c>
      <c r="F9" s="315" t="s">
        <v>168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267</v>
      </c>
      <c r="B11" s="291" t="s">
        <v>710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739</v>
      </c>
      <c r="C12" s="296">
        <v>11661</v>
      </c>
      <c r="D12" s="296">
        <v>11238</v>
      </c>
      <c r="E12" s="296">
        <f>+D12-C12</f>
        <v>-423</v>
      </c>
      <c r="F12" s="316">
        <f>IF(C12=0,0,+E12/C12)</f>
        <v>-0.03627476202727039</v>
      </c>
    </row>
    <row r="13" spans="1:6" ht="15.75" customHeight="1">
      <c r="A13" s="294">
        <v>2</v>
      </c>
      <c r="B13" s="295" t="s">
        <v>740</v>
      </c>
      <c r="C13" s="296">
        <v>1442</v>
      </c>
      <c r="D13" s="296">
        <v>2328</v>
      </c>
      <c r="E13" s="296">
        <f>+D13-C13</f>
        <v>886</v>
      </c>
      <c r="F13" s="316">
        <f>IF(C13=0,0,+E13/C13)</f>
        <v>0.6144244105409153</v>
      </c>
    </row>
    <row r="14" spans="1:6" ht="15.75" customHeight="1">
      <c r="A14" s="294"/>
      <c r="B14" s="135" t="s">
        <v>741</v>
      </c>
      <c r="C14" s="300">
        <f>SUM(C11:C13)</f>
        <v>13103</v>
      </c>
      <c r="D14" s="300">
        <f>SUM(D11:D13)</f>
        <v>13566</v>
      </c>
      <c r="E14" s="300">
        <f>+D14-C14</f>
        <v>463</v>
      </c>
      <c r="F14" s="309">
        <f>IF(C14=0,0,+E14/C14)</f>
        <v>0.035335419369610016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281</v>
      </c>
      <c r="B16" s="291" t="s">
        <v>714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739</v>
      </c>
      <c r="C17" s="296">
        <v>1117</v>
      </c>
      <c r="D17" s="296">
        <v>9770</v>
      </c>
      <c r="E17" s="296">
        <f>+D17-C17</f>
        <v>8653</v>
      </c>
      <c r="F17" s="316">
        <f>IF(C17=0,0,+E17/C17)</f>
        <v>7.746642793196061</v>
      </c>
    </row>
    <row r="18" spans="1:6" ht="15.75" customHeight="1">
      <c r="A18" s="294">
        <v>2</v>
      </c>
      <c r="B18" s="295" t="s">
        <v>740</v>
      </c>
      <c r="C18" s="296">
        <v>9597</v>
      </c>
      <c r="D18" s="296">
        <v>1085</v>
      </c>
      <c r="E18" s="296">
        <f>+D18-C18</f>
        <v>-8512</v>
      </c>
      <c r="F18" s="316">
        <f>IF(C18=0,0,+E18/C18)</f>
        <v>-0.886943836615609</v>
      </c>
    </row>
    <row r="19" spans="1:6" ht="15.75" customHeight="1">
      <c r="A19" s="294"/>
      <c r="B19" s="135" t="s">
        <v>742</v>
      </c>
      <c r="C19" s="300">
        <f>SUM(C16:C18)</f>
        <v>10714</v>
      </c>
      <c r="D19" s="300">
        <f>SUM(D16:D18)</f>
        <v>10855</v>
      </c>
      <c r="E19" s="300">
        <f>+D19-C19</f>
        <v>141</v>
      </c>
      <c r="F19" s="309">
        <f>IF(C19=0,0,+E19/C19)</f>
        <v>0.013160350942691804</v>
      </c>
    </row>
    <row r="20" spans="1:6" ht="15.75" customHeight="1">
      <c r="A20" s="293"/>
      <c r="B20" s="135"/>
      <c r="C20" s="300"/>
      <c r="D20" s="300"/>
      <c r="E20" s="300"/>
      <c r="F20" s="309"/>
    </row>
    <row r="21" spans="1:6" ht="15.75" customHeight="1">
      <c r="A21" s="293" t="s">
        <v>298</v>
      </c>
      <c r="B21" s="291" t="s">
        <v>743</v>
      </c>
      <c r="C21" s="296"/>
      <c r="D21" s="296"/>
      <c r="E21" s="296"/>
      <c r="F21" s="316"/>
    </row>
    <row r="22" spans="1:6" ht="15.75" customHeight="1">
      <c r="A22" s="294">
        <v>1</v>
      </c>
      <c r="B22" s="295" t="s">
        <v>739</v>
      </c>
      <c r="C22" s="296">
        <v>66455</v>
      </c>
      <c r="D22" s="296">
        <v>73715</v>
      </c>
      <c r="E22" s="296">
        <f>+D22-C22</f>
        <v>7260</v>
      </c>
      <c r="F22" s="316">
        <f>IF(C22=0,0,+E22/C22)</f>
        <v>0.10924685877661576</v>
      </c>
    </row>
    <row r="23" spans="1:6" ht="15.75" customHeight="1">
      <c r="A23" s="294"/>
      <c r="B23" s="135" t="s">
        <v>744</v>
      </c>
      <c r="C23" s="300">
        <f>SUM(C21:C22)</f>
        <v>66455</v>
      </c>
      <c r="D23" s="300">
        <f>SUM(D21:D22)</f>
        <v>73715</v>
      </c>
      <c r="E23" s="300">
        <f>+D23-C23</f>
        <v>7260</v>
      </c>
      <c r="F23" s="309">
        <f>IF(C23=0,0,+E23/C23)</f>
        <v>0.10924685877661576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745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746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747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FILING&amp;RHARTFORD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G260" sqref="G260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157</v>
      </c>
      <c r="B1" s="705"/>
      <c r="C1" s="705"/>
      <c r="D1" s="705"/>
      <c r="E1" s="705"/>
      <c r="F1" s="705"/>
    </row>
    <row r="2" spans="1:6" ht="15.75" customHeight="1">
      <c r="A2" s="706" t="s">
        <v>748</v>
      </c>
      <c r="B2" s="707"/>
      <c r="C2" s="707"/>
      <c r="D2" s="707"/>
      <c r="E2" s="707"/>
      <c r="F2" s="708"/>
    </row>
    <row r="3" spans="1:6" ht="15.75" customHeight="1">
      <c r="A3" s="706" t="s">
        <v>749</v>
      </c>
      <c r="B3" s="707"/>
      <c r="C3" s="707"/>
      <c r="D3" s="707"/>
      <c r="E3" s="707"/>
      <c r="F3" s="708"/>
    </row>
    <row r="4" spans="1:6" ht="15.75" customHeight="1">
      <c r="A4" s="702" t="s">
        <v>750</v>
      </c>
      <c r="B4" s="703"/>
      <c r="C4" s="703"/>
      <c r="D4" s="703"/>
      <c r="E4" s="703"/>
      <c r="F4" s="704"/>
    </row>
    <row r="5" spans="1:6" ht="15.75" customHeight="1">
      <c r="A5" s="702" t="s">
        <v>751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752</v>
      </c>
      <c r="D7" s="341" t="s">
        <v>752</v>
      </c>
      <c r="E7" s="341" t="s">
        <v>753</v>
      </c>
      <c r="F7" s="341" t="s">
        <v>164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165</v>
      </c>
      <c r="B8" s="343" t="s">
        <v>166</v>
      </c>
      <c r="C8" s="344" t="s">
        <v>754</v>
      </c>
      <c r="D8" s="344" t="s">
        <v>755</v>
      </c>
      <c r="E8" s="344" t="s">
        <v>168</v>
      </c>
      <c r="F8" s="344" t="s">
        <v>168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169</v>
      </c>
      <c r="B10" s="349" t="s">
        <v>756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171</v>
      </c>
      <c r="B12" s="356" t="s">
        <v>757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758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759</v>
      </c>
      <c r="C15" s="361">
        <v>559818037</v>
      </c>
      <c r="D15" s="361">
        <v>583580333</v>
      </c>
      <c r="E15" s="361">
        <f aca="true" t="shared" si="0" ref="E15:E24">D15-C15</f>
        <v>23762296</v>
      </c>
      <c r="F15" s="362">
        <f aca="true" t="shared" si="1" ref="F15:F24">IF(C15=0,0,E15/C15)</f>
        <v>0.04244646372478349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760</v>
      </c>
      <c r="C16" s="361">
        <v>223744196</v>
      </c>
      <c r="D16" s="361">
        <v>228690205</v>
      </c>
      <c r="E16" s="361">
        <f t="shared" si="0"/>
        <v>4946009</v>
      </c>
      <c r="F16" s="362">
        <f t="shared" si="1"/>
        <v>0.022105641569357178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761</v>
      </c>
      <c r="C17" s="366">
        <f>IF(C15=0,0,C16/C15)</f>
        <v>0.3996730744850938</v>
      </c>
      <c r="D17" s="366">
        <f>IF(LN_IA1=0,0,LN_IA2/LN_IA1)</f>
        <v>0.3918744208263098</v>
      </c>
      <c r="E17" s="367">
        <f t="shared" si="0"/>
        <v>-0.007798653658784016</v>
      </c>
      <c r="F17" s="362">
        <f t="shared" si="1"/>
        <v>-0.019512582049294076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294</v>
      </c>
      <c r="C18" s="369">
        <v>15288</v>
      </c>
      <c r="D18" s="369">
        <v>15533</v>
      </c>
      <c r="E18" s="369">
        <f t="shared" si="0"/>
        <v>245</v>
      </c>
      <c r="F18" s="362">
        <f t="shared" si="1"/>
        <v>0.016025641025641024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762</v>
      </c>
      <c r="C19" s="372">
        <v>1.6816</v>
      </c>
      <c r="D19" s="372">
        <v>1.6591</v>
      </c>
      <c r="E19" s="373">
        <f t="shared" si="0"/>
        <v>-0.022499999999999964</v>
      </c>
      <c r="F19" s="362">
        <f t="shared" si="1"/>
        <v>-0.01338011417697429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763</v>
      </c>
      <c r="C20" s="376">
        <f>C18*C19</f>
        <v>25708.3008</v>
      </c>
      <c r="D20" s="376">
        <f>LN_IA4*LN_IA5</f>
        <v>25770.8003</v>
      </c>
      <c r="E20" s="376">
        <f t="shared" si="0"/>
        <v>62.49949999999808</v>
      </c>
      <c r="F20" s="362">
        <f t="shared" si="1"/>
        <v>0.00243110194198436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764</v>
      </c>
      <c r="C21" s="378">
        <f>IF(C20=0,0,C16/C20)</f>
        <v>8703.188815964064</v>
      </c>
      <c r="D21" s="378">
        <f>IF(LN_IA6=0,0,LN_IA2/LN_IA6)</f>
        <v>8874.004778190765</v>
      </c>
      <c r="E21" s="378">
        <f t="shared" si="0"/>
        <v>170.81596222670123</v>
      </c>
      <c r="F21" s="362">
        <f t="shared" si="1"/>
        <v>0.01962682481544895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296</v>
      </c>
      <c r="C22" s="369">
        <v>98454</v>
      </c>
      <c r="D22" s="369">
        <v>96766</v>
      </c>
      <c r="E22" s="369">
        <f t="shared" si="0"/>
        <v>-1688</v>
      </c>
      <c r="F22" s="362">
        <f t="shared" si="1"/>
        <v>-0.017145062668860584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765</v>
      </c>
      <c r="C23" s="378">
        <f>IF(C22=0,0,C16/C22)</f>
        <v>2272.5759847238305</v>
      </c>
      <c r="D23" s="378">
        <f>IF(LN_IA8=0,0,LN_IA2/LN_IA8)</f>
        <v>2363.3322137941013</v>
      </c>
      <c r="E23" s="378">
        <f t="shared" si="0"/>
        <v>90.75622907027082</v>
      </c>
      <c r="F23" s="362">
        <f t="shared" si="1"/>
        <v>0.039935399159513586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766</v>
      </c>
      <c r="C24" s="379">
        <f>IF(C18=0,0,C22/C18)</f>
        <v>6.439952904238618</v>
      </c>
      <c r="D24" s="379">
        <f>IF(LN_IA4=0,0,LN_IA8/LN_IA4)</f>
        <v>6.2297045000965685</v>
      </c>
      <c r="E24" s="379">
        <f t="shared" si="0"/>
        <v>-0.2102484041420496</v>
      </c>
      <c r="F24" s="362">
        <f t="shared" si="1"/>
        <v>-0.03264750647534538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767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768</v>
      </c>
      <c r="C27" s="361">
        <v>144404781</v>
      </c>
      <c r="D27" s="361">
        <v>165350528</v>
      </c>
      <c r="E27" s="361">
        <f aca="true" t="shared" si="2" ref="E27:E32">D27-C27</f>
        <v>20945747</v>
      </c>
      <c r="F27" s="362">
        <f aca="true" t="shared" si="3" ref="F27:F32">IF(C27=0,0,E27/C27)</f>
        <v>0.14504884710153745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769</v>
      </c>
      <c r="C28" s="361">
        <v>51344579</v>
      </c>
      <c r="D28" s="361">
        <v>54345423</v>
      </c>
      <c r="E28" s="361">
        <f t="shared" si="2"/>
        <v>3000844</v>
      </c>
      <c r="F28" s="362">
        <f t="shared" si="3"/>
        <v>0.05844519632734743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770</v>
      </c>
      <c r="C29" s="366">
        <f>IF(C27=0,0,C28/C27)</f>
        <v>0.35556010434308266</v>
      </c>
      <c r="D29" s="366">
        <f>IF(LN_IA11=0,0,LN_IA12/LN_IA11)</f>
        <v>0.3286679737726631</v>
      </c>
      <c r="E29" s="367">
        <f t="shared" si="2"/>
        <v>-0.02689213057041956</v>
      </c>
      <c r="F29" s="362">
        <f t="shared" si="3"/>
        <v>-0.07563314961925857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771</v>
      </c>
      <c r="C30" s="366">
        <f>IF(C15=0,0,C27/C15)</f>
        <v>0.25794949690054375</v>
      </c>
      <c r="D30" s="366">
        <f>IF(LN_IA1=0,0,LN_IA11/LN_IA1)</f>
        <v>0.28333807472569505</v>
      </c>
      <c r="E30" s="367">
        <f t="shared" si="2"/>
        <v>0.025388577825151304</v>
      </c>
      <c r="F30" s="362">
        <f t="shared" si="3"/>
        <v>0.09842460687155458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772</v>
      </c>
      <c r="C31" s="376">
        <f>C30*C18</f>
        <v>3943.5319086155127</v>
      </c>
      <c r="D31" s="376">
        <f>LN_IA14*LN_IA4</f>
        <v>4401.090314714222</v>
      </c>
      <c r="E31" s="376">
        <f t="shared" si="2"/>
        <v>457.55840609870893</v>
      </c>
      <c r="F31" s="362">
        <f t="shared" si="3"/>
        <v>0.1160275653150091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773</v>
      </c>
      <c r="C32" s="378">
        <f>IF(C31=0,0,C28/C31)</f>
        <v>13019.947648407884</v>
      </c>
      <c r="D32" s="378">
        <f>IF(LN_IA15=0,0,LN_IA12/LN_IA15)</f>
        <v>12348.172637654412</v>
      </c>
      <c r="E32" s="378">
        <f t="shared" si="2"/>
        <v>-671.7750107534721</v>
      </c>
      <c r="F32" s="362">
        <f t="shared" si="3"/>
        <v>-0.05159583040532568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774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775</v>
      </c>
      <c r="C35" s="361">
        <f>C15+C27</f>
        <v>704222818</v>
      </c>
      <c r="D35" s="361">
        <f>LN_IA1+LN_IA11</f>
        <v>748930861</v>
      </c>
      <c r="E35" s="361">
        <f>D35-C35</f>
        <v>44708043</v>
      </c>
      <c r="F35" s="362">
        <f>IF(C35=0,0,E35/C35)</f>
        <v>0.06348564950930062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776</v>
      </c>
      <c r="C36" s="361">
        <f>C16+C28</f>
        <v>275088775</v>
      </c>
      <c r="D36" s="361">
        <f>LN_IA2+LN_IA12</f>
        <v>283035628</v>
      </c>
      <c r="E36" s="361">
        <f>D36-C36</f>
        <v>7946853</v>
      </c>
      <c r="F36" s="362">
        <f>IF(C36=0,0,E36/C36)</f>
        <v>0.02888832159727346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777</v>
      </c>
      <c r="C37" s="361">
        <f>C35-C36</f>
        <v>429134043</v>
      </c>
      <c r="D37" s="361">
        <f>LN_IA17-LN_IA18</f>
        <v>465895233</v>
      </c>
      <c r="E37" s="361">
        <f>D37-C37</f>
        <v>36761190</v>
      </c>
      <c r="F37" s="362">
        <f>IF(C37=0,0,E37/C37)</f>
        <v>0.08566365358247749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183</v>
      </c>
      <c r="B39" s="356" t="s">
        <v>778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779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759</v>
      </c>
      <c r="C42" s="361">
        <v>378238548</v>
      </c>
      <c r="D42" s="361">
        <v>429192423</v>
      </c>
      <c r="E42" s="361">
        <f aca="true" t="shared" si="4" ref="E42:E53">D42-C42</f>
        <v>50953875</v>
      </c>
      <c r="F42" s="362">
        <f aca="true" t="shared" si="5" ref="F42:F53">IF(C42=0,0,E42/C42)</f>
        <v>0.13471359614039127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760</v>
      </c>
      <c r="C43" s="361">
        <v>174766082</v>
      </c>
      <c r="D43" s="361">
        <v>208825893</v>
      </c>
      <c r="E43" s="361">
        <f t="shared" si="4"/>
        <v>34059811</v>
      </c>
      <c r="F43" s="362">
        <f t="shared" si="5"/>
        <v>0.19488799319767322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761</v>
      </c>
      <c r="C44" s="366">
        <f>IF(C42=0,0,C43/C42)</f>
        <v>0.462052540451271</v>
      </c>
      <c r="D44" s="366">
        <f>IF(LN_IB1=0,0,LN_IB2/LN_IB1)</f>
        <v>0.48655540454403595</v>
      </c>
      <c r="E44" s="367">
        <f t="shared" si="4"/>
        <v>0.024502864092764975</v>
      </c>
      <c r="F44" s="362">
        <f t="shared" si="5"/>
        <v>0.05303047153216356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294</v>
      </c>
      <c r="C45" s="369">
        <v>16218</v>
      </c>
      <c r="D45" s="369">
        <v>16639</v>
      </c>
      <c r="E45" s="369">
        <f t="shared" si="4"/>
        <v>421</v>
      </c>
      <c r="F45" s="362">
        <f t="shared" si="5"/>
        <v>0.02595881119743495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762</v>
      </c>
      <c r="C46" s="372">
        <v>1.3011</v>
      </c>
      <c r="D46" s="372">
        <v>1.3378</v>
      </c>
      <c r="E46" s="373">
        <f t="shared" si="4"/>
        <v>0.03670000000000018</v>
      </c>
      <c r="F46" s="362">
        <f t="shared" si="5"/>
        <v>0.02820690185227898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763</v>
      </c>
      <c r="C47" s="376">
        <f>C45*C46</f>
        <v>21101.2398</v>
      </c>
      <c r="D47" s="376">
        <f>LN_IB4*LN_IB5</f>
        <v>22259.6542</v>
      </c>
      <c r="E47" s="376">
        <f t="shared" si="4"/>
        <v>1158.4144000000015</v>
      </c>
      <c r="F47" s="362">
        <f t="shared" si="5"/>
        <v>0.054897930689361746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764</v>
      </c>
      <c r="C48" s="378">
        <f>IF(C47=0,0,C43/C47)</f>
        <v>8282.266049599608</v>
      </c>
      <c r="D48" s="378">
        <f>IF(LN_IB6=0,0,LN_IB2/LN_IB6)</f>
        <v>9381.362851539714</v>
      </c>
      <c r="E48" s="378">
        <f t="shared" si="4"/>
        <v>1099.0968019401062</v>
      </c>
      <c r="F48" s="362">
        <f t="shared" si="5"/>
        <v>0.13270484132699892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780</v>
      </c>
      <c r="C49" s="378">
        <f>C21-C48</f>
        <v>420.92276636445604</v>
      </c>
      <c r="D49" s="378">
        <f>LN_IA7-LN_IB7</f>
        <v>-507.3580733489489</v>
      </c>
      <c r="E49" s="378">
        <f t="shared" si="4"/>
        <v>-928.2808397134049</v>
      </c>
      <c r="F49" s="362">
        <f t="shared" si="5"/>
        <v>-2.205347189298031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781</v>
      </c>
      <c r="C50" s="391">
        <f>C49*C47</f>
        <v>8881992.23033576</v>
      </c>
      <c r="D50" s="391">
        <f>LN_IB8*LN_IB6</f>
        <v>-11293615.26832584</v>
      </c>
      <c r="E50" s="391">
        <f t="shared" si="4"/>
        <v>-20175607.4986616</v>
      </c>
      <c r="F50" s="362">
        <f t="shared" si="5"/>
        <v>-2.2715182557527314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296</v>
      </c>
      <c r="C51" s="369">
        <v>68235</v>
      </c>
      <c r="D51" s="369">
        <v>70885</v>
      </c>
      <c r="E51" s="369">
        <f t="shared" si="4"/>
        <v>2650</v>
      </c>
      <c r="F51" s="362">
        <f t="shared" si="5"/>
        <v>0.038836374294716786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765</v>
      </c>
      <c r="C52" s="378">
        <f>IF(C51=0,0,C43/C51)</f>
        <v>2561.2381036125157</v>
      </c>
      <c r="D52" s="378">
        <f>IF(LN_IB10=0,0,LN_IB2/LN_IB10)</f>
        <v>2945.9814206108485</v>
      </c>
      <c r="E52" s="378">
        <f t="shared" si="4"/>
        <v>384.74331699833283</v>
      </c>
      <c r="F52" s="362">
        <f t="shared" si="5"/>
        <v>0.15021770777799573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766</v>
      </c>
      <c r="C53" s="379">
        <f>IF(C45=0,0,C51/C45)</f>
        <v>4.207362190159082</v>
      </c>
      <c r="D53" s="379">
        <f>IF(LN_IB4=0,0,LN_IB10/LN_IB4)</f>
        <v>4.2601718853296475</v>
      </c>
      <c r="E53" s="379">
        <f t="shared" si="4"/>
        <v>0.05280969517056544</v>
      </c>
      <c r="F53" s="362">
        <f t="shared" si="5"/>
        <v>0.01255173497876794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782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768</v>
      </c>
      <c r="C56" s="361">
        <v>218952461</v>
      </c>
      <c r="D56" s="361">
        <v>234394020</v>
      </c>
      <c r="E56" s="361">
        <f aca="true" t="shared" si="6" ref="E56:E63">D56-C56</f>
        <v>15441559</v>
      </c>
      <c r="F56" s="362">
        <f aca="true" t="shared" si="7" ref="F56:F63">IF(C56=0,0,E56/C56)</f>
        <v>0.07052471084122686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769</v>
      </c>
      <c r="C57" s="361">
        <v>97253115</v>
      </c>
      <c r="D57" s="361">
        <v>110557355</v>
      </c>
      <c r="E57" s="361">
        <f t="shared" si="6"/>
        <v>13304240</v>
      </c>
      <c r="F57" s="362">
        <f t="shared" si="7"/>
        <v>0.13680014259697493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770</v>
      </c>
      <c r="C58" s="366">
        <f>IF(C56=0,0,C57/C56)</f>
        <v>0.4441745690175184</v>
      </c>
      <c r="D58" s="366">
        <f>IF(LN_IB13=0,0,LN_IB14/LN_IB13)</f>
        <v>0.471673104117588</v>
      </c>
      <c r="E58" s="367">
        <f t="shared" si="6"/>
        <v>0.02749853510006961</v>
      </c>
      <c r="F58" s="362">
        <f t="shared" si="7"/>
        <v>0.0619092965202721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771</v>
      </c>
      <c r="C59" s="366">
        <f>IF(C42=0,0,C56/C42)</f>
        <v>0.5788739993788259</v>
      </c>
      <c r="D59" s="366">
        <f>IF(LN_IB1=0,0,LN_IB13/LN_IB1)</f>
        <v>0.546128047558752</v>
      </c>
      <c r="E59" s="367">
        <f t="shared" si="6"/>
        <v>-0.03274595182007389</v>
      </c>
      <c r="F59" s="362">
        <f t="shared" si="7"/>
        <v>-0.05656835832186744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772</v>
      </c>
      <c r="C60" s="376">
        <f>C59*C45</f>
        <v>9388.178521925798</v>
      </c>
      <c r="D60" s="376">
        <f>LN_IB16*LN_IB4</f>
        <v>9087.024583330074</v>
      </c>
      <c r="E60" s="376">
        <f t="shared" si="6"/>
        <v>-301.15393859572396</v>
      </c>
      <c r="F60" s="362">
        <f t="shared" si="7"/>
        <v>-0.032077994457858715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773</v>
      </c>
      <c r="C61" s="378">
        <f>IF(C60=0,0,C57/C60)</f>
        <v>10359.103714620294</v>
      </c>
      <c r="D61" s="378">
        <f>IF(LN_IB17=0,0,LN_IB14/LN_IB17)</f>
        <v>12166.50774807133</v>
      </c>
      <c r="E61" s="378">
        <f t="shared" si="6"/>
        <v>1807.4040334510355</v>
      </c>
      <c r="F61" s="362">
        <f t="shared" si="7"/>
        <v>0.17447494331967742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783</v>
      </c>
      <c r="C62" s="378">
        <f>C32-C61</f>
        <v>2660.84393378759</v>
      </c>
      <c r="D62" s="378">
        <f>LN_IA16-LN_IB18</f>
        <v>181.66488958308219</v>
      </c>
      <c r="E62" s="378">
        <f t="shared" si="6"/>
        <v>-2479.1790442045076</v>
      </c>
      <c r="F62" s="362">
        <f t="shared" si="7"/>
        <v>-0.9317265897197922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784</v>
      </c>
      <c r="C63" s="361">
        <f>C62*C60</f>
        <v>24980477.8693812</v>
      </c>
      <c r="D63" s="361">
        <f>LN_IB19*LN_IB17</f>
        <v>1650793.3175694114</v>
      </c>
      <c r="E63" s="361">
        <f t="shared" si="6"/>
        <v>-23329684.55181179</v>
      </c>
      <c r="F63" s="362">
        <f t="shared" si="7"/>
        <v>-0.9339166637963798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785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775</v>
      </c>
      <c r="C66" s="361">
        <f>C42+C56</f>
        <v>597191009</v>
      </c>
      <c r="D66" s="361">
        <f>LN_IB1+LN_IB13</f>
        <v>663586443</v>
      </c>
      <c r="E66" s="361">
        <f>D66-C66</f>
        <v>66395434</v>
      </c>
      <c r="F66" s="362">
        <f>IF(C66=0,0,E66/C66)</f>
        <v>0.11117956064204577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776</v>
      </c>
      <c r="C67" s="361">
        <f>C43+C57</f>
        <v>272019197</v>
      </c>
      <c r="D67" s="361">
        <f>LN_IB2+LN_IB14</f>
        <v>319383248</v>
      </c>
      <c r="E67" s="361">
        <f>D67-C67</f>
        <v>47364051</v>
      </c>
      <c r="F67" s="362">
        <f>IF(C67=0,0,E67/C67)</f>
        <v>0.17412025152033664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777</v>
      </c>
      <c r="C68" s="361">
        <f>C66-C67</f>
        <v>325171812</v>
      </c>
      <c r="D68" s="361">
        <f>LN_IB21-LN_IB22</f>
        <v>344203195</v>
      </c>
      <c r="E68" s="361">
        <f>D68-C68</f>
        <v>19031383</v>
      </c>
      <c r="F68" s="362">
        <f>IF(C68=0,0,E68/C68)</f>
        <v>0.05852716101972578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786</v>
      </c>
      <c r="C70" s="353">
        <f>C50+C63</f>
        <v>33862470.09971696</v>
      </c>
      <c r="D70" s="353">
        <f>LN_IB9+LN_IB20</f>
        <v>-9642821.950756427</v>
      </c>
      <c r="E70" s="361">
        <f>D70-C70</f>
        <v>-43505292.05047339</v>
      </c>
      <c r="F70" s="362">
        <f>IF(C70=0,0,E70/C70)</f>
        <v>-1.2847642809978304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787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788</v>
      </c>
      <c r="C73" s="400">
        <v>513306904</v>
      </c>
      <c r="D73" s="400">
        <v>599039787</v>
      </c>
      <c r="E73" s="400">
        <f>D73-C73</f>
        <v>85732883</v>
      </c>
      <c r="F73" s="401">
        <f>IF(C73=0,0,E73/C73)</f>
        <v>0.16702070892075904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789</v>
      </c>
      <c r="C74" s="400">
        <v>250590927</v>
      </c>
      <c r="D74" s="400">
        <v>302671779</v>
      </c>
      <c r="E74" s="400">
        <f>D74-C74</f>
        <v>52080852</v>
      </c>
      <c r="F74" s="401">
        <f>IF(C74=0,0,E74/C74)</f>
        <v>0.20783215347617115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790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791</v>
      </c>
      <c r="C76" s="353">
        <f>C73-C74</f>
        <v>262715977</v>
      </c>
      <c r="D76" s="353">
        <f>LN_IB32-LN_IB33</f>
        <v>296368008</v>
      </c>
      <c r="E76" s="400">
        <f>D76-C76</f>
        <v>33652031</v>
      </c>
      <c r="F76" s="401">
        <f>IF(C76=0,0,E76/C76)</f>
        <v>0.12809282246279222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792</v>
      </c>
      <c r="C77" s="366">
        <f>IF(C73=0,0,C76/C73)</f>
        <v>0.5118107217198076</v>
      </c>
      <c r="D77" s="366">
        <f>IF(LN_IB1=0,0,LN_IB34/LN_IB32)</f>
        <v>0.4947384371315557</v>
      </c>
      <c r="E77" s="405">
        <f>D77-C77</f>
        <v>-0.017072284588251885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193</v>
      </c>
      <c r="B79" s="356" t="s">
        <v>793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794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759</v>
      </c>
      <c r="C83" s="361">
        <v>17429715</v>
      </c>
      <c r="D83" s="361">
        <v>19069035</v>
      </c>
      <c r="E83" s="361">
        <f aca="true" t="shared" si="8" ref="E83:E95">D83-C83</f>
        <v>1639320</v>
      </c>
      <c r="F83" s="362">
        <f aca="true" t="shared" si="9" ref="F83:F95">IF(C83=0,0,E83/C83)</f>
        <v>0.0940531729864774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760</v>
      </c>
      <c r="C84" s="361">
        <v>1388594</v>
      </c>
      <c r="D84" s="361">
        <v>1264171</v>
      </c>
      <c r="E84" s="361">
        <f t="shared" si="8"/>
        <v>-124423</v>
      </c>
      <c r="F84" s="362">
        <f t="shared" si="9"/>
        <v>-0.0896035846330893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761</v>
      </c>
      <c r="C85" s="366">
        <f>IF(C83=0,0,C84/C83)</f>
        <v>0.07966819882023314</v>
      </c>
      <c r="D85" s="366">
        <f>IF(LN_IC1=0,0,LN_IC2/LN_IC1)</f>
        <v>0.06629444017486989</v>
      </c>
      <c r="E85" s="367">
        <f t="shared" si="8"/>
        <v>-0.013373758645363248</v>
      </c>
      <c r="F85" s="362">
        <f t="shared" si="9"/>
        <v>-0.16786821898083062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294</v>
      </c>
      <c r="C86" s="369">
        <v>664</v>
      </c>
      <c r="D86" s="369">
        <v>694</v>
      </c>
      <c r="E86" s="369">
        <f t="shared" si="8"/>
        <v>30</v>
      </c>
      <c r="F86" s="362">
        <f t="shared" si="9"/>
        <v>0.045180722891566265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762</v>
      </c>
      <c r="C87" s="372">
        <v>1.3676</v>
      </c>
      <c r="D87" s="372">
        <v>1.3109</v>
      </c>
      <c r="E87" s="373">
        <f t="shared" si="8"/>
        <v>-0.05669999999999997</v>
      </c>
      <c r="F87" s="362">
        <f t="shared" si="9"/>
        <v>-0.041459491079262924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763</v>
      </c>
      <c r="C88" s="376">
        <f>C86*C87</f>
        <v>908.0863999999999</v>
      </c>
      <c r="D88" s="376">
        <f>LN_IC4*LN_IC5</f>
        <v>909.7646</v>
      </c>
      <c r="E88" s="376">
        <f t="shared" si="8"/>
        <v>1.6782000000000608</v>
      </c>
      <c r="F88" s="362">
        <f t="shared" si="9"/>
        <v>0.0018480620346258473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764</v>
      </c>
      <c r="C89" s="378">
        <f>IF(C88=0,0,C84/C88)</f>
        <v>1529.143041895573</v>
      </c>
      <c r="D89" s="378">
        <f>IF(LN_IC6=0,0,LN_IC2/LN_IC6)</f>
        <v>1389.558353886269</v>
      </c>
      <c r="E89" s="378">
        <f t="shared" si="8"/>
        <v>-139.58468800930405</v>
      </c>
      <c r="F89" s="362">
        <f t="shared" si="9"/>
        <v>-0.09128295011320232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795</v>
      </c>
      <c r="C90" s="378">
        <f>C48-C89</f>
        <v>6753.1230077040345</v>
      </c>
      <c r="D90" s="378">
        <f>LN_IB7-LN_IC7</f>
        <v>7991.804497653445</v>
      </c>
      <c r="E90" s="378">
        <f t="shared" si="8"/>
        <v>1238.6814899494102</v>
      </c>
      <c r="F90" s="362">
        <f t="shared" si="9"/>
        <v>0.18342350473052382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796</v>
      </c>
      <c r="C91" s="378">
        <f>C21-C89</f>
        <v>7174.045774068491</v>
      </c>
      <c r="D91" s="378">
        <f>LN_IA7-LN_IC7</f>
        <v>7484.446424304496</v>
      </c>
      <c r="E91" s="378">
        <f t="shared" si="8"/>
        <v>310.4006502360053</v>
      </c>
      <c r="F91" s="362">
        <f t="shared" si="9"/>
        <v>0.04326716890460725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781</v>
      </c>
      <c r="C92" s="353">
        <f>C91*C88</f>
        <v>6514653.400409068</v>
      </c>
      <c r="D92" s="353">
        <f>LN_IC9*LN_IC6</f>
        <v>6809084.407428809</v>
      </c>
      <c r="E92" s="353">
        <f t="shared" si="8"/>
        <v>294431.00701974146</v>
      </c>
      <c r="F92" s="362">
        <f t="shared" si="9"/>
        <v>0.04519519135143146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296</v>
      </c>
      <c r="C93" s="369">
        <v>2770</v>
      </c>
      <c r="D93" s="369">
        <v>3053</v>
      </c>
      <c r="E93" s="369">
        <f t="shared" si="8"/>
        <v>283</v>
      </c>
      <c r="F93" s="362">
        <f t="shared" si="9"/>
        <v>0.10216606498194945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765</v>
      </c>
      <c r="C94" s="411">
        <f>IF(C93=0,0,C84/C93)</f>
        <v>501.29747292418773</v>
      </c>
      <c r="D94" s="411">
        <f>IF(LN_IC11=0,0,LN_IC2/LN_IC11)</f>
        <v>414.07500818866686</v>
      </c>
      <c r="E94" s="411">
        <f t="shared" si="8"/>
        <v>-87.22246473552087</v>
      </c>
      <c r="F94" s="362">
        <f t="shared" si="9"/>
        <v>-0.1739934259527211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766</v>
      </c>
      <c r="C95" s="379">
        <f>IF(C86=0,0,C93/C86)</f>
        <v>4.171686746987952</v>
      </c>
      <c r="D95" s="379">
        <f>IF(LN_IC4=0,0,LN_IC11/LN_IC4)</f>
        <v>4.399135446685879</v>
      </c>
      <c r="E95" s="379">
        <f t="shared" si="8"/>
        <v>0.22744869969792703</v>
      </c>
      <c r="F95" s="362">
        <f t="shared" si="9"/>
        <v>0.05452199877235507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797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768</v>
      </c>
      <c r="C98" s="361">
        <v>27708063</v>
      </c>
      <c r="D98" s="361">
        <v>26654052</v>
      </c>
      <c r="E98" s="361">
        <f aca="true" t="shared" si="10" ref="E98:E106">D98-C98</f>
        <v>-1054011</v>
      </c>
      <c r="F98" s="362">
        <f aca="true" t="shared" si="11" ref="F98:F106">IF(C98=0,0,E98/C98)</f>
        <v>-0.03803986586864625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769</v>
      </c>
      <c r="C99" s="361">
        <v>2207452</v>
      </c>
      <c r="D99" s="361">
        <v>1767017</v>
      </c>
      <c r="E99" s="361">
        <f t="shared" si="10"/>
        <v>-440435</v>
      </c>
      <c r="F99" s="362">
        <f t="shared" si="11"/>
        <v>-0.19952189220875471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770</v>
      </c>
      <c r="C100" s="366">
        <f>IF(C98=0,0,C99/C98)</f>
        <v>0.07966821787578583</v>
      </c>
      <c r="D100" s="366">
        <f>IF(LN_IC14=0,0,LN_IC15/LN_IC14)</f>
        <v>0.06629449811233204</v>
      </c>
      <c r="E100" s="367">
        <f t="shared" si="10"/>
        <v>-0.013373719763453792</v>
      </c>
      <c r="F100" s="362">
        <f t="shared" si="11"/>
        <v>-0.16786769078110092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771</v>
      </c>
      <c r="C101" s="366">
        <f>IF(C83=0,0,C98/C83)</f>
        <v>1.589702585498386</v>
      </c>
      <c r="D101" s="366">
        <f>IF(LN_IC1=0,0,LN_IC14/LN_IC1)</f>
        <v>1.3977661690798722</v>
      </c>
      <c r="E101" s="367">
        <f t="shared" si="10"/>
        <v>-0.19193641641851378</v>
      </c>
      <c r="F101" s="362">
        <f t="shared" si="11"/>
        <v>-0.12073731160117601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772</v>
      </c>
      <c r="C102" s="376">
        <f>C101*C86</f>
        <v>1055.5625167709284</v>
      </c>
      <c r="D102" s="376">
        <f>LN_IC17*LN_IC4</f>
        <v>970.0497213414313</v>
      </c>
      <c r="E102" s="376">
        <f t="shared" si="10"/>
        <v>-85.51279542949703</v>
      </c>
      <c r="F102" s="362">
        <f t="shared" si="11"/>
        <v>-0.08101158772773522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773</v>
      </c>
      <c r="C103" s="378">
        <f>IF(C102=0,0,C99/C102)</f>
        <v>2091.2565242964642</v>
      </c>
      <c r="D103" s="378">
        <f>IF(LN_IC18=0,0,LN_IC15/LN_IC18)</f>
        <v>1821.5736380569072</v>
      </c>
      <c r="E103" s="378">
        <f t="shared" si="10"/>
        <v>-269.6828862395571</v>
      </c>
      <c r="F103" s="362">
        <f t="shared" si="11"/>
        <v>-0.12895734363831007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798</v>
      </c>
      <c r="C104" s="378">
        <f>C61-C103</f>
        <v>8267.84719032383</v>
      </c>
      <c r="D104" s="378">
        <f>LN_IB18-LN_IC19</f>
        <v>10344.934110014423</v>
      </c>
      <c r="E104" s="378">
        <f t="shared" si="10"/>
        <v>2077.0869196905933</v>
      </c>
      <c r="F104" s="362">
        <f t="shared" si="11"/>
        <v>0.2512246382736108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799</v>
      </c>
      <c r="C105" s="378">
        <f>C32-C103</f>
        <v>10928.69112411142</v>
      </c>
      <c r="D105" s="378">
        <f>LN_IA16-LN_IC19</f>
        <v>10526.598999597505</v>
      </c>
      <c r="E105" s="378">
        <f t="shared" si="10"/>
        <v>-402.0921245139143</v>
      </c>
      <c r="F105" s="362">
        <f t="shared" si="11"/>
        <v>-0.03679234045024832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784</v>
      </c>
      <c r="C106" s="361">
        <f>C105*C102</f>
        <v>11535916.707979156</v>
      </c>
      <c r="D106" s="361">
        <f>LN_IC21*LN_IC18</f>
        <v>10211324.42623255</v>
      </c>
      <c r="E106" s="361">
        <f t="shared" si="10"/>
        <v>-1324592.2817466054</v>
      </c>
      <c r="F106" s="362">
        <f t="shared" si="11"/>
        <v>-0.11482332226188945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800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775</v>
      </c>
      <c r="C109" s="361">
        <f>C83+C98</f>
        <v>45137778</v>
      </c>
      <c r="D109" s="361">
        <f>LN_IC1+LN_IC14</f>
        <v>45723087</v>
      </c>
      <c r="E109" s="361">
        <f>D109-C109</f>
        <v>585309</v>
      </c>
      <c r="F109" s="362">
        <f>IF(C109=0,0,E109/C109)</f>
        <v>0.012967164666368823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776</v>
      </c>
      <c r="C110" s="361">
        <f>C84+C99</f>
        <v>3596046</v>
      </c>
      <c r="D110" s="361">
        <f>LN_IC2+LN_IC15</f>
        <v>3031188</v>
      </c>
      <c r="E110" s="361">
        <f>D110-C110</f>
        <v>-564858</v>
      </c>
      <c r="F110" s="362">
        <f>IF(C110=0,0,E110/C110)</f>
        <v>-0.1570775234799555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777</v>
      </c>
      <c r="C111" s="361">
        <f>C109-C110</f>
        <v>41541732</v>
      </c>
      <c r="D111" s="361">
        <f>LN_IC23-LN_IC24</f>
        <v>42691899</v>
      </c>
      <c r="E111" s="361">
        <f>D111-C111</f>
        <v>1150167</v>
      </c>
      <c r="F111" s="362">
        <f>IF(C111=0,0,E111/C111)</f>
        <v>0.027687025663734963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786</v>
      </c>
      <c r="C113" s="361">
        <f>C92+C106</f>
        <v>18050570.108388223</v>
      </c>
      <c r="D113" s="361">
        <f>LN_IC10+LN_IC22</f>
        <v>17020408.83366136</v>
      </c>
      <c r="E113" s="361">
        <f>D113-C113</f>
        <v>-1030161.274726864</v>
      </c>
      <c r="F113" s="362">
        <f>IF(C113=0,0,E113/C113)</f>
        <v>-0.057070844219382355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477</v>
      </c>
      <c r="B115" s="356" t="s">
        <v>801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802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759</v>
      </c>
      <c r="C118" s="361">
        <v>123978816</v>
      </c>
      <c r="D118" s="361">
        <v>151645210</v>
      </c>
      <c r="E118" s="361">
        <f aca="true" t="shared" si="12" ref="E118:E130">D118-C118</f>
        <v>27666394</v>
      </c>
      <c r="F118" s="362">
        <f aca="true" t="shared" si="13" ref="F118:F130">IF(C118=0,0,E118/C118)</f>
        <v>0.2231542040214354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760</v>
      </c>
      <c r="C119" s="361">
        <v>45968285</v>
      </c>
      <c r="D119" s="361">
        <v>50841503</v>
      </c>
      <c r="E119" s="361">
        <f t="shared" si="12"/>
        <v>4873218</v>
      </c>
      <c r="F119" s="362">
        <f t="shared" si="13"/>
        <v>0.10601261282643022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761</v>
      </c>
      <c r="C120" s="366">
        <f>IF(C118=0,0,C119/C118)</f>
        <v>0.37077531858345864</v>
      </c>
      <c r="D120" s="366">
        <f>IF(LN_ID1=0,0,LN_1D2/LN_ID1)</f>
        <v>0.3352661320459776</v>
      </c>
      <c r="E120" s="367">
        <f t="shared" si="12"/>
        <v>-0.03550918653748103</v>
      </c>
      <c r="F120" s="362">
        <f t="shared" si="13"/>
        <v>-0.09577009244612972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294</v>
      </c>
      <c r="C121" s="369">
        <v>6256</v>
      </c>
      <c r="D121" s="369">
        <v>6942</v>
      </c>
      <c r="E121" s="369">
        <f t="shared" si="12"/>
        <v>686</v>
      </c>
      <c r="F121" s="362">
        <f t="shared" si="13"/>
        <v>0.10965473145780051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762</v>
      </c>
      <c r="C122" s="372">
        <v>1.0204</v>
      </c>
      <c r="D122" s="372">
        <v>1.0792</v>
      </c>
      <c r="E122" s="373">
        <f t="shared" si="12"/>
        <v>0.05879999999999996</v>
      </c>
      <c r="F122" s="362">
        <f t="shared" si="13"/>
        <v>0.05762446099568793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763</v>
      </c>
      <c r="C123" s="376">
        <f>C121*C122</f>
        <v>6383.6224</v>
      </c>
      <c r="D123" s="376">
        <f>LN_ID4*LN_ID5</f>
        <v>7491.8063999999995</v>
      </c>
      <c r="E123" s="376">
        <f t="shared" si="12"/>
        <v>1108.1839999999993</v>
      </c>
      <c r="F123" s="362">
        <f t="shared" si="13"/>
        <v>0.17359798724937103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764</v>
      </c>
      <c r="C124" s="378">
        <f>IF(C123=0,0,C119/C123)</f>
        <v>7200.971818132601</v>
      </c>
      <c r="D124" s="378">
        <f>IF(LN_ID6=0,0,LN_1D2/LN_ID6)</f>
        <v>6786.280942871135</v>
      </c>
      <c r="E124" s="378">
        <f t="shared" si="12"/>
        <v>-414.6908752614654</v>
      </c>
      <c r="F124" s="362">
        <f t="shared" si="13"/>
        <v>-0.057588181947503515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803</v>
      </c>
      <c r="C125" s="378">
        <f>C48-C124</f>
        <v>1081.2942314670072</v>
      </c>
      <c r="D125" s="378">
        <f>LN_IB7-LN_ID7</f>
        <v>2595.0819086685788</v>
      </c>
      <c r="E125" s="378">
        <f t="shared" si="12"/>
        <v>1513.7876772015716</v>
      </c>
      <c r="F125" s="362">
        <f t="shared" si="13"/>
        <v>1.399977576082871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804</v>
      </c>
      <c r="C126" s="378">
        <f>C21-C124</f>
        <v>1502.2169978314632</v>
      </c>
      <c r="D126" s="378">
        <f>LN_IA7-LN_ID7</f>
        <v>2087.72383531963</v>
      </c>
      <c r="E126" s="378">
        <f t="shared" si="12"/>
        <v>585.5068374881666</v>
      </c>
      <c r="F126" s="362">
        <f t="shared" si="13"/>
        <v>0.38976182424601735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781</v>
      </c>
      <c r="C127" s="391">
        <f>C126*C123</f>
        <v>9589586.07701768</v>
      </c>
      <c r="D127" s="391">
        <f>LN_ID9*LN_ID6</f>
        <v>15640822.790880147</v>
      </c>
      <c r="E127" s="391">
        <f t="shared" si="12"/>
        <v>6051236.713862468</v>
      </c>
      <c r="F127" s="362">
        <f t="shared" si="13"/>
        <v>0.6310216796911401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296</v>
      </c>
      <c r="C128" s="369">
        <v>33548</v>
      </c>
      <c r="D128" s="369">
        <v>36571</v>
      </c>
      <c r="E128" s="369">
        <f t="shared" si="12"/>
        <v>3023</v>
      </c>
      <c r="F128" s="362">
        <f t="shared" si="13"/>
        <v>0.09010969357338738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765</v>
      </c>
      <c r="C129" s="378">
        <f>IF(C128=0,0,C119/C128)</f>
        <v>1370.2243054727555</v>
      </c>
      <c r="D129" s="378">
        <f>IF(LN_ID11=0,0,LN_1D2/LN_ID11)</f>
        <v>1390.2136392223347</v>
      </c>
      <c r="E129" s="378">
        <f t="shared" si="12"/>
        <v>19.989333749579146</v>
      </c>
      <c r="F129" s="362">
        <f t="shared" si="13"/>
        <v>0.0145883660578349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766</v>
      </c>
      <c r="C130" s="379">
        <f>IF(C121=0,0,C128/C121)</f>
        <v>5.362531969309463</v>
      </c>
      <c r="D130" s="379">
        <f>IF(LN_ID4=0,0,LN_ID11/LN_ID4)</f>
        <v>5.268078363583982</v>
      </c>
      <c r="E130" s="379">
        <f t="shared" si="12"/>
        <v>-0.094453605725481</v>
      </c>
      <c r="F130" s="362">
        <f t="shared" si="13"/>
        <v>-0.017613621003297043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805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768</v>
      </c>
      <c r="C133" s="361">
        <v>58920664</v>
      </c>
      <c r="D133" s="361">
        <v>71445231</v>
      </c>
      <c r="E133" s="361">
        <f aca="true" t="shared" si="14" ref="E133:E141">D133-C133</f>
        <v>12524567</v>
      </c>
      <c r="F133" s="362">
        <f aca="true" t="shared" si="15" ref="F133:F141">IF(C133=0,0,E133/C133)</f>
        <v>0.21256663027422773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769</v>
      </c>
      <c r="C134" s="361">
        <v>20487169</v>
      </c>
      <c r="D134" s="361">
        <v>20966500</v>
      </c>
      <c r="E134" s="361">
        <f t="shared" si="14"/>
        <v>479331</v>
      </c>
      <c r="F134" s="362">
        <f t="shared" si="15"/>
        <v>0.023396644016554946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770</v>
      </c>
      <c r="C135" s="366">
        <f>IF(C133=0,0,C134/C133)</f>
        <v>0.34770770743520474</v>
      </c>
      <c r="D135" s="366">
        <f>IF(LN_ID14=0,0,LN_ID15/LN_ID14)</f>
        <v>0.293462554554551</v>
      </c>
      <c r="E135" s="367">
        <f t="shared" si="14"/>
        <v>-0.054245152880653735</v>
      </c>
      <c r="F135" s="362">
        <f t="shared" si="15"/>
        <v>-0.156007910439438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771</v>
      </c>
      <c r="C136" s="366">
        <f>IF(C118=0,0,C133/C118)</f>
        <v>0.47524783588835046</v>
      </c>
      <c r="D136" s="366">
        <f>IF(LN_ID1=0,0,LN_ID14/LN_ID1)</f>
        <v>0.47113410967613156</v>
      </c>
      <c r="E136" s="367">
        <f t="shared" si="14"/>
        <v>-0.004113726212218893</v>
      </c>
      <c r="F136" s="362">
        <f t="shared" si="15"/>
        <v>-0.008655959904645053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772</v>
      </c>
      <c r="C137" s="376">
        <f>C136*C121</f>
        <v>2973.1504613175202</v>
      </c>
      <c r="D137" s="376">
        <f>LN_ID17*LN_ID4</f>
        <v>3270.612989371705</v>
      </c>
      <c r="E137" s="376">
        <f t="shared" si="14"/>
        <v>297.462528054185</v>
      </c>
      <c r="F137" s="362">
        <f t="shared" si="15"/>
        <v>0.10004960459430216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773</v>
      </c>
      <c r="C138" s="378">
        <f>IF(C137=0,0,C134/C137)</f>
        <v>6890.727282910979</v>
      </c>
      <c r="D138" s="378">
        <f>IF(LN_ID18=0,0,LN_ID15/LN_ID18)</f>
        <v>6410.571983947183</v>
      </c>
      <c r="E138" s="378">
        <f t="shared" si="14"/>
        <v>-480.15529896379576</v>
      </c>
      <c r="F138" s="362">
        <f t="shared" si="15"/>
        <v>-0.0696813673289004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806</v>
      </c>
      <c r="C139" s="378">
        <f>C61-C138</f>
        <v>3468.3764317093155</v>
      </c>
      <c r="D139" s="378">
        <f>LN_IB18-LN_ID19</f>
        <v>5755.935764124147</v>
      </c>
      <c r="E139" s="378">
        <f t="shared" si="14"/>
        <v>2287.5593324148313</v>
      </c>
      <c r="F139" s="362">
        <f t="shared" si="15"/>
        <v>0.6595475945174314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807</v>
      </c>
      <c r="C140" s="378">
        <f>C32-C138</f>
        <v>6129.220365496905</v>
      </c>
      <c r="D140" s="378">
        <f>LN_IA16-LN_ID19</f>
        <v>5937.600653707229</v>
      </c>
      <c r="E140" s="378">
        <f t="shared" si="14"/>
        <v>-191.61971178967633</v>
      </c>
      <c r="F140" s="362">
        <f t="shared" si="15"/>
        <v>-0.031263309256811395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784</v>
      </c>
      <c r="C141" s="353">
        <f>C140*C137</f>
        <v>18223094.357193865</v>
      </c>
      <c r="D141" s="353">
        <f>LN_ID21*LN_ID18</f>
        <v>19419593.82371679</v>
      </c>
      <c r="E141" s="353">
        <f t="shared" si="14"/>
        <v>1196499.4665229246</v>
      </c>
      <c r="F141" s="362">
        <f t="shared" si="15"/>
        <v>0.06565841360803726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808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775</v>
      </c>
      <c r="C144" s="361">
        <f>C118+C133</f>
        <v>182899480</v>
      </c>
      <c r="D144" s="361">
        <f>LN_ID1+LN_ID14</f>
        <v>223090441</v>
      </c>
      <c r="E144" s="361">
        <f>D144-C144</f>
        <v>40190961</v>
      </c>
      <c r="F144" s="362">
        <f>IF(C144=0,0,E144/C144)</f>
        <v>0.21974344049529282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776</v>
      </c>
      <c r="C145" s="361">
        <f>C119+C134</f>
        <v>66455454</v>
      </c>
      <c r="D145" s="361">
        <f>LN_1D2+LN_ID15</f>
        <v>71808003</v>
      </c>
      <c r="E145" s="361">
        <f>D145-C145</f>
        <v>5352549</v>
      </c>
      <c r="F145" s="362">
        <f>IF(C145=0,0,E145/C145)</f>
        <v>0.08054341183193181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777</v>
      </c>
      <c r="C146" s="361">
        <f>C144-C145</f>
        <v>116444026</v>
      </c>
      <c r="D146" s="361">
        <f>LN_ID23-LN_ID24</f>
        <v>151282438</v>
      </c>
      <c r="E146" s="361">
        <f>D146-C146</f>
        <v>34838412</v>
      </c>
      <c r="F146" s="362">
        <f>IF(C146=0,0,E146/C146)</f>
        <v>0.29918591100585956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786</v>
      </c>
      <c r="C148" s="361">
        <f>C127+C141</f>
        <v>27812680.434211545</v>
      </c>
      <c r="D148" s="361">
        <f>LN_ID10+LN_ID22</f>
        <v>35060416.61459693</v>
      </c>
      <c r="E148" s="361">
        <f>D148-C148</f>
        <v>7247736.180385388</v>
      </c>
      <c r="F148" s="415">
        <f>IF(C148=0,0,E148/C148)</f>
        <v>0.2605910709515853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498</v>
      </c>
      <c r="B150" s="356" t="s">
        <v>809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810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759</v>
      </c>
      <c r="C153" s="361">
        <v>48381580</v>
      </c>
      <c r="D153" s="361">
        <v>49341390</v>
      </c>
      <c r="E153" s="361">
        <f aca="true" t="shared" si="16" ref="E153:E165">D153-C153</f>
        <v>959810</v>
      </c>
      <c r="F153" s="362">
        <f aca="true" t="shared" si="17" ref="F153:F165">IF(C153=0,0,E153/C153)</f>
        <v>0.01983833516805363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760</v>
      </c>
      <c r="C154" s="361">
        <v>8347112</v>
      </c>
      <c r="D154" s="361">
        <v>7516434</v>
      </c>
      <c r="E154" s="361">
        <f t="shared" si="16"/>
        <v>-830678</v>
      </c>
      <c r="F154" s="362">
        <f t="shared" si="17"/>
        <v>-0.09951681491754273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761</v>
      </c>
      <c r="C155" s="366">
        <f>IF(C153=0,0,C154/C153)</f>
        <v>0.17252665167197928</v>
      </c>
      <c r="D155" s="366">
        <f>IF(LN_IE1=0,0,LN_IE2/LN_IE1)</f>
        <v>0.15233527065208338</v>
      </c>
      <c r="E155" s="367">
        <f t="shared" si="16"/>
        <v>-0.0201913810198959</v>
      </c>
      <c r="F155" s="362">
        <f t="shared" si="17"/>
        <v>-0.11703340222637183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294</v>
      </c>
      <c r="C156" s="419">
        <v>1918</v>
      </c>
      <c r="D156" s="419">
        <v>1888</v>
      </c>
      <c r="E156" s="419">
        <f t="shared" si="16"/>
        <v>-30</v>
      </c>
      <c r="F156" s="362">
        <f t="shared" si="17"/>
        <v>-0.01564129301355579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762</v>
      </c>
      <c r="C157" s="372">
        <v>1.167</v>
      </c>
      <c r="D157" s="372">
        <v>1.2134</v>
      </c>
      <c r="E157" s="373">
        <f t="shared" si="16"/>
        <v>0.0464</v>
      </c>
      <c r="F157" s="362">
        <f t="shared" si="17"/>
        <v>0.039760068551842324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763</v>
      </c>
      <c r="C158" s="376">
        <f>C156*C157</f>
        <v>2238.306</v>
      </c>
      <c r="D158" s="376">
        <f>LN_IE4*LN_IE5</f>
        <v>2290.8992</v>
      </c>
      <c r="E158" s="376">
        <f t="shared" si="16"/>
        <v>52.5931999999998</v>
      </c>
      <c r="F158" s="362">
        <f t="shared" si="17"/>
        <v>0.02349687665582802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764</v>
      </c>
      <c r="C159" s="378">
        <f>IF(C158=0,0,C154/C158)</f>
        <v>3729.2095003989625</v>
      </c>
      <c r="D159" s="378">
        <f>IF(LN_IE6=0,0,LN_IE2/LN_IE6)</f>
        <v>3280.997260813571</v>
      </c>
      <c r="E159" s="378">
        <f t="shared" si="16"/>
        <v>-448.21223958539167</v>
      </c>
      <c r="F159" s="362">
        <f t="shared" si="17"/>
        <v>-0.12018961110590341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811</v>
      </c>
      <c r="C160" s="378">
        <f>C48-C159</f>
        <v>4553.056549200645</v>
      </c>
      <c r="D160" s="378">
        <f>LN_IB7-LN_IE7</f>
        <v>6100.365590726144</v>
      </c>
      <c r="E160" s="378">
        <f t="shared" si="16"/>
        <v>1547.3090415254983</v>
      </c>
      <c r="F160" s="362">
        <f t="shared" si="17"/>
        <v>0.33983962746896934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812</v>
      </c>
      <c r="C161" s="378">
        <f>C21-C159</f>
        <v>4973.979315565101</v>
      </c>
      <c r="D161" s="378">
        <f>LN_IA7-LN_IE7</f>
        <v>5593.007517377195</v>
      </c>
      <c r="E161" s="378">
        <f t="shared" si="16"/>
        <v>619.0282018120934</v>
      </c>
      <c r="F161" s="362">
        <f t="shared" si="17"/>
        <v>0.12445331243637563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781</v>
      </c>
      <c r="C162" s="391">
        <f>C161*C158</f>
        <v>11133287.74590526</v>
      </c>
      <c r="D162" s="391">
        <f>LN_IE9*LN_IE6</f>
        <v>12813016.4471534</v>
      </c>
      <c r="E162" s="391">
        <f t="shared" si="16"/>
        <v>1679728.701248141</v>
      </c>
      <c r="F162" s="362">
        <f t="shared" si="17"/>
        <v>0.15087445322393042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296</v>
      </c>
      <c r="C163" s="369">
        <v>10917</v>
      </c>
      <c r="D163" s="369">
        <v>10525</v>
      </c>
      <c r="E163" s="419">
        <f t="shared" si="16"/>
        <v>-392</v>
      </c>
      <c r="F163" s="362">
        <f t="shared" si="17"/>
        <v>-0.035907300540441514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765</v>
      </c>
      <c r="C164" s="378">
        <f>IF(C163=0,0,C154/C163)</f>
        <v>764.5976000732802</v>
      </c>
      <c r="D164" s="378">
        <f>IF(LN_IE11=0,0,LN_IE2/LN_IE11)</f>
        <v>714.1504988123515</v>
      </c>
      <c r="E164" s="378">
        <f t="shared" si="16"/>
        <v>-50.44710126092866</v>
      </c>
      <c r="F164" s="362">
        <f t="shared" si="17"/>
        <v>-0.06597862883181131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766</v>
      </c>
      <c r="C165" s="379">
        <f>IF(C156=0,0,C163/C156)</f>
        <v>5.691866527632951</v>
      </c>
      <c r="D165" s="379">
        <f>IF(LN_IE4=0,0,LN_IE11/LN_IE4)</f>
        <v>5.5746822033898304</v>
      </c>
      <c r="E165" s="379">
        <f t="shared" si="16"/>
        <v>-0.11718432424312031</v>
      </c>
      <c r="F165" s="362">
        <f t="shared" si="17"/>
        <v>-0.02058803095157138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813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768</v>
      </c>
      <c r="C168" s="424">
        <v>17425084</v>
      </c>
      <c r="D168" s="424">
        <v>21216679</v>
      </c>
      <c r="E168" s="424">
        <f aca="true" t="shared" si="18" ref="E168:E176">D168-C168</f>
        <v>3791595</v>
      </c>
      <c r="F168" s="362">
        <f aca="true" t="shared" si="19" ref="F168:F176">IF(C168=0,0,E168/C168)</f>
        <v>0.2175940730041818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769</v>
      </c>
      <c r="C169" s="424">
        <v>4251509</v>
      </c>
      <c r="D169" s="424">
        <v>4336291</v>
      </c>
      <c r="E169" s="424">
        <f t="shared" si="18"/>
        <v>84782</v>
      </c>
      <c r="F169" s="362">
        <f t="shared" si="19"/>
        <v>0.01994162543228769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770</v>
      </c>
      <c r="C170" s="366">
        <f>IF(C168=0,0,C169/C168)</f>
        <v>0.2439878625549237</v>
      </c>
      <c r="D170" s="366">
        <f>IF(LN_IE14=0,0,LN_IE15/LN_IE14)</f>
        <v>0.20438123233141248</v>
      </c>
      <c r="E170" s="367">
        <f t="shared" si="18"/>
        <v>-0.03960663022351121</v>
      </c>
      <c r="F170" s="362">
        <f t="shared" si="19"/>
        <v>-0.16233032991383098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771</v>
      </c>
      <c r="C171" s="366">
        <f>IF(C153=0,0,C168/C153)</f>
        <v>0.3601594656478767</v>
      </c>
      <c r="D171" s="366">
        <f>IF(LN_IE1=0,0,LN_IE14/LN_IE1)</f>
        <v>0.4299975943117938</v>
      </c>
      <c r="E171" s="367">
        <f t="shared" si="18"/>
        <v>0.06983812866391709</v>
      </c>
      <c r="F171" s="362">
        <f t="shared" si="19"/>
        <v>0.19390890792857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772</v>
      </c>
      <c r="C172" s="376">
        <f>C171*C156</f>
        <v>690.7858551126275</v>
      </c>
      <c r="D172" s="376">
        <f>LN_IE17*LN_IE4</f>
        <v>811.8354580606667</v>
      </c>
      <c r="E172" s="376">
        <f t="shared" si="18"/>
        <v>121.04960294803925</v>
      </c>
      <c r="F172" s="362">
        <f t="shared" si="19"/>
        <v>0.17523462886816496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773</v>
      </c>
      <c r="C173" s="378">
        <f>IF(C172=0,0,C169/C172)</f>
        <v>6154.597649233601</v>
      </c>
      <c r="D173" s="378">
        <f>IF(LN_IE18=0,0,LN_IE15/LN_IE18)</f>
        <v>5341.342210352135</v>
      </c>
      <c r="E173" s="378">
        <f t="shared" si="18"/>
        <v>-813.255438881466</v>
      </c>
      <c r="F173" s="362">
        <f t="shared" si="19"/>
        <v>-0.132137872405475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814</v>
      </c>
      <c r="C174" s="378">
        <f>C61-C173</f>
        <v>4204.506065386693</v>
      </c>
      <c r="D174" s="378">
        <f>LN_IB18-LN_IE19</f>
        <v>6825.165537719195</v>
      </c>
      <c r="E174" s="378">
        <f t="shared" si="18"/>
        <v>2620.6594723325015</v>
      </c>
      <c r="F174" s="362">
        <f t="shared" si="19"/>
        <v>0.6232978218076317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815</v>
      </c>
      <c r="C175" s="378">
        <f>C32-C173</f>
        <v>6865.349999174283</v>
      </c>
      <c r="D175" s="378">
        <f>LN_IA16-LN_IE19</f>
        <v>7006.830427302277</v>
      </c>
      <c r="E175" s="378">
        <f t="shared" si="18"/>
        <v>141.48042812799395</v>
      </c>
      <c r="F175" s="362">
        <f t="shared" si="19"/>
        <v>0.020607897360660453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784</v>
      </c>
      <c r="C176" s="353">
        <f>C175*C172</f>
        <v>4742486.669827083</v>
      </c>
      <c r="D176" s="353">
        <f>LN_IE21*LN_IE18</f>
        <v>5688393.389502361</v>
      </c>
      <c r="E176" s="353">
        <f t="shared" si="18"/>
        <v>945906.7196752783</v>
      </c>
      <c r="F176" s="362">
        <f t="shared" si="19"/>
        <v>0.19945374347457412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816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775</v>
      </c>
      <c r="C179" s="361">
        <f>C153+C168</f>
        <v>65806664</v>
      </c>
      <c r="D179" s="361">
        <f>LN_IE1+LN_IE14</f>
        <v>70558069</v>
      </c>
      <c r="E179" s="361">
        <f>D179-C179</f>
        <v>4751405</v>
      </c>
      <c r="F179" s="362">
        <f>IF(C179=0,0,E179/C179)</f>
        <v>0.07220249000921852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776</v>
      </c>
      <c r="C180" s="361">
        <f>C154+C169</f>
        <v>12598621</v>
      </c>
      <c r="D180" s="361">
        <f>LN_IE15+LN_IE2</f>
        <v>11852725</v>
      </c>
      <c r="E180" s="361">
        <f>D180-C180</f>
        <v>-745896</v>
      </c>
      <c r="F180" s="362">
        <f>IF(C180=0,0,E180/C180)</f>
        <v>-0.05920457484989825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777</v>
      </c>
      <c r="C181" s="361">
        <f>C179-C180</f>
        <v>53208043</v>
      </c>
      <c r="D181" s="361">
        <f>LN_IE23-LN_IE24</f>
        <v>58705344</v>
      </c>
      <c r="E181" s="361">
        <f>D181-C181</f>
        <v>5497301</v>
      </c>
      <c r="F181" s="362">
        <f>IF(C181=0,0,E181/C181)</f>
        <v>0.10331710564885839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817</v>
      </c>
      <c r="C183" s="361">
        <f>C162+C176</f>
        <v>15875774.415732343</v>
      </c>
      <c r="D183" s="361">
        <f>LN_IE10+LN_IE22</f>
        <v>18501409.836655762</v>
      </c>
      <c r="E183" s="353">
        <f>D183-C183</f>
        <v>2625635.4209234193</v>
      </c>
      <c r="F183" s="362">
        <f>IF(C183=0,0,E183/C183)</f>
        <v>0.1653862893341131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510</v>
      </c>
      <c r="B185" s="356" t="s">
        <v>818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819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759</v>
      </c>
      <c r="C188" s="361">
        <f>C118+C153</f>
        <v>172360396</v>
      </c>
      <c r="D188" s="361">
        <f>LN_ID1+LN_IE1</f>
        <v>200986600</v>
      </c>
      <c r="E188" s="361">
        <f aca="true" t="shared" si="20" ref="E188:E200">D188-C188</f>
        <v>28626204</v>
      </c>
      <c r="F188" s="362">
        <f aca="true" t="shared" si="21" ref="F188:F200">IF(C188=0,0,E188/C188)</f>
        <v>0.16608341976656865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760</v>
      </c>
      <c r="C189" s="361">
        <f>C119+C154</f>
        <v>54315397</v>
      </c>
      <c r="D189" s="361">
        <f>LN_1D2+LN_IE2</f>
        <v>58357937</v>
      </c>
      <c r="E189" s="361">
        <f t="shared" si="20"/>
        <v>4042540</v>
      </c>
      <c r="F189" s="362">
        <f t="shared" si="21"/>
        <v>0.07442714632095941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761</v>
      </c>
      <c r="C190" s="366">
        <f>IF(C188=0,0,C189/C188)</f>
        <v>0.3151268984088433</v>
      </c>
      <c r="D190" s="366">
        <f>IF(LN_IF1=0,0,LN_IF2/LN_IF1)</f>
        <v>0.29035735218168773</v>
      </c>
      <c r="E190" s="367">
        <f t="shared" si="20"/>
        <v>-0.024769546227155548</v>
      </c>
      <c r="F190" s="362">
        <f t="shared" si="21"/>
        <v>-0.07860181518056172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294</v>
      </c>
      <c r="C191" s="369">
        <f>C121+C156</f>
        <v>8174</v>
      </c>
      <c r="D191" s="369">
        <f>LN_ID4+LN_IE4</f>
        <v>8830</v>
      </c>
      <c r="E191" s="369">
        <f t="shared" si="20"/>
        <v>656</v>
      </c>
      <c r="F191" s="362">
        <f t="shared" si="21"/>
        <v>0.0802544653780279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762</v>
      </c>
      <c r="C192" s="372">
        <f>IF((C121+C156)=0,0,(C123+C158)/(C121+C156))</f>
        <v>1.0547991680939566</v>
      </c>
      <c r="D192" s="372">
        <f>IF((LN_ID4+LN_IE4)=0,0,(LN_ID6+LN_IE6)/(LN_ID4+LN_IE4))</f>
        <v>1.1078941789354473</v>
      </c>
      <c r="E192" s="373">
        <f t="shared" si="20"/>
        <v>0.05309501084149071</v>
      </c>
      <c r="F192" s="362">
        <f t="shared" si="21"/>
        <v>0.05033660667123436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763</v>
      </c>
      <c r="C193" s="376">
        <f>C123+C158</f>
        <v>8621.9284</v>
      </c>
      <c r="D193" s="376">
        <f>LN_IF4*LN_IF5</f>
        <v>9782.7056</v>
      </c>
      <c r="E193" s="376">
        <f t="shared" si="20"/>
        <v>1160.7771999999986</v>
      </c>
      <c r="F193" s="362">
        <f t="shared" si="21"/>
        <v>0.13463080950660627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764</v>
      </c>
      <c r="C194" s="378">
        <f>IF(C193=0,0,C189/C193)</f>
        <v>6299.680823143926</v>
      </c>
      <c r="D194" s="378">
        <f>IF(LN_IF6=0,0,LN_IF2/LN_IF6)</f>
        <v>5965.418912330348</v>
      </c>
      <c r="E194" s="378">
        <f t="shared" si="20"/>
        <v>-334.26191081357865</v>
      </c>
      <c r="F194" s="362">
        <f t="shared" si="21"/>
        <v>-0.05306013434610192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820</v>
      </c>
      <c r="C195" s="378">
        <f>C48-C194</f>
        <v>1982.5852264556815</v>
      </c>
      <c r="D195" s="378">
        <f>LN_IB7-LN_IF7</f>
        <v>3415.9439392093664</v>
      </c>
      <c r="E195" s="378">
        <f t="shared" si="20"/>
        <v>1433.3587127536848</v>
      </c>
      <c r="F195" s="362">
        <f t="shared" si="21"/>
        <v>0.7229745756333193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821</v>
      </c>
      <c r="C196" s="378">
        <f>C21-C194</f>
        <v>2403.5079928201376</v>
      </c>
      <c r="D196" s="378">
        <f>LN_IA7-LN_IF7</f>
        <v>2908.5858658604175</v>
      </c>
      <c r="E196" s="378">
        <f t="shared" si="20"/>
        <v>505.0778730402799</v>
      </c>
      <c r="F196" s="362">
        <f t="shared" si="21"/>
        <v>0.2101419569017745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781</v>
      </c>
      <c r="C197" s="391">
        <f>C127+C162</f>
        <v>20722873.822922938</v>
      </c>
      <c r="D197" s="391">
        <f>LN_IF9*LN_IF6</f>
        <v>28453839.23803355</v>
      </c>
      <c r="E197" s="391">
        <f t="shared" si="20"/>
        <v>7730965.415110614</v>
      </c>
      <c r="F197" s="362">
        <f t="shared" si="21"/>
        <v>0.3730643481773693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296</v>
      </c>
      <c r="C198" s="369">
        <f>C128+C163</f>
        <v>44465</v>
      </c>
      <c r="D198" s="369">
        <f>LN_ID11+LN_IE11</f>
        <v>47096</v>
      </c>
      <c r="E198" s="369">
        <f t="shared" si="20"/>
        <v>2631</v>
      </c>
      <c r="F198" s="362">
        <f t="shared" si="21"/>
        <v>0.05917013381311144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765</v>
      </c>
      <c r="C199" s="432">
        <f>IF(C198=0,0,C189/C198)</f>
        <v>1221.5314741931857</v>
      </c>
      <c r="D199" s="432">
        <f>IF(LN_IF11=0,0,LN_IF2/LN_IF11)</f>
        <v>1239.1272507219296</v>
      </c>
      <c r="E199" s="432">
        <f t="shared" si="20"/>
        <v>17.595776528743954</v>
      </c>
      <c r="F199" s="362">
        <f t="shared" si="21"/>
        <v>0.014404685348255853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766</v>
      </c>
      <c r="C200" s="379">
        <f>IF(C191=0,0,C198/C191)</f>
        <v>5.439809150966479</v>
      </c>
      <c r="D200" s="379">
        <f>IF(LN_IF4=0,0,LN_IF11/LN_IF4)</f>
        <v>5.333635334088335</v>
      </c>
      <c r="E200" s="379">
        <f t="shared" si="20"/>
        <v>-0.10617381687814387</v>
      </c>
      <c r="F200" s="362">
        <f t="shared" si="21"/>
        <v>-0.019517930488292996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822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768</v>
      </c>
      <c r="C203" s="361">
        <f>C133+C168</f>
        <v>76345748</v>
      </c>
      <c r="D203" s="361">
        <f>LN_ID14+LN_IE14</f>
        <v>92661910</v>
      </c>
      <c r="E203" s="361">
        <f aca="true" t="shared" si="22" ref="E203:E211">D203-C203</f>
        <v>16316162</v>
      </c>
      <c r="F203" s="362">
        <f aca="true" t="shared" si="23" ref="F203:F211">IF(C203=0,0,E203/C203)</f>
        <v>0.21371408922472016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769</v>
      </c>
      <c r="C204" s="361">
        <f>C134+C169</f>
        <v>24738678</v>
      </c>
      <c r="D204" s="361">
        <f>LN_ID15+LN_IE15</f>
        <v>25302791</v>
      </c>
      <c r="E204" s="361">
        <f t="shared" si="22"/>
        <v>564113</v>
      </c>
      <c r="F204" s="362">
        <f t="shared" si="23"/>
        <v>0.022802875723593637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770</v>
      </c>
      <c r="C205" s="366">
        <f>IF(C203=0,0,C204/C203)</f>
        <v>0.32403478449120704</v>
      </c>
      <c r="D205" s="366">
        <f>IF(LN_IF14=0,0,LN_IF15/LN_IF14)</f>
        <v>0.27306571815754715</v>
      </c>
      <c r="E205" s="367">
        <f t="shared" si="22"/>
        <v>-0.050969066333659885</v>
      </c>
      <c r="F205" s="362">
        <f t="shared" si="23"/>
        <v>-0.15729504600467661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771</v>
      </c>
      <c r="C206" s="366">
        <f>IF(C188=0,0,C203/C188)</f>
        <v>0.44294251911558613</v>
      </c>
      <c r="D206" s="366">
        <f>IF(LN_IF1=0,0,LN_IF14/LN_IF1)</f>
        <v>0.46103526304738723</v>
      </c>
      <c r="E206" s="367">
        <f t="shared" si="22"/>
        <v>0.018092743931801103</v>
      </c>
      <c r="F206" s="362">
        <f t="shared" si="23"/>
        <v>0.04084670843505044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772</v>
      </c>
      <c r="C207" s="376">
        <f>C137+C172</f>
        <v>3663.9363164301476</v>
      </c>
      <c r="D207" s="376">
        <f>LN_ID18+LN_IE18</f>
        <v>4082.4484474323717</v>
      </c>
      <c r="E207" s="376">
        <f t="shared" si="22"/>
        <v>418.5121310022241</v>
      </c>
      <c r="F207" s="362">
        <f t="shared" si="23"/>
        <v>0.11422472850455806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773</v>
      </c>
      <c r="C208" s="378">
        <f>IF(C207=0,0,C204/C207)</f>
        <v>6751.939952958415</v>
      </c>
      <c r="D208" s="378">
        <f>IF(LN_IF18=0,0,LN_IF15/LN_IF18)</f>
        <v>6197.945014079484</v>
      </c>
      <c r="E208" s="378">
        <f t="shared" si="22"/>
        <v>-553.994938878931</v>
      </c>
      <c r="F208" s="362">
        <f t="shared" si="23"/>
        <v>-0.08204974314621885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823</v>
      </c>
      <c r="C209" s="378">
        <f>C61-C208</f>
        <v>3607.163761661879</v>
      </c>
      <c r="D209" s="378">
        <f>LN_IB18-LN_IF19</f>
        <v>5968.562733991846</v>
      </c>
      <c r="E209" s="378">
        <f t="shared" si="22"/>
        <v>2361.3989723299665</v>
      </c>
      <c r="F209" s="362">
        <f t="shared" si="23"/>
        <v>0.6546414658041562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824</v>
      </c>
      <c r="C210" s="378">
        <f>C32-C208</f>
        <v>6268.007695449469</v>
      </c>
      <c r="D210" s="378">
        <f>LN_IA16-LN_IF19</f>
        <v>6150.227623574928</v>
      </c>
      <c r="E210" s="378">
        <f t="shared" si="22"/>
        <v>-117.78007187454114</v>
      </c>
      <c r="F210" s="362">
        <f t="shared" si="23"/>
        <v>-0.0187906712303574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784</v>
      </c>
      <c r="C211" s="391">
        <f>C141+C176</f>
        <v>22965581.027020946</v>
      </c>
      <c r="D211" s="353">
        <f>LN_IF21*LN_IF18</f>
        <v>25107987.213219147</v>
      </c>
      <c r="E211" s="353">
        <f t="shared" si="22"/>
        <v>2142406.186198201</v>
      </c>
      <c r="F211" s="362">
        <f t="shared" si="23"/>
        <v>0.09328769795449456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825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775</v>
      </c>
      <c r="C214" s="361">
        <f>C188+C203</f>
        <v>248706144</v>
      </c>
      <c r="D214" s="361">
        <f>LN_IF1+LN_IF14</f>
        <v>293648510</v>
      </c>
      <c r="E214" s="361">
        <f>D214-C214</f>
        <v>44942366</v>
      </c>
      <c r="F214" s="362">
        <f>IF(C214=0,0,E214/C214)</f>
        <v>0.18070468737595802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776</v>
      </c>
      <c r="C215" s="361">
        <f>C189+C204</f>
        <v>79054075</v>
      </c>
      <c r="D215" s="361">
        <f>LN_IF2+LN_IF15</f>
        <v>83660728</v>
      </c>
      <c r="E215" s="361">
        <f>D215-C215</f>
        <v>4606653</v>
      </c>
      <c r="F215" s="362">
        <f>IF(C215=0,0,E215/C215)</f>
        <v>0.05827217635523532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777</v>
      </c>
      <c r="C216" s="361">
        <f>C214-C215</f>
        <v>169652069</v>
      </c>
      <c r="D216" s="361">
        <f>LN_IF23-LN_IF24</f>
        <v>209987782</v>
      </c>
      <c r="E216" s="361">
        <f>D216-C216</f>
        <v>40335713</v>
      </c>
      <c r="F216" s="362">
        <f>IF(C216=0,0,E216/C216)</f>
        <v>0.2377555029994948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522</v>
      </c>
      <c r="B218" s="356" t="s">
        <v>826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827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759</v>
      </c>
      <c r="C221" s="361">
        <v>4755733</v>
      </c>
      <c r="D221" s="361">
        <v>6679660</v>
      </c>
      <c r="E221" s="361">
        <f aca="true" t="shared" si="24" ref="E221:E230">D221-C221</f>
        <v>1923927</v>
      </c>
      <c r="F221" s="362">
        <f aca="true" t="shared" si="25" ref="F221:F230">IF(C221=0,0,E221/C221)</f>
        <v>0.40454899381441306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760</v>
      </c>
      <c r="C222" s="361">
        <v>2278226</v>
      </c>
      <c r="D222" s="361">
        <v>1922241</v>
      </c>
      <c r="E222" s="361">
        <f t="shared" si="24"/>
        <v>-355985</v>
      </c>
      <c r="F222" s="362">
        <f t="shared" si="25"/>
        <v>-0.15625534955706766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761</v>
      </c>
      <c r="C223" s="366">
        <f>IF(C221=0,0,C222/C221)</f>
        <v>0.47904834018226</v>
      </c>
      <c r="D223" s="366">
        <f>IF(LN_IG1=0,0,LN_IG2/LN_IG1)</f>
        <v>0.2877752759871011</v>
      </c>
      <c r="E223" s="367">
        <f t="shared" si="24"/>
        <v>-0.19127306419515888</v>
      </c>
      <c r="F223" s="362">
        <f t="shared" si="25"/>
        <v>-0.39927716714848993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294</v>
      </c>
      <c r="C224" s="369">
        <v>160</v>
      </c>
      <c r="D224" s="369">
        <v>186</v>
      </c>
      <c r="E224" s="369">
        <f t="shared" si="24"/>
        <v>26</v>
      </c>
      <c r="F224" s="362">
        <f t="shared" si="25"/>
        <v>0.1625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762</v>
      </c>
      <c r="C225" s="372">
        <v>1.3011</v>
      </c>
      <c r="D225" s="372">
        <v>1.24</v>
      </c>
      <c r="E225" s="373">
        <f t="shared" si="24"/>
        <v>-0.06109999999999993</v>
      </c>
      <c r="F225" s="362">
        <f t="shared" si="25"/>
        <v>-0.04696026439166854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763</v>
      </c>
      <c r="C226" s="376">
        <f>C224*C225</f>
        <v>208.176</v>
      </c>
      <c r="D226" s="376">
        <f>LN_IG3*LN_IG4</f>
        <v>230.64</v>
      </c>
      <c r="E226" s="376">
        <f t="shared" si="24"/>
        <v>22.464</v>
      </c>
      <c r="F226" s="362">
        <f t="shared" si="25"/>
        <v>0.10790869264468526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764</v>
      </c>
      <c r="C227" s="378">
        <f>IF(C226=0,0,C222/C226)</f>
        <v>10943.749519637231</v>
      </c>
      <c r="D227" s="378">
        <f>IF(LN_IG5=0,0,LN_IG2/LN_IG5)</f>
        <v>8334.378251821021</v>
      </c>
      <c r="E227" s="378">
        <f t="shared" si="24"/>
        <v>-2609.37126781621</v>
      </c>
      <c r="F227" s="362">
        <f t="shared" si="25"/>
        <v>-0.23843484932965706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296</v>
      </c>
      <c r="C228" s="369">
        <v>859</v>
      </c>
      <c r="D228" s="369">
        <v>1211</v>
      </c>
      <c r="E228" s="369">
        <f t="shared" si="24"/>
        <v>352</v>
      </c>
      <c r="F228" s="362">
        <f t="shared" si="25"/>
        <v>0.409778812572759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765</v>
      </c>
      <c r="C229" s="378">
        <f>IF(C228=0,0,C222/C228)</f>
        <v>2652.183934807916</v>
      </c>
      <c r="D229" s="378">
        <f>IF(LN_IG6=0,0,LN_IG2/LN_IG6)</f>
        <v>1587.3170933113129</v>
      </c>
      <c r="E229" s="378">
        <f t="shared" si="24"/>
        <v>-1064.8668414966032</v>
      </c>
      <c r="F229" s="362">
        <f t="shared" si="25"/>
        <v>-0.40150565257598775</v>
      </c>
      <c r="Q229" s="330"/>
      <c r="U229" s="375"/>
    </row>
    <row r="230" spans="1:21" ht="11.25" customHeight="1">
      <c r="A230" s="364">
        <v>10</v>
      </c>
      <c r="B230" s="360" t="s">
        <v>766</v>
      </c>
      <c r="C230" s="379">
        <f>IF(C224=0,0,C228/C224)</f>
        <v>5.36875</v>
      </c>
      <c r="D230" s="379">
        <f>IF(LN_IG3=0,0,LN_IG6/LN_IG3)</f>
        <v>6.510752688172043</v>
      </c>
      <c r="E230" s="379">
        <f t="shared" si="24"/>
        <v>1.1420026881720426</v>
      </c>
      <c r="F230" s="362">
        <f t="shared" si="25"/>
        <v>0.21271295705183563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828</v>
      </c>
      <c r="C232" s="330"/>
      <c r="Q232" s="330"/>
      <c r="U232" s="399"/>
    </row>
    <row r="233" spans="1:21" ht="11.25" customHeight="1">
      <c r="A233" s="364">
        <v>11</v>
      </c>
      <c r="B233" s="360" t="s">
        <v>768</v>
      </c>
      <c r="C233" s="361">
        <v>996082</v>
      </c>
      <c r="D233" s="361">
        <v>1586174</v>
      </c>
      <c r="E233" s="361">
        <f>D233-C233</f>
        <v>590092</v>
      </c>
      <c r="F233" s="362">
        <f>IF(C233=0,0,E233/C233)</f>
        <v>0.5924130744255995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769</v>
      </c>
      <c r="C234" s="361">
        <v>655809</v>
      </c>
      <c r="D234" s="361">
        <v>517232</v>
      </c>
      <c r="E234" s="361">
        <f>D234-C234</f>
        <v>-138577</v>
      </c>
      <c r="F234" s="362">
        <f>IF(C234=0,0,E234/C234)</f>
        <v>-0.2113069506517904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829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775</v>
      </c>
      <c r="C237" s="361">
        <f>C221+C233</f>
        <v>5751815</v>
      </c>
      <c r="D237" s="361">
        <f>LN_IG1+LN_IG9</f>
        <v>8265834</v>
      </c>
      <c r="E237" s="361">
        <f>D237-C237</f>
        <v>2514019</v>
      </c>
      <c r="F237" s="362">
        <f>IF(C237=0,0,E237/C237)</f>
        <v>0.43708272953841526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776</v>
      </c>
      <c r="C238" s="361">
        <f>C222+C234</f>
        <v>2934035</v>
      </c>
      <c r="D238" s="361">
        <f>LN_IG2+LN_IG10</f>
        <v>2439473</v>
      </c>
      <c r="E238" s="361">
        <f>D238-C238</f>
        <v>-494562</v>
      </c>
      <c r="F238" s="362">
        <f>IF(C238=0,0,E238/C238)</f>
        <v>-0.16856036141354824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777</v>
      </c>
      <c r="C239" s="361">
        <f>C237-C238</f>
        <v>2817780</v>
      </c>
      <c r="D239" s="361">
        <f>LN_IG13-LN_IG14</f>
        <v>5826361</v>
      </c>
      <c r="E239" s="361">
        <f>D239-C239</f>
        <v>3008581</v>
      </c>
      <c r="F239" s="362">
        <f>IF(C239=0,0,E239/C239)</f>
        <v>1.067713235241928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526</v>
      </c>
      <c r="B241" s="356" t="s">
        <v>830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831</v>
      </c>
      <c r="C243" s="361">
        <v>123220701</v>
      </c>
      <c r="D243" s="361">
        <v>122550875</v>
      </c>
      <c r="E243" s="353">
        <f>D243-C243</f>
        <v>-669826</v>
      </c>
      <c r="F243" s="415">
        <f>IF(C243=0,0,E243/C243)</f>
        <v>-0.00543598595498982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832</v>
      </c>
      <c r="C244" s="361">
        <v>803829428</v>
      </c>
      <c r="D244" s="361">
        <v>824177868</v>
      </c>
      <c r="E244" s="353">
        <f>D244-C244</f>
        <v>20348440</v>
      </c>
      <c r="F244" s="415">
        <f>IF(C244=0,0,E244/C244)</f>
        <v>0.02531437552694326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833</v>
      </c>
      <c r="C245" s="400">
        <v>4894491</v>
      </c>
      <c r="D245" s="400">
        <v>4364687</v>
      </c>
      <c r="E245" s="400">
        <f>D245-C245</f>
        <v>-529804</v>
      </c>
      <c r="F245" s="401">
        <f>IF(C245=0,0,E245/C245)</f>
        <v>-0.10824496357231017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834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835</v>
      </c>
      <c r="C248" s="353">
        <v>22281604</v>
      </c>
      <c r="D248" s="353">
        <v>23984656</v>
      </c>
      <c r="E248" s="353">
        <f>D248-C248</f>
        <v>1703052</v>
      </c>
      <c r="F248" s="362">
        <f>IF(C248=0,0,E248/C248)</f>
        <v>0.07643309700684026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836</v>
      </c>
      <c r="C249" s="353">
        <v>30682007</v>
      </c>
      <c r="D249" s="353">
        <v>23850531</v>
      </c>
      <c r="E249" s="353">
        <f>D249-C249</f>
        <v>-6831476</v>
      </c>
      <c r="F249" s="362">
        <f>IF(C249=0,0,E249/C249)</f>
        <v>-0.22265414384397997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837</v>
      </c>
      <c r="C250" s="353">
        <f>C248+C249</f>
        <v>52963611</v>
      </c>
      <c r="D250" s="353">
        <f>LN_IH4+LN_IH5</f>
        <v>47835187</v>
      </c>
      <c r="E250" s="353">
        <f>D250-C250</f>
        <v>-5128424</v>
      </c>
      <c r="F250" s="362">
        <f>IF(C250=0,0,E250/C250)</f>
        <v>-0.09682919844721312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838</v>
      </c>
      <c r="C251" s="353">
        <f>C250*C313</f>
        <v>21581746.251962114</v>
      </c>
      <c r="D251" s="353">
        <f>LN_IH6*LN_III10</f>
        <v>19043979.17306041</v>
      </c>
      <c r="E251" s="353">
        <f>D251-C251</f>
        <v>-2537767.0789017044</v>
      </c>
      <c r="F251" s="362">
        <f>IF(C251=0,0,E251/C251)</f>
        <v>-0.11758858848926472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839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775</v>
      </c>
      <c r="C254" s="353">
        <f>C188+C203</f>
        <v>248706144</v>
      </c>
      <c r="D254" s="353">
        <f>LN_IF23</f>
        <v>293648510</v>
      </c>
      <c r="E254" s="353">
        <f>D254-C254</f>
        <v>44942366</v>
      </c>
      <c r="F254" s="362">
        <f>IF(C254=0,0,E254/C254)</f>
        <v>0.18070468737595802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776</v>
      </c>
      <c r="C255" s="353">
        <f>C189+C204</f>
        <v>79054075</v>
      </c>
      <c r="D255" s="353">
        <f>LN_IF24</f>
        <v>83660728</v>
      </c>
      <c r="E255" s="353">
        <f>D255-C255</f>
        <v>4606653</v>
      </c>
      <c r="F255" s="362">
        <f>IF(C255=0,0,E255/C255)</f>
        <v>0.05827217635523532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840</v>
      </c>
      <c r="C256" s="353">
        <f>C254*C313</f>
        <v>101343408.9890878</v>
      </c>
      <c r="D256" s="353">
        <f>LN_IH8*LN_III10</f>
        <v>116906328.98832865</v>
      </c>
      <c r="E256" s="353">
        <f>D256-C256</f>
        <v>15562919.999240845</v>
      </c>
      <c r="F256" s="362">
        <f>IF(C256=0,0,E256/C256)</f>
        <v>0.15356617815093027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841</v>
      </c>
      <c r="C257" s="353">
        <f>C256-C255</f>
        <v>22289333.989087805</v>
      </c>
      <c r="D257" s="353">
        <f>LN_IH10-LN_IH9</f>
        <v>33245600.98832865</v>
      </c>
      <c r="E257" s="353">
        <f>D257-C257</f>
        <v>10956266.999240845</v>
      </c>
      <c r="F257" s="362">
        <f>IF(C257=0,0,E257/C257)</f>
        <v>0.4915475269294591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201</v>
      </c>
      <c r="B258" s="349" t="s">
        <v>842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171</v>
      </c>
      <c r="B260" s="359" t="s">
        <v>843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844</v>
      </c>
      <c r="C261" s="361">
        <f>C15+C42+C188+C221</f>
        <v>1115172714</v>
      </c>
      <c r="D261" s="361">
        <f>LN_IA1+LN_IB1+LN_IF1+LN_IG1</f>
        <v>1220439016</v>
      </c>
      <c r="E261" s="361">
        <f aca="true" t="shared" si="26" ref="E261:E274">D261-C261</f>
        <v>105266302</v>
      </c>
      <c r="F261" s="415">
        <f aca="true" t="shared" si="27" ref="F261:F274">IF(C261=0,0,E261/C261)</f>
        <v>0.0943946176932733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845</v>
      </c>
      <c r="C262" s="361">
        <f>C16+C43+C189+C222</f>
        <v>455103901</v>
      </c>
      <c r="D262" s="361">
        <f>+LN_IA2+LN_IB2+LN_IF2+LN_IG2</f>
        <v>497796276</v>
      </c>
      <c r="E262" s="361">
        <f t="shared" si="26"/>
        <v>42692375</v>
      </c>
      <c r="F262" s="415">
        <f t="shared" si="27"/>
        <v>0.0938079741926888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846</v>
      </c>
      <c r="C263" s="366">
        <f>IF(C261=0,0,C262/C261)</f>
        <v>0.4081017184930872</v>
      </c>
      <c r="D263" s="366">
        <f>IF(LN_IIA1=0,0,LN_IIA2/LN_IIA1)</f>
        <v>0.4078829580780954</v>
      </c>
      <c r="E263" s="367">
        <f t="shared" si="26"/>
        <v>-0.0002187604149918032</v>
      </c>
      <c r="F263" s="371">
        <f t="shared" si="27"/>
        <v>-0.0005360438466164135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847</v>
      </c>
      <c r="C264" s="369">
        <f>C18+C45+C191+C224</f>
        <v>39840</v>
      </c>
      <c r="D264" s="369">
        <f>LN_IA4+LN_IB4+LN_IF4+LN_IG3</f>
        <v>41188</v>
      </c>
      <c r="E264" s="369">
        <f t="shared" si="26"/>
        <v>1348</v>
      </c>
      <c r="F264" s="415">
        <f t="shared" si="27"/>
        <v>0.033835341365461846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848</v>
      </c>
      <c r="C265" s="439">
        <f>IF(C264=0,0,C266/C264)</f>
        <v>1.3965774347389557</v>
      </c>
      <c r="D265" s="439">
        <f>IF(LN_IIA4=0,0,LN_IIA6/LN_IIA4)</f>
        <v>1.409240557929494</v>
      </c>
      <c r="E265" s="439">
        <f t="shared" si="26"/>
        <v>0.012663123190538306</v>
      </c>
      <c r="F265" s="415">
        <f t="shared" si="27"/>
        <v>0.009067254615140807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849</v>
      </c>
      <c r="C266" s="376">
        <f>C20+C47+C193+C226</f>
        <v>55639.645</v>
      </c>
      <c r="D266" s="376">
        <f>LN_IA6+LN_IB6+LN_IF6+LN_IG5</f>
        <v>58043.8001</v>
      </c>
      <c r="E266" s="376">
        <f t="shared" si="26"/>
        <v>2404.1551000000036</v>
      </c>
      <c r="F266" s="415">
        <f t="shared" si="27"/>
        <v>0.04320938963575349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850</v>
      </c>
      <c r="C267" s="361">
        <f>C27+C56+C203+C233</f>
        <v>440699072</v>
      </c>
      <c r="D267" s="361">
        <f>LN_IA11+LN_IB13+LN_IF14+LN_IG9</f>
        <v>493992632</v>
      </c>
      <c r="E267" s="361">
        <f t="shared" si="26"/>
        <v>53293560</v>
      </c>
      <c r="F267" s="415">
        <f t="shared" si="27"/>
        <v>0.12092959433325061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771</v>
      </c>
      <c r="C268" s="366">
        <f>IF(C261=0,0,C267/C261)</f>
        <v>0.39518459021406793</v>
      </c>
      <c r="D268" s="366">
        <f>IF(LN_IIA1=0,0,LN_IIA7/LN_IIA1)</f>
        <v>0.40476633860745076</v>
      </c>
      <c r="E268" s="367">
        <f t="shared" si="26"/>
        <v>0.009581748393382827</v>
      </c>
      <c r="F268" s="371">
        <f t="shared" si="27"/>
        <v>0.02424626017981238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851</v>
      </c>
      <c r="C269" s="361">
        <f>C28+C57+C204+C234</f>
        <v>173992181</v>
      </c>
      <c r="D269" s="361">
        <f>LN_IA12+LN_IB14+LN_IF15+LN_IG10</f>
        <v>190722801</v>
      </c>
      <c r="E269" s="361">
        <f t="shared" si="26"/>
        <v>16730620</v>
      </c>
      <c r="F269" s="415">
        <f t="shared" si="27"/>
        <v>0.09615730950576451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770</v>
      </c>
      <c r="C270" s="366">
        <f>IF(C267=0,0,C269/C267)</f>
        <v>0.3948095016637566</v>
      </c>
      <c r="D270" s="366">
        <f>IF(LN_IIA7=0,0,LN_IIA9/LN_IIA7)</f>
        <v>0.38608430297397633</v>
      </c>
      <c r="E270" s="367">
        <f t="shared" si="26"/>
        <v>-0.008725198689780278</v>
      </c>
      <c r="F270" s="371">
        <f t="shared" si="27"/>
        <v>-0.022099768756860313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852</v>
      </c>
      <c r="C271" s="353">
        <f>C261+C267</f>
        <v>1555871786</v>
      </c>
      <c r="D271" s="353">
        <f>LN_IIA1+LN_IIA7</f>
        <v>1714431648</v>
      </c>
      <c r="E271" s="353">
        <f t="shared" si="26"/>
        <v>158559862</v>
      </c>
      <c r="F271" s="415">
        <f t="shared" si="27"/>
        <v>0.10191062234481575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853</v>
      </c>
      <c r="C272" s="353">
        <f>C262+C269</f>
        <v>629096082</v>
      </c>
      <c r="D272" s="353">
        <f>LN_IIA2+LN_IIA9</f>
        <v>688519077</v>
      </c>
      <c r="E272" s="353">
        <f t="shared" si="26"/>
        <v>59422995</v>
      </c>
      <c r="F272" s="415">
        <f t="shared" si="27"/>
        <v>0.09445774135341062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854</v>
      </c>
      <c r="C273" s="366">
        <f>IF(C271=0,0,C272/C271)</f>
        <v>0.4043367118426556</v>
      </c>
      <c r="D273" s="366">
        <f>IF(LN_IIA11=0,0,LN_IIA12/LN_IIA11)</f>
        <v>0.4016019406799938</v>
      </c>
      <c r="E273" s="367">
        <f t="shared" si="26"/>
        <v>-0.002734771162661853</v>
      </c>
      <c r="F273" s="371">
        <f t="shared" si="27"/>
        <v>-0.00676359846277344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296</v>
      </c>
      <c r="C274" s="421">
        <f>C22+C51+C198+C228</f>
        <v>212013</v>
      </c>
      <c r="D274" s="421">
        <f>LN_IA8+LN_IB10+LN_IF11+LN_IG6</f>
        <v>215958</v>
      </c>
      <c r="E274" s="442">
        <f t="shared" si="26"/>
        <v>3945</v>
      </c>
      <c r="F274" s="371">
        <f t="shared" si="27"/>
        <v>0.018607349549320088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183</v>
      </c>
      <c r="B276" s="359" t="s">
        <v>855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856</v>
      </c>
      <c r="C277" s="361">
        <f>C15+C188+C221</f>
        <v>736934166</v>
      </c>
      <c r="D277" s="361">
        <f>LN_IA1+LN_IF1+LN_IG1</f>
        <v>791246593</v>
      </c>
      <c r="E277" s="361">
        <f aca="true" t="shared" si="28" ref="E277:E291">D277-C277</f>
        <v>54312427</v>
      </c>
      <c r="F277" s="415">
        <f aca="true" t="shared" si="29" ref="F277:F291">IF(C277=0,0,E277/C277)</f>
        <v>0.07370051424647883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857</v>
      </c>
      <c r="C278" s="361">
        <f>C16+C189+C222</f>
        <v>280337819</v>
      </c>
      <c r="D278" s="361">
        <f>LN_IA2+LN_IF2+LN_IG2</f>
        <v>288970383</v>
      </c>
      <c r="E278" s="361">
        <f t="shared" si="28"/>
        <v>8632564</v>
      </c>
      <c r="F278" s="415">
        <f t="shared" si="29"/>
        <v>0.030793433546688183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858</v>
      </c>
      <c r="C279" s="366">
        <f>IF(C277=0,0,C278/C277)</f>
        <v>0.3804109402630139</v>
      </c>
      <c r="D279" s="366">
        <f>IF(D277=0,0,LN_IIB2/D277)</f>
        <v>0.36520900760453573</v>
      </c>
      <c r="E279" s="367">
        <f t="shared" si="28"/>
        <v>-0.01520193265847819</v>
      </c>
      <c r="F279" s="371">
        <f t="shared" si="29"/>
        <v>-0.03996187030785093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859</v>
      </c>
      <c r="C280" s="369">
        <f>C18+C191+C224</f>
        <v>23622</v>
      </c>
      <c r="D280" s="369">
        <f>LN_IA4+LN_IF4+LN_IG3</f>
        <v>24549</v>
      </c>
      <c r="E280" s="369">
        <f t="shared" si="28"/>
        <v>927</v>
      </c>
      <c r="F280" s="415">
        <f t="shared" si="29"/>
        <v>0.03924307848615697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860</v>
      </c>
      <c r="C281" s="439">
        <f>IF(C280=0,0,C282/C280)</f>
        <v>1.4621287443908222</v>
      </c>
      <c r="D281" s="439">
        <f>IF(LN_IIB4=0,0,LN_IIB6/LN_IIB4)</f>
        <v>1.4576620595543606</v>
      </c>
      <c r="E281" s="439">
        <f t="shared" si="28"/>
        <v>-0.004466684836461621</v>
      </c>
      <c r="F281" s="415">
        <f t="shared" si="29"/>
        <v>-0.003054918969069724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861</v>
      </c>
      <c r="C282" s="376">
        <f>C20+C193+C226</f>
        <v>34538.4052</v>
      </c>
      <c r="D282" s="376">
        <f>LN_IA6+LN_IF6+LN_IG5</f>
        <v>35784.145899999996</v>
      </c>
      <c r="E282" s="376">
        <f t="shared" si="28"/>
        <v>1245.7406999999948</v>
      </c>
      <c r="F282" s="415">
        <f t="shared" si="29"/>
        <v>0.03606827509221517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862</v>
      </c>
      <c r="C283" s="361">
        <f>C27+C203+C233</f>
        <v>221746611</v>
      </c>
      <c r="D283" s="361">
        <f>LN_IA11+LN_IF14+LN_IG9</f>
        <v>259598612</v>
      </c>
      <c r="E283" s="361">
        <f t="shared" si="28"/>
        <v>37852001</v>
      </c>
      <c r="F283" s="415">
        <f t="shared" si="29"/>
        <v>0.17069934385603755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863</v>
      </c>
      <c r="C284" s="366">
        <f>IF(C277=0,0,C283/C277)</f>
        <v>0.3009042343682027</v>
      </c>
      <c r="D284" s="366">
        <f>IF(D277=0,0,LN_IIB7/D277)</f>
        <v>0.3280881261247971</v>
      </c>
      <c r="E284" s="367">
        <f t="shared" si="28"/>
        <v>0.027183891756594414</v>
      </c>
      <c r="F284" s="371">
        <f t="shared" si="29"/>
        <v>0.09034067537690657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864</v>
      </c>
      <c r="C285" s="361">
        <f>C28+C204+C234</f>
        <v>76739066</v>
      </c>
      <c r="D285" s="361">
        <f>LN_IA12+LN_IF15+LN_IG10</f>
        <v>80165446</v>
      </c>
      <c r="E285" s="361">
        <f t="shared" si="28"/>
        <v>3426380</v>
      </c>
      <c r="F285" s="415">
        <f t="shared" si="29"/>
        <v>0.044649748538769025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865</v>
      </c>
      <c r="C286" s="366">
        <f>IF(C283=0,0,C285/C283)</f>
        <v>0.3460664659267329</v>
      </c>
      <c r="D286" s="366">
        <f>IF(LN_IIB7=0,0,LN_IIB9/LN_IIB7)</f>
        <v>0.3088053721951333</v>
      </c>
      <c r="E286" s="367">
        <f t="shared" si="28"/>
        <v>-0.03726109373159958</v>
      </c>
      <c r="F286" s="371">
        <f t="shared" si="29"/>
        <v>-0.10767033908303694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866</v>
      </c>
      <c r="C287" s="353">
        <f>C277+C283</f>
        <v>958680777</v>
      </c>
      <c r="D287" s="353">
        <f>D277+LN_IIB7</f>
        <v>1050845205</v>
      </c>
      <c r="E287" s="353">
        <f t="shared" si="28"/>
        <v>92164428</v>
      </c>
      <c r="F287" s="415">
        <f t="shared" si="29"/>
        <v>0.09613672268302924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867</v>
      </c>
      <c r="C288" s="353">
        <f>C278+C285</f>
        <v>357076885</v>
      </c>
      <c r="D288" s="353">
        <f>LN_IIB2+LN_IIB9</f>
        <v>369135829</v>
      </c>
      <c r="E288" s="353">
        <f t="shared" si="28"/>
        <v>12058944</v>
      </c>
      <c r="F288" s="415">
        <f t="shared" si="29"/>
        <v>0.033771281498660995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868</v>
      </c>
      <c r="C289" s="366">
        <f>IF(C287=0,0,C288/C287)</f>
        <v>0.3724669291037636</v>
      </c>
      <c r="D289" s="366">
        <f>IF(LN_IIB11=0,0,LN_IIB12/LN_IIB11)</f>
        <v>0.3512751709230095</v>
      </c>
      <c r="E289" s="367">
        <f t="shared" si="28"/>
        <v>-0.021191758180754083</v>
      </c>
      <c r="F289" s="371">
        <f t="shared" si="29"/>
        <v>-0.056895677239711076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296</v>
      </c>
      <c r="C290" s="421">
        <f>C22+C198+C228</f>
        <v>143778</v>
      </c>
      <c r="D290" s="421">
        <f>LN_IA8+LN_IF11+LN_IG6</f>
        <v>145073</v>
      </c>
      <c r="E290" s="442">
        <f t="shared" si="28"/>
        <v>1295</v>
      </c>
      <c r="F290" s="371">
        <f t="shared" si="29"/>
        <v>0.009006941256659573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869</v>
      </c>
      <c r="C291" s="361">
        <f>C287-C288</f>
        <v>601603892</v>
      </c>
      <c r="D291" s="429">
        <f>LN_IIB11-LN_IIB12</f>
        <v>681709376</v>
      </c>
      <c r="E291" s="353">
        <f t="shared" si="28"/>
        <v>80105484</v>
      </c>
      <c r="F291" s="415">
        <f t="shared" si="29"/>
        <v>0.1331532010766978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193</v>
      </c>
      <c r="B293" s="358" t="s">
        <v>766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757</v>
      </c>
      <c r="C294" s="379">
        <f>IF(C18=0,0,C22/C18)</f>
        <v>6.439952904238618</v>
      </c>
      <c r="D294" s="379">
        <f>IF(LN_IA4=0,0,LN_IA8/LN_IA4)</f>
        <v>6.2297045000965685</v>
      </c>
      <c r="E294" s="379">
        <f aca="true" t="shared" si="30" ref="E294:E300">D294-C294</f>
        <v>-0.2102484041420496</v>
      </c>
      <c r="F294" s="415">
        <f aca="true" t="shared" si="31" ref="F294:F300">IF(C294=0,0,E294/C294)</f>
        <v>-0.03264750647534538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778</v>
      </c>
      <c r="C295" s="379">
        <f>IF(C45=0,0,C51/C45)</f>
        <v>4.207362190159082</v>
      </c>
      <c r="D295" s="379">
        <f>IF(LN_IB4=0,0,(LN_IB10)/(LN_IB4))</f>
        <v>4.2601718853296475</v>
      </c>
      <c r="E295" s="379">
        <f t="shared" si="30"/>
        <v>0.05280969517056544</v>
      </c>
      <c r="F295" s="415">
        <f t="shared" si="31"/>
        <v>0.01255173497876794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793</v>
      </c>
      <c r="C296" s="379">
        <f>IF(C86=0,0,C93/C86)</f>
        <v>4.171686746987952</v>
      </c>
      <c r="D296" s="379">
        <f>IF(LN_IC4=0,0,LN_IC11/LN_IC4)</f>
        <v>4.399135446685879</v>
      </c>
      <c r="E296" s="379">
        <f t="shared" si="30"/>
        <v>0.22744869969792703</v>
      </c>
      <c r="F296" s="415">
        <f t="shared" si="31"/>
        <v>0.05452199877235507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271</v>
      </c>
      <c r="C297" s="379">
        <f>IF(C121=0,0,C128/C121)</f>
        <v>5.362531969309463</v>
      </c>
      <c r="D297" s="379">
        <f>IF(LN_ID4=0,0,LN_ID11/LN_ID4)</f>
        <v>5.268078363583982</v>
      </c>
      <c r="E297" s="379">
        <f t="shared" si="30"/>
        <v>-0.094453605725481</v>
      </c>
      <c r="F297" s="415">
        <f t="shared" si="31"/>
        <v>-0.017613621003297043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870</v>
      </c>
      <c r="C298" s="379">
        <f>IF(C156=0,0,C163/C156)</f>
        <v>5.691866527632951</v>
      </c>
      <c r="D298" s="379">
        <f>IF(LN_IE4=0,0,LN_IE11/LN_IE4)</f>
        <v>5.5746822033898304</v>
      </c>
      <c r="E298" s="379">
        <f t="shared" si="30"/>
        <v>-0.11718432424312031</v>
      </c>
      <c r="F298" s="415">
        <f t="shared" si="31"/>
        <v>-0.02058803095157138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574</v>
      </c>
      <c r="C299" s="379">
        <f>IF(C224=0,0,C228/C224)</f>
        <v>5.36875</v>
      </c>
      <c r="D299" s="379">
        <f>IF(LN_IG3=0,0,LN_IG6/LN_IG3)</f>
        <v>6.510752688172043</v>
      </c>
      <c r="E299" s="379">
        <f t="shared" si="30"/>
        <v>1.1420026881720426</v>
      </c>
      <c r="F299" s="415">
        <f t="shared" si="31"/>
        <v>0.21271295705183563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871</v>
      </c>
      <c r="C300" s="379">
        <f>IF(C264=0,0,C274/C264)</f>
        <v>5.321611445783133</v>
      </c>
      <c r="D300" s="379">
        <f>IF(LN_IIA4=0,0,LN_IIA14/LN_IIA4)</f>
        <v>5.243226182383219</v>
      </c>
      <c r="E300" s="379">
        <f t="shared" si="30"/>
        <v>-0.07838526339991425</v>
      </c>
      <c r="F300" s="415">
        <f t="shared" si="31"/>
        <v>-0.01472961041942043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292</v>
      </c>
      <c r="B302" s="446" t="s">
        <v>872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866</v>
      </c>
      <c r="C304" s="353">
        <f>C35+C66+C214+C221+C233</f>
        <v>1555871786</v>
      </c>
      <c r="D304" s="353">
        <f>LN_IIA11</f>
        <v>1714431648</v>
      </c>
      <c r="E304" s="353">
        <f aca="true" t="shared" si="32" ref="E304:E316">D304-C304</f>
        <v>158559862</v>
      </c>
      <c r="F304" s="362">
        <f>IF(C304=0,0,E304/C304)</f>
        <v>0.10191062234481575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869</v>
      </c>
      <c r="C305" s="353">
        <f>C291</f>
        <v>601603892</v>
      </c>
      <c r="D305" s="353">
        <f>LN_IIB14</f>
        <v>681709376</v>
      </c>
      <c r="E305" s="353">
        <f t="shared" si="32"/>
        <v>80105484</v>
      </c>
      <c r="F305" s="362">
        <f>IF(C305=0,0,E305/C305)</f>
        <v>0.1331532010766978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873</v>
      </c>
      <c r="C306" s="353">
        <f>C250</f>
        <v>52963611</v>
      </c>
      <c r="D306" s="353">
        <f>LN_IH6</f>
        <v>47835187</v>
      </c>
      <c r="E306" s="353">
        <f t="shared" si="32"/>
        <v>-5128424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874</v>
      </c>
      <c r="C307" s="353">
        <f>C73-C74</f>
        <v>262715977</v>
      </c>
      <c r="D307" s="353">
        <f>LN_IB32-LN_IB33</f>
        <v>296368008</v>
      </c>
      <c r="E307" s="353">
        <f t="shared" si="32"/>
        <v>33652031</v>
      </c>
      <c r="F307" s="362">
        <f aca="true" t="shared" si="33" ref="F307:F316">IF(C307=0,0,E307/C307)</f>
        <v>0.12809282246279222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875</v>
      </c>
      <c r="C308" s="353">
        <v>9492224</v>
      </c>
      <c r="D308" s="353">
        <v>10340167</v>
      </c>
      <c r="E308" s="353">
        <f t="shared" si="32"/>
        <v>847943</v>
      </c>
      <c r="F308" s="362">
        <f t="shared" si="33"/>
        <v>0.0893302770773214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876</v>
      </c>
      <c r="C309" s="353">
        <f>C305+C307+C308+C306</f>
        <v>926775704</v>
      </c>
      <c r="D309" s="353">
        <f>LN_III2+LN_III3+LN_III4+LN_III5</f>
        <v>1036252738</v>
      </c>
      <c r="E309" s="353">
        <f t="shared" si="32"/>
        <v>109477034</v>
      </c>
      <c r="F309" s="362">
        <f t="shared" si="33"/>
        <v>0.11812678464432426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877</v>
      </c>
      <c r="C310" s="353">
        <f>C304-C309</f>
        <v>629096082</v>
      </c>
      <c r="D310" s="353">
        <f>LN_III1-LN_III6</f>
        <v>678178910</v>
      </c>
      <c r="E310" s="353">
        <f t="shared" si="32"/>
        <v>49082828</v>
      </c>
      <c r="F310" s="362">
        <f t="shared" si="33"/>
        <v>0.07802119486097833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878</v>
      </c>
      <c r="C311" s="353">
        <f>C245</f>
        <v>4894491</v>
      </c>
      <c r="D311" s="353">
        <f>LN_IH3</f>
        <v>4364687</v>
      </c>
      <c r="E311" s="353">
        <f t="shared" si="32"/>
        <v>-529804</v>
      </c>
      <c r="F311" s="362">
        <f t="shared" si="33"/>
        <v>-0.10824496357231017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879</v>
      </c>
      <c r="C312" s="353">
        <f>C310+C311</f>
        <v>633990573</v>
      </c>
      <c r="D312" s="353">
        <f>LN_III7+LN_III8</f>
        <v>682543597</v>
      </c>
      <c r="E312" s="353">
        <f t="shared" si="32"/>
        <v>48553024</v>
      </c>
      <c r="F312" s="362">
        <f t="shared" si="33"/>
        <v>0.0765831955043912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880</v>
      </c>
      <c r="C313" s="448">
        <f>IF(C304=0,0,C312/C304)</f>
        <v>0.4074825308259687</v>
      </c>
      <c r="D313" s="448">
        <f>IF(LN_III1=0,0,LN_III9/LN_III1)</f>
        <v>0.39811654071845504</v>
      </c>
      <c r="E313" s="448">
        <f t="shared" si="32"/>
        <v>-0.009365990107513655</v>
      </c>
      <c r="F313" s="362">
        <f t="shared" si="33"/>
        <v>-0.022985010151303314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838</v>
      </c>
      <c r="C314" s="353">
        <f>C306*C313</f>
        <v>21581746.251962114</v>
      </c>
      <c r="D314" s="353">
        <f>D313*LN_III5</f>
        <v>19043979.17306041</v>
      </c>
      <c r="E314" s="353">
        <f t="shared" si="32"/>
        <v>-2537767.0789017044</v>
      </c>
      <c r="F314" s="362">
        <f t="shared" si="33"/>
        <v>-0.11758858848926472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841</v>
      </c>
      <c r="C315" s="353">
        <f>(C214*C313)-C215</f>
        <v>22289333.989087805</v>
      </c>
      <c r="D315" s="353">
        <f>D313*LN_IH8-LN_IH9</f>
        <v>33245600.98832865</v>
      </c>
      <c r="E315" s="353">
        <f t="shared" si="32"/>
        <v>10956266.999240845</v>
      </c>
      <c r="F315" s="362">
        <f t="shared" si="33"/>
        <v>0.4915475269294591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881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882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883</v>
      </c>
      <c r="C318" s="353">
        <f>C314+C315+C316</f>
        <v>43871080.241049916</v>
      </c>
      <c r="D318" s="353">
        <f>D314+D315+D316</f>
        <v>52289580.16138906</v>
      </c>
      <c r="E318" s="353">
        <f>D318-C318</f>
        <v>8418499.920339145</v>
      </c>
      <c r="F318" s="362">
        <f>IF(C318=0,0,E318/C318)</f>
        <v>0.19189178552439662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301</v>
      </c>
      <c r="B320" s="445" t="s">
        <v>884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271</v>
      </c>
      <c r="C322" s="353">
        <f>C141</f>
        <v>18223094.357193865</v>
      </c>
      <c r="D322" s="353">
        <f>LN_ID22</f>
        <v>19419593.82371679</v>
      </c>
      <c r="E322" s="353">
        <f>LN_IV2-C322</f>
        <v>1196499.4665229246</v>
      </c>
      <c r="F322" s="362">
        <f>IF(C322=0,0,E322/C322)</f>
        <v>0.06565841360803726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870</v>
      </c>
      <c r="C323" s="353">
        <f>C162+C176</f>
        <v>15875774.415732343</v>
      </c>
      <c r="D323" s="353">
        <f>LN_IE10+LN_IE22</f>
        <v>18501409.836655762</v>
      </c>
      <c r="E323" s="353">
        <f>LN_IV3-C323</f>
        <v>2625635.4209234193</v>
      </c>
      <c r="F323" s="362">
        <f>IF(C323=0,0,E323/C323)</f>
        <v>0.1653862893341131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885</v>
      </c>
      <c r="C324" s="353">
        <f>C92+C106</f>
        <v>18050570.108388223</v>
      </c>
      <c r="D324" s="353">
        <f>LN_IC10+LN_IC22</f>
        <v>17020408.83366136</v>
      </c>
      <c r="E324" s="353">
        <f>LN_IV1-C324</f>
        <v>-1030161.274726864</v>
      </c>
      <c r="F324" s="362">
        <f>IF(C324=0,0,E324/C324)</f>
        <v>-0.057070844219382355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886</v>
      </c>
      <c r="C325" s="429">
        <f>C324+C322+C323</f>
        <v>52149438.88131443</v>
      </c>
      <c r="D325" s="429">
        <f>LN_IV1+LN_IV2+LN_IV3</f>
        <v>54941412.49403392</v>
      </c>
      <c r="E325" s="353">
        <f>LN_IV4-C325</f>
        <v>2791973.612719491</v>
      </c>
      <c r="F325" s="362">
        <f>IF(C325=0,0,E325/C325)</f>
        <v>0.05353794158885721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887</v>
      </c>
      <c r="B327" s="446" t="s">
        <v>888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889</v>
      </c>
      <c r="C329" s="431">
        <v>17755751</v>
      </c>
      <c r="D329" s="431">
        <v>19836452</v>
      </c>
      <c r="E329" s="431">
        <f aca="true" t="shared" si="34" ref="E329:E335">D329-C329</f>
        <v>2080701</v>
      </c>
      <c r="F329" s="462">
        <f aca="true" t="shared" si="35" ref="F329:F335">IF(C329=0,0,E329/C329)</f>
        <v>0.11718462373120686</v>
      </c>
    </row>
    <row r="330" spans="1:6" s="333" customFormat="1" ht="11.25" customHeight="1">
      <c r="A330" s="364">
        <v>2</v>
      </c>
      <c r="B330" s="360" t="s">
        <v>890</v>
      </c>
      <c r="C330" s="429">
        <v>11571337</v>
      </c>
      <c r="D330" s="429">
        <v>14296570</v>
      </c>
      <c r="E330" s="431">
        <f t="shared" si="34"/>
        <v>2725233</v>
      </c>
      <c r="F330" s="463">
        <f t="shared" si="35"/>
        <v>0.23551582673635726</v>
      </c>
    </row>
    <row r="331" spans="1:6" s="333" customFormat="1" ht="11.25" customHeight="1">
      <c r="A331" s="339">
        <v>3</v>
      </c>
      <c r="B331" s="360" t="s">
        <v>891</v>
      </c>
      <c r="C331" s="429">
        <v>645561910</v>
      </c>
      <c r="D331" s="429">
        <v>707180334</v>
      </c>
      <c r="E331" s="431">
        <f t="shared" si="34"/>
        <v>61618424</v>
      </c>
      <c r="F331" s="462">
        <f t="shared" si="35"/>
        <v>0.09544928696304278</v>
      </c>
    </row>
    <row r="332" spans="1:6" s="333" customFormat="1" ht="11.25" customHeight="1">
      <c r="A332" s="364">
        <v>4</v>
      </c>
      <c r="B332" s="360" t="s">
        <v>892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893</v>
      </c>
      <c r="C333" s="429">
        <v>1555871786</v>
      </c>
      <c r="D333" s="429">
        <v>1714431648</v>
      </c>
      <c r="E333" s="431">
        <f t="shared" si="34"/>
        <v>158559862</v>
      </c>
      <c r="F333" s="462">
        <f t="shared" si="35"/>
        <v>0.10191062234481575</v>
      </c>
    </row>
    <row r="334" spans="1:6" s="333" customFormat="1" ht="11.25" customHeight="1">
      <c r="A334" s="339">
        <v>6</v>
      </c>
      <c r="B334" s="360" t="s">
        <v>894</v>
      </c>
      <c r="C334" s="429">
        <v>18247281</v>
      </c>
      <c r="D334" s="429">
        <v>6257785</v>
      </c>
      <c r="E334" s="429">
        <f t="shared" si="34"/>
        <v>-11989496</v>
      </c>
      <c r="F334" s="463">
        <f t="shared" si="35"/>
        <v>-0.6570565773607586</v>
      </c>
    </row>
    <row r="335" spans="1:6" s="333" customFormat="1" ht="11.25" customHeight="1">
      <c r="A335" s="364">
        <v>7</v>
      </c>
      <c r="B335" s="360" t="s">
        <v>895</v>
      </c>
      <c r="C335" s="429">
        <v>71210892</v>
      </c>
      <c r="D335" s="429">
        <v>54092972</v>
      </c>
      <c r="E335" s="429">
        <f t="shared" si="34"/>
        <v>-17117920</v>
      </c>
      <c r="F335" s="462">
        <f t="shared" si="35"/>
        <v>-0.24038345145290416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FILING&amp;RHARTFORD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1">
      <selection activeCell="K45" sqref="K45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157</v>
      </c>
      <c r="B2" s="710"/>
      <c r="C2" s="710"/>
      <c r="D2" s="710"/>
      <c r="E2" s="710"/>
    </row>
    <row r="3" spans="1:5" s="338" customFormat="1" ht="15.75" customHeight="1">
      <c r="A3" s="709" t="s">
        <v>748</v>
      </c>
      <c r="B3" s="709"/>
      <c r="C3" s="709"/>
      <c r="D3" s="709"/>
      <c r="E3" s="709"/>
    </row>
    <row r="4" spans="1:5" s="338" customFormat="1" ht="15.75" customHeight="1">
      <c r="A4" s="709" t="s">
        <v>159</v>
      </c>
      <c r="B4" s="709"/>
      <c r="C4" s="709"/>
      <c r="D4" s="709"/>
      <c r="E4" s="709"/>
    </row>
    <row r="5" spans="1:5" s="338" customFormat="1" ht="15.75" customHeight="1">
      <c r="A5" s="709" t="s">
        <v>896</v>
      </c>
      <c r="B5" s="709"/>
      <c r="C5" s="709"/>
      <c r="D5" s="709"/>
      <c r="E5" s="709"/>
    </row>
    <row r="6" spans="1:5" s="338" customFormat="1" ht="15.75" customHeight="1">
      <c r="A6" s="709" t="s">
        <v>897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165</v>
      </c>
      <c r="B9" s="493" t="s">
        <v>166</v>
      </c>
      <c r="C9" s="494" t="s">
        <v>898</v>
      </c>
      <c r="D9" s="494" t="s">
        <v>899</v>
      </c>
      <c r="E9" s="495" t="s">
        <v>900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169</v>
      </c>
      <c r="B11" s="501" t="s">
        <v>901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171</v>
      </c>
      <c r="B13" s="509" t="s">
        <v>902</v>
      </c>
      <c r="C13" s="510"/>
      <c r="D13" s="340"/>
      <c r="E13" s="511"/>
    </row>
    <row r="14" spans="1:5" s="506" customFormat="1" ht="12.75">
      <c r="A14" s="512">
        <v>1</v>
      </c>
      <c r="B14" s="511" t="s">
        <v>778</v>
      </c>
      <c r="C14" s="513">
        <v>378238548</v>
      </c>
      <c r="D14" s="513">
        <v>429192423</v>
      </c>
      <c r="E14" s="514">
        <f aca="true" t="shared" si="0" ref="E14:E22">D14-C14</f>
        <v>50953875</v>
      </c>
    </row>
    <row r="15" spans="1:5" s="506" customFormat="1" ht="12.75">
      <c r="A15" s="512">
        <v>2</v>
      </c>
      <c r="B15" s="511" t="s">
        <v>757</v>
      </c>
      <c r="C15" s="513">
        <v>559818037</v>
      </c>
      <c r="D15" s="515">
        <v>583580333</v>
      </c>
      <c r="E15" s="514">
        <f t="shared" si="0"/>
        <v>23762296</v>
      </c>
    </row>
    <row r="16" spans="1:5" s="506" customFormat="1" ht="12.75">
      <c r="A16" s="512">
        <v>3</v>
      </c>
      <c r="B16" s="511" t="s">
        <v>903</v>
      </c>
      <c r="C16" s="513">
        <v>172360396</v>
      </c>
      <c r="D16" s="515">
        <v>200986600</v>
      </c>
      <c r="E16" s="514">
        <f t="shared" si="0"/>
        <v>28626204</v>
      </c>
    </row>
    <row r="17" spans="1:5" s="506" customFormat="1" ht="12.75">
      <c r="A17" s="512">
        <v>4</v>
      </c>
      <c r="B17" s="511" t="s">
        <v>271</v>
      </c>
      <c r="C17" s="513">
        <v>123978816</v>
      </c>
      <c r="D17" s="515">
        <v>151645210</v>
      </c>
      <c r="E17" s="514">
        <f t="shared" si="0"/>
        <v>27666394</v>
      </c>
    </row>
    <row r="18" spans="1:5" s="506" customFormat="1" ht="12.75">
      <c r="A18" s="512">
        <v>5</v>
      </c>
      <c r="B18" s="511" t="s">
        <v>870</v>
      </c>
      <c r="C18" s="513">
        <v>48381580</v>
      </c>
      <c r="D18" s="515">
        <v>49341390</v>
      </c>
      <c r="E18" s="514">
        <f t="shared" si="0"/>
        <v>959810</v>
      </c>
    </row>
    <row r="19" spans="1:5" s="506" customFormat="1" ht="12.75">
      <c r="A19" s="512">
        <v>6</v>
      </c>
      <c r="B19" s="511" t="s">
        <v>574</v>
      </c>
      <c r="C19" s="513">
        <v>4755733</v>
      </c>
      <c r="D19" s="515">
        <v>6679660</v>
      </c>
      <c r="E19" s="514">
        <f t="shared" si="0"/>
        <v>1923927</v>
      </c>
    </row>
    <row r="20" spans="1:5" s="506" customFormat="1" ht="12.75">
      <c r="A20" s="512">
        <v>7</v>
      </c>
      <c r="B20" s="511" t="s">
        <v>885</v>
      </c>
      <c r="C20" s="513">
        <v>17429715</v>
      </c>
      <c r="D20" s="515">
        <v>19069035</v>
      </c>
      <c r="E20" s="514">
        <f t="shared" si="0"/>
        <v>1639320</v>
      </c>
    </row>
    <row r="21" spans="1:5" s="506" customFormat="1" ht="12.75">
      <c r="A21" s="512"/>
      <c r="B21" s="516" t="s">
        <v>904</v>
      </c>
      <c r="C21" s="517">
        <f>SUM(C15+C16+C19)</f>
        <v>736934166</v>
      </c>
      <c r="D21" s="517">
        <f>SUM(D15+D16+D19)</f>
        <v>791246593</v>
      </c>
      <c r="E21" s="517">
        <f t="shared" si="0"/>
        <v>54312427</v>
      </c>
    </row>
    <row r="22" spans="1:5" s="506" customFormat="1" ht="12.75">
      <c r="A22" s="512"/>
      <c r="B22" s="516" t="s">
        <v>844</v>
      </c>
      <c r="C22" s="517">
        <f>SUM(C14+C21)</f>
        <v>1115172714</v>
      </c>
      <c r="D22" s="517">
        <f>SUM(D14+D21)</f>
        <v>1220439016</v>
      </c>
      <c r="E22" s="517">
        <f t="shared" si="0"/>
        <v>105266302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183</v>
      </c>
      <c r="B24" s="509" t="s">
        <v>905</v>
      </c>
      <c r="C24" s="511"/>
      <c r="D24" s="511"/>
      <c r="E24" s="511"/>
    </row>
    <row r="25" spans="1:5" s="506" customFormat="1" ht="12.75">
      <c r="A25" s="512">
        <v>1</v>
      </c>
      <c r="B25" s="511" t="s">
        <v>778</v>
      </c>
      <c r="C25" s="513">
        <v>218952461</v>
      </c>
      <c r="D25" s="513">
        <v>234394020</v>
      </c>
      <c r="E25" s="514">
        <f aca="true" t="shared" si="1" ref="E25:E33">D25-C25</f>
        <v>15441559</v>
      </c>
    </row>
    <row r="26" spans="1:5" s="506" customFormat="1" ht="12.75">
      <c r="A26" s="512">
        <v>2</v>
      </c>
      <c r="B26" s="511" t="s">
        <v>757</v>
      </c>
      <c r="C26" s="513">
        <v>144404781</v>
      </c>
      <c r="D26" s="515">
        <v>165350528</v>
      </c>
      <c r="E26" s="514">
        <f t="shared" si="1"/>
        <v>20945747</v>
      </c>
    </row>
    <row r="27" spans="1:5" s="506" customFormat="1" ht="12.75">
      <c r="A27" s="512">
        <v>3</v>
      </c>
      <c r="B27" s="511" t="s">
        <v>903</v>
      </c>
      <c r="C27" s="513">
        <v>76345748</v>
      </c>
      <c r="D27" s="515">
        <v>92661910</v>
      </c>
      <c r="E27" s="514">
        <f t="shared" si="1"/>
        <v>16316162</v>
      </c>
    </row>
    <row r="28" spans="1:5" s="506" customFormat="1" ht="12.75">
      <c r="A28" s="512">
        <v>4</v>
      </c>
      <c r="B28" s="511" t="s">
        <v>271</v>
      </c>
      <c r="C28" s="513">
        <v>58920664</v>
      </c>
      <c r="D28" s="515">
        <v>71445231</v>
      </c>
      <c r="E28" s="514">
        <f t="shared" si="1"/>
        <v>12524567</v>
      </c>
    </row>
    <row r="29" spans="1:5" s="506" customFormat="1" ht="12.75">
      <c r="A29" s="512">
        <v>5</v>
      </c>
      <c r="B29" s="511" t="s">
        <v>870</v>
      </c>
      <c r="C29" s="513">
        <v>17425084</v>
      </c>
      <c r="D29" s="515">
        <v>21216679</v>
      </c>
      <c r="E29" s="514">
        <f t="shared" si="1"/>
        <v>3791595</v>
      </c>
    </row>
    <row r="30" spans="1:5" s="506" customFormat="1" ht="12.75">
      <c r="A30" s="512">
        <v>6</v>
      </c>
      <c r="B30" s="511" t="s">
        <v>574</v>
      </c>
      <c r="C30" s="513">
        <v>996082</v>
      </c>
      <c r="D30" s="515">
        <v>1586174</v>
      </c>
      <c r="E30" s="514">
        <f t="shared" si="1"/>
        <v>590092</v>
      </c>
    </row>
    <row r="31" spans="1:5" s="506" customFormat="1" ht="12.75">
      <c r="A31" s="512">
        <v>7</v>
      </c>
      <c r="B31" s="511" t="s">
        <v>885</v>
      </c>
      <c r="C31" s="514">
        <v>27708063</v>
      </c>
      <c r="D31" s="518">
        <v>26654052</v>
      </c>
      <c r="E31" s="514">
        <f t="shared" si="1"/>
        <v>-1054011</v>
      </c>
    </row>
    <row r="32" spans="1:5" s="506" customFormat="1" ht="12.75">
      <c r="A32" s="512"/>
      <c r="B32" s="516" t="s">
        <v>906</v>
      </c>
      <c r="C32" s="517">
        <f>SUM(C26+C27+C30)</f>
        <v>221746611</v>
      </c>
      <c r="D32" s="517">
        <f>SUM(D26+D27+D30)</f>
        <v>259598612</v>
      </c>
      <c r="E32" s="517">
        <f t="shared" si="1"/>
        <v>37852001</v>
      </c>
    </row>
    <row r="33" spans="1:5" s="506" customFormat="1" ht="12.75">
      <c r="A33" s="512"/>
      <c r="B33" s="516" t="s">
        <v>850</v>
      </c>
      <c r="C33" s="517">
        <f>SUM(C25+C32)</f>
        <v>440699072</v>
      </c>
      <c r="D33" s="517">
        <f>SUM(D25+D32)</f>
        <v>493992632</v>
      </c>
      <c r="E33" s="517">
        <f t="shared" si="1"/>
        <v>53293560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193</v>
      </c>
      <c r="B35" s="509" t="s">
        <v>775</v>
      </c>
      <c r="C35" s="514"/>
      <c r="D35" s="514"/>
      <c r="E35" s="511"/>
    </row>
    <row r="36" spans="1:5" s="506" customFormat="1" ht="12.75">
      <c r="A36" s="512">
        <v>1</v>
      </c>
      <c r="B36" s="511" t="s">
        <v>907</v>
      </c>
      <c r="C36" s="514">
        <f aca="true" t="shared" si="2" ref="C36:D42">C14+C25</f>
        <v>597191009</v>
      </c>
      <c r="D36" s="514">
        <f t="shared" si="2"/>
        <v>663586443</v>
      </c>
      <c r="E36" s="514">
        <f aca="true" t="shared" si="3" ref="E36:E44">D36-C36</f>
        <v>66395434</v>
      </c>
    </row>
    <row r="37" spans="1:5" s="506" customFormat="1" ht="12.75">
      <c r="A37" s="512">
        <v>2</v>
      </c>
      <c r="B37" s="511" t="s">
        <v>908</v>
      </c>
      <c r="C37" s="514">
        <f t="shared" si="2"/>
        <v>704222818</v>
      </c>
      <c r="D37" s="514">
        <f t="shared" si="2"/>
        <v>748930861</v>
      </c>
      <c r="E37" s="514">
        <f t="shared" si="3"/>
        <v>44708043</v>
      </c>
    </row>
    <row r="38" spans="1:5" s="506" customFormat="1" ht="12.75">
      <c r="A38" s="512">
        <v>3</v>
      </c>
      <c r="B38" s="511" t="s">
        <v>909</v>
      </c>
      <c r="C38" s="514">
        <f t="shared" si="2"/>
        <v>248706144</v>
      </c>
      <c r="D38" s="514">
        <f t="shared" si="2"/>
        <v>293648510</v>
      </c>
      <c r="E38" s="514">
        <f t="shared" si="3"/>
        <v>44942366</v>
      </c>
    </row>
    <row r="39" spans="1:5" s="506" customFormat="1" ht="12.75">
      <c r="A39" s="512">
        <v>4</v>
      </c>
      <c r="B39" s="511" t="s">
        <v>910</v>
      </c>
      <c r="C39" s="514">
        <f t="shared" si="2"/>
        <v>182899480</v>
      </c>
      <c r="D39" s="514">
        <f t="shared" si="2"/>
        <v>223090441</v>
      </c>
      <c r="E39" s="514">
        <f t="shared" si="3"/>
        <v>40190961</v>
      </c>
    </row>
    <row r="40" spans="1:5" s="506" customFormat="1" ht="12.75">
      <c r="A40" s="512">
        <v>5</v>
      </c>
      <c r="B40" s="511" t="s">
        <v>911</v>
      </c>
      <c r="C40" s="514">
        <f t="shared" si="2"/>
        <v>65806664</v>
      </c>
      <c r="D40" s="514">
        <f t="shared" si="2"/>
        <v>70558069</v>
      </c>
      <c r="E40" s="514">
        <f t="shared" si="3"/>
        <v>4751405</v>
      </c>
    </row>
    <row r="41" spans="1:5" s="506" customFormat="1" ht="12.75">
      <c r="A41" s="512">
        <v>6</v>
      </c>
      <c r="B41" s="511" t="s">
        <v>912</v>
      </c>
      <c r="C41" s="514">
        <f t="shared" si="2"/>
        <v>5751815</v>
      </c>
      <c r="D41" s="514">
        <f t="shared" si="2"/>
        <v>8265834</v>
      </c>
      <c r="E41" s="514">
        <f t="shared" si="3"/>
        <v>2514019</v>
      </c>
    </row>
    <row r="42" spans="1:5" s="506" customFormat="1" ht="12.75">
      <c r="A42" s="512">
        <v>7</v>
      </c>
      <c r="B42" s="511" t="s">
        <v>913</v>
      </c>
      <c r="C42" s="514">
        <f t="shared" si="2"/>
        <v>45137778</v>
      </c>
      <c r="D42" s="514">
        <f t="shared" si="2"/>
        <v>45723087</v>
      </c>
      <c r="E42" s="514">
        <f t="shared" si="3"/>
        <v>585309</v>
      </c>
    </row>
    <row r="43" spans="1:5" s="506" customFormat="1" ht="12.75">
      <c r="A43" s="512"/>
      <c r="B43" s="516" t="s">
        <v>914</v>
      </c>
      <c r="C43" s="517">
        <f>SUM(C37+C38+C41)</f>
        <v>958680777</v>
      </c>
      <c r="D43" s="517">
        <f>SUM(D37+D38+D41)</f>
        <v>1050845205</v>
      </c>
      <c r="E43" s="517">
        <f t="shared" si="3"/>
        <v>92164428</v>
      </c>
    </row>
    <row r="44" spans="1:5" s="506" customFormat="1" ht="12.75">
      <c r="A44" s="512"/>
      <c r="B44" s="516" t="s">
        <v>852</v>
      </c>
      <c r="C44" s="517">
        <f>SUM(C36+C43)</f>
        <v>1555871786</v>
      </c>
      <c r="D44" s="517">
        <f>SUM(D36+D43)</f>
        <v>1714431648</v>
      </c>
      <c r="E44" s="517">
        <f t="shared" si="3"/>
        <v>158559862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477</v>
      </c>
      <c r="B46" s="509" t="s">
        <v>915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778</v>
      </c>
      <c r="C47" s="513">
        <v>174766082</v>
      </c>
      <c r="D47" s="513">
        <v>208825893</v>
      </c>
      <c r="E47" s="514">
        <f aca="true" t="shared" si="4" ref="E47:E55">D47-C47</f>
        <v>34059811</v>
      </c>
    </row>
    <row r="48" spans="1:5" s="506" customFormat="1" ht="12.75">
      <c r="A48" s="512">
        <v>2</v>
      </c>
      <c r="B48" s="511" t="s">
        <v>757</v>
      </c>
      <c r="C48" s="513">
        <v>223744196</v>
      </c>
      <c r="D48" s="515">
        <v>228690205</v>
      </c>
      <c r="E48" s="514">
        <f t="shared" si="4"/>
        <v>4946009</v>
      </c>
    </row>
    <row r="49" spans="1:5" s="506" customFormat="1" ht="12.75">
      <c r="A49" s="512">
        <v>3</v>
      </c>
      <c r="B49" s="511" t="s">
        <v>903</v>
      </c>
      <c r="C49" s="513">
        <v>54315397</v>
      </c>
      <c r="D49" s="515">
        <v>58357937</v>
      </c>
      <c r="E49" s="514">
        <f t="shared" si="4"/>
        <v>4042540</v>
      </c>
    </row>
    <row r="50" spans="1:5" s="506" customFormat="1" ht="12.75">
      <c r="A50" s="512">
        <v>4</v>
      </c>
      <c r="B50" s="511" t="s">
        <v>271</v>
      </c>
      <c r="C50" s="513">
        <v>45968285</v>
      </c>
      <c r="D50" s="515">
        <v>50841503</v>
      </c>
      <c r="E50" s="514">
        <f t="shared" si="4"/>
        <v>4873218</v>
      </c>
    </row>
    <row r="51" spans="1:5" s="506" customFormat="1" ht="12.75">
      <c r="A51" s="512">
        <v>5</v>
      </c>
      <c r="B51" s="511" t="s">
        <v>870</v>
      </c>
      <c r="C51" s="513">
        <v>8347112</v>
      </c>
      <c r="D51" s="515">
        <v>7516434</v>
      </c>
      <c r="E51" s="514">
        <f t="shared" si="4"/>
        <v>-830678</v>
      </c>
    </row>
    <row r="52" spans="1:5" s="506" customFormat="1" ht="12.75">
      <c r="A52" s="512">
        <v>6</v>
      </c>
      <c r="B52" s="511" t="s">
        <v>574</v>
      </c>
      <c r="C52" s="513">
        <v>2278226</v>
      </c>
      <c r="D52" s="515">
        <v>1922241</v>
      </c>
      <c r="E52" s="514">
        <f t="shared" si="4"/>
        <v>-355985</v>
      </c>
    </row>
    <row r="53" spans="1:5" s="506" customFormat="1" ht="12.75">
      <c r="A53" s="512">
        <v>7</v>
      </c>
      <c r="B53" s="511" t="s">
        <v>885</v>
      </c>
      <c r="C53" s="513">
        <v>1388594</v>
      </c>
      <c r="D53" s="515">
        <v>1264171</v>
      </c>
      <c r="E53" s="514">
        <f t="shared" si="4"/>
        <v>-124423</v>
      </c>
    </row>
    <row r="54" spans="1:5" s="506" customFormat="1" ht="12.75">
      <c r="A54" s="512"/>
      <c r="B54" s="516" t="s">
        <v>916</v>
      </c>
      <c r="C54" s="517">
        <f>SUM(C48+C49+C52)</f>
        <v>280337819</v>
      </c>
      <c r="D54" s="517">
        <f>SUM(D48+D49+D52)</f>
        <v>288970383</v>
      </c>
      <c r="E54" s="517">
        <f t="shared" si="4"/>
        <v>8632564</v>
      </c>
    </row>
    <row r="55" spans="1:5" s="506" customFormat="1" ht="12.75">
      <c r="A55" s="512"/>
      <c r="B55" s="516" t="s">
        <v>845</v>
      </c>
      <c r="C55" s="517">
        <f>SUM(C47+C54)</f>
        <v>455103901</v>
      </c>
      <c r="D55" s="517">
        <f>SUM(D47+D54)</f>
        <v>497796276</v>
      </c>
      <c r="E55" s="517">
        <f t="shared" si="4"/>
        <v>42692375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498</v>
      </c>
      <c r="B57" s="509" t="s">
        <v>917</v>
      </c>
      <c r="C57" s="499"/>
      <c r="D57" s="515"/>
      <c r="E57" s="511"/>
    </row>
    <row r="58" spans="1:5" s="506" customFormat="1" ht="12.75">
      <c r="A58" s="512">
        <v>1</v>
      </c>
      <c r="B58" s="511" t="s">
        <v>778</v>
      </c>
      <c r="C58" s="513">
        <v>97253115</v>
      </c>
      <c r="D58" s="513">
        <v>110557355</v>
      </c>
      <c r="E58" s="514">
        <f aca="true" t="shared" si="5" ref="E58:E66">D58-C58</f>
        <v>13304240</v>
      </c>
    </row>
    <row r="59" spans="1:5" s="506" customFormat="1" ht="12.75">
      <c r="A59" s="512">
        <v>2</v>
      </c>
      <c r="B59" s="511" t="s">
        <v>757</v>
      </c>
      <c r="C59" s="513">
        <v>51344579</v>
      </c>
      <c r="D59" s="515">
        <v>54345423</v>
      </c>
      <c r="E59" s="514">
        <f t="shared" si="5"/>
        <v>3000844</v>
      </c>
    </row>
    <row r="60" spans="1:5" s="506" customFormat="1" ht="12.75">
      <c r="A60" s="512">
        <v>3</v>
      </c>
      <c r="B60" s="511" t="s">
        <v>903</v>
      </c>
      <c r="C60" s="513">
        <f>C61+C62</f>
        <v>24738678</v>
      </c>
      <c r="D60" s="515">
        <f>D61+D62</f>
        <v>25302791</v>
      </c>
      <c r="E60" s="514">
        <f t="shared" si="5"/>
        <v>564113</v>
      </c>
    </row>
    <row r="61" spans="1:5" s="506" customFormat="1" ht="12.75">
      <c r="A61" s="512">
        <v>4</v>
      </c>
      <c r="B61" s="511" t="s">
        <v>271</v>
      </c>
      <c r="C61" s="513">
        <v>20487169</v>
      </c>
      <c r="D61" s="515">
        <v>20966500</v>
      </c>
      <c r="E61" s="514">
        <f t="shared" si="5"/>
        <v>479331</v>
      </c>
    </row>
    <row r="62" spans="1:5" s="506" customFormat="1" ht="12.75">
      <c r="A62" s="512">
        <v>5</v>
      </c>
      <c r="B62" s="511" t="s">
        <v>870</v>
      </c>
      <c r="C62" s="513">
        <v>4251509</v>
      </c>
      <c r="D62" s="515">
        <v>4336291</v>
      </c>
      <c r="E62" s="514">
        <f t="shared" si="5"/>
        <v>84782</v>
      </c>
    </row>
    <row r="63" spans="1:5" s="506" customFormat="1" ht="12.75">
      <c r="A63" s="512">
        <v>6</v>
      </c>
      <c r="B63" s="511" t="s">
        <v>574</v>
      </c>
      <c r="C63" s="513">
        <v>655809</v>
      </c>
      <c r="D63" s="515">
        <v>517232</v>
      </c>
      <c r="E63" s="514">
        <f t="shared" si="5"/>
        <v>-138577</v>
      </c>
    </row>
    <row r="64" spans="1:5" s="506" customFormat="1" ht="12.75">
      <c r="A64" s="512">
        <v>7</v>
      </c>
      <c r="B64" s="511" t="s">
        <v>885</v>
      </c>
      <c r="C64" s="513">
        <v>2207452</v>
      </c>
      <c r="D64" s="515">
        <v>1767017</v>
      </c>
      <c r="E64" s="514">
        <f t="shared" si="5"/>
        <v>-440435</v>
      </c>
    </row>
    <row r="65" spans="1:5" s="506" customFormat="1" ht="12.75">
      <c r="A65" s="512"/>
      <c r="B65" s="516" t="s">
        <v>918</v>
      </c>
      <c r="C65" s="517">
        <f>SUM(C59+C60+C63)</f>
        <v>76739066</v>
      </c>
      <c r="D65" s="517">
        <f>SUM(D59+D60+D63)</f>
        <v>80165446</v>
      </c>
      <c r="E65" s="517">
        <f t="shared" si="5"/>
        <v>3426380</v>
      </c>
    </row>
    <row r="66" spans="1:5" s="506" customFormat="1" ht="12.75">
      <c r="A66" s="512"/>
      <c r="B66" s="516" t="s">
        <v>851</v>
      </c>
      <c r="C66" s="517">
        <f>SUM(C58+C65)</f>
        <v>173992181</v>
      </c>
      <c r="D66" s="517">
        <f>SUM(D58+D65)</f>
        <v>190722801</v>
      </c>
      <c r="E66" s="517">
        <f t="shared" si="5"/>
        <v>16730620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510</v>
      </c>
      <c r="B68" s="521" t="s">
        <v>776</v>
      </c>
      <c r="C68" s="511"/>
      <c r="D68" s="511"/>
      <c r="E68" s="511"/>
    </row>
    <row r="69" spans="1:5" s="506" customFormat="1" ht="12.75">
      <c r="A69" s="512">
        <v>1</v>
      </c>
      <c r="B69" s="511" t="s">
        <v>907</v>
      </c>
      <c r="C69" s="514">
        <f aca="true" t="shared" si="6" ref="C69:D75">C47+C58</f>
        <v>272019197</v>
      </c>
      <c r="D69" s="514">
        <f t="shared" si="6"/>
        <v>319383248</v>
      </c>
      <c r="E69" s="514">
        <f aca="true" t="shared" si="7" ref="E69:E77">D69-C69</f>
        <v>47364051</v>
      </c>
    </row>
    <row r="70" spans="1:5" s="506" customFormat="1" ht="12.75">
      <c r="A70" s="512">
        <v>2</v>
      </c>
      <c r="B70" s="511" t="s">
        <v>908</v>
      </c>
      <c r="C70" s="514">
        <f t="shared" si="6"/>
        <v>275088775</v>
      </c>
      <c r="D70" s="514">
        <f t="shared" si="6"/>
        <v>283035628</v>
      </c>
      <c r="E70" s="514">
        <f t="shared" si="7"/>
        <v>7946853</v>
      </c>
    </row>
    <row r="71" spans="1:5" s="506" customFormat="1" ht="12.75">
      <c r="A71" s="512">
        <v>3</v>
      </c>
      <c r="B71" s="511" t="s">
        <v>909</v>
      </c>
      <c r="C71" s="514">
        <f t="shared" si="6"/>
        <v>79054075</v>
      </c>
      <c r="D71" s="514">
        <f t="shared" si="6"/>
        <v>83660728</v>
      </c>
      <c r="E71" s="514">
        <f t="shared" si="7"/>
        <v>4606653</v>
      </c>
    </row>
    <row r="72" spans="1:5" s="506" customFormat="1" ht="12.75">
      <c r="A72" s="512">
        <v>4</v>
      </c>
      <c r="B72" s="511" t="s">
        <v>910</v>
      </c>
      <c r="C72" s="514">
        <f t="shared" si="6"/>
        <v>66455454</v>
      </c>
      <c r="D72" s="514">
        <f t="shared" si="6"/>
        <v>71808003</v>
      </c>
      <c r="E72" s="514">
        <f t="shared" si="7"/>
        <v>5352549</v>
      </c>
    </row>
    <row r="73" spans="1:5" s="506" customFormat="1" ht="12.75">
      <c r="A73" s="512">
        <v>5</v>
      </c>
      <c r="B73" s="511" t="s">
        <v>911</v>
      </c>
      <c r="C73" s="514">
        <f t="shared" si="6"/>
        <v>12598621</v>
      </c>
      <c r="D73" s="514">
        <f t="shared" si="6"/>
        <v>11852725</v>
      </c>
      <c r="E73" s="514">
        <f t="shared" si="7"/>
        <v>-745896</v>
      </c>
    </row>
    <row r="74" spans="1:5" s="506" customFormat="1" ht="12.75">
      <c r="A74" s="512">
        <v>6</v>
      </c>
      <c r="B74" s="511" t="s">
        <v>912</v>
      </c>
      <c r="C74" s="514">
        <f t="shared" si="6"/>
        <v>2934035</v>
      </c>
      <c r="D74" s="514">
        <f t="shared" si="6"/>
        <v>2439473</v>
      </c>
      <c r="E74" s="514">
        <f t="shared" si="7"/>
        <v>-494562</v>
      </c>
    </row>
    <row r="75" spans="1:5" s="506" customFormat="1" ht="12.75">
      <c r="A75" s="512">
        <v>7</v>
      </c>
      <c r="B75" s="511" t="s">
        <v>913</v>
      </c>
      <c r="C75" s="514">
        <f t="shared" si="6"/>
        <v>3596046</v>
      </c>
      <c r="D75" s="514">
        <f t="shared" si="6"/>
        <v>3031188</v>
      </c>
      <c r="E75" s="514">
        <f t="shared" si="7"/>
        <v>-564858</v>
      </c>
    </row>
    <row r="76" spans="1:5" s="506" customFormat="1" ht="12.75">
      <c r="A76" s="512"/>
      <c r="B76" s="516" t="s">
        <v>919</v>
      </c>
      <c r="C76" s="517">
        <f>SUM(C70+C71+C74)</f>
        <v>357076885</v>
      </c>
      <c r="D76" s="517">
        <f>SUM(D70+D71+D74)</f>
        <v>369135829</v>
      </c>
      <c r="E76" s="517">
        <f t="shared" si="7"/>
        <v>12058944</v>
      </c>
    </row>
    <row r="77" spans="1:5" s="506" customFormat="1" ht="12.75">
      <c r="A77" s="512"/>
      <c r="B77" s="516" t="s">
        <v>853</v>
      </c>
      <c r="C77" s="517">
        <f>SUM(C69+C76)</f>
        <v>629096082</v>
      </c>
      <c r="D77" s="517">
        <f>SUM(D69+D76)</f>
        <v>688519077</v>
      </c>
      <c r="E77" s="517">
        <f t="shared" si="7"/>
        <v>59422995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201</v>
      </c>
      <c r="B79" s="501" t="s">
        <v>920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171</v>
      </c>
      <c r="B81" s="522" t="s">
        <v>921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778</v>
      </c>
      <c r="C83" s="523">
        <f aca="true" t="shared" si="8" ref="C83:D89">IF(C$44=0,0,C14/C$44)</f>
        <v>0.24310393144438702</v>
      </c>
      <c r="D83" s="523">
        <f t="shared" si="8"/>
        <v>0.2503409357268234</v>
      </c>
      <c r="E83" s="523">
        <f aca="true" t="shared" si="9" ref="E83:E91">D83-C83</f>
        <v>0.007237004282436399</v>
      </c>
    </row>
    <row r="84" spans="1:5" s="506" customFormat="1" ht="12.75">
      <c r="A84" s="512">
        <v>2</v>
      </c>
      <c r="B84" s="511" t="s">
        <v>757</v>
      </c>
      <c r="C84" s="523">
        <f t="shared" si="8"/>
        <v>0.3598098776758717</v>
      </c>
      <c r="D84" s="523">
        <f t="shared" si="8"/>
        <v>0.3403928839512417</v>
      </c>
      <c r="E84" s="523">
        <f t="shared" si="9"/>
        <v>-0.019416993724630016</v>
      </c>
    </row>
    <row r="85" spans="1:5" s="506" customFormat="1" ht="12.75">
      <c r="A85" s="512">
        <v>3</v>
      </c>
      <c r="B85" s="511" t="s">
        <v>903</v>
      </c>
      <c r="C85" s="523">
        <f t="shared" si="8"/>
        <v>0.11078059101715725</v>
      </c>
      <c r="D85" s="523">
        <f t="shared" si="8"/>
        <v>0.1172322035903061</v>
      </c>
      <c r="E85" s="523">
        <f t="shared" si="9"/>
        <v>0.006451612573148857</v>
      </c>
    </row>
    <row r="86" spans="1:5" s="506" customFormat="1" ht="12.75">
      <c r="A86" s="512">
        <v>4</v>
      </c>
      <c r="B86" s="511" t="s">
        <v>271</v>
      </c>
      <c r="C86" s="523">
        <f t="shared" si="8"/>
        <v>0.0796844682933276</v>
      </c>
      <c r="D86" s="523">
        <f t="shared" si="8"/>
        <v>0.0884521760764883</v>
      </c>
      <c r="E86" s="523">
        <f t="shared" si="9"/>
        <v>0.008767707783160689</v>
      </c>
    </row>
    <row r="87" spans="1:5" s="506" customFormat="1" ht="12.75">
      <c r="A87" s="512">
        <v>5</v>
      </c>
      <c r="B87" s="511" t="s">
        <v>870</v>
      </c>
      <c r="C87" s="523">
        <f t="shared" si="8"/>
        <v>0.031096122723829635</v>
      </c>
      <c r="D87" s="523">
        <f t="shared" si="8"/>
        <v>0.028780027513817804</v>
      </c>
      <c r="E87" s="523">
        <f t="shared" si="9"/>
        <v>-0.0023160952100118315</v>
      </c>
    </row>
    <row r="88" spans="1:5" s="506" customFormat="1" ht="12.75">
      <c r="A88" s="512">
        <v>6</v>
      </c>
      <c r="B88" s="511" t="s">
        <v>574</v>
      </c>
      <c r="C88" s="523">
        <f t="shared" si="8"/>
        <v>0.0030566355420754447</v>
      </c>
      <c r="D88" s="523">
        <f t="shared" si="8"/>
        <v>0.0038961366630114844</v>
      </c>
      <c r="E88" s="523">
        <f t="shared" si="9"/>
        <v>0.0008395011209360397</v>
      </c>
    </row>
    <row r="89" spans="1:5" s="506" customFormat="1" ht="12.75">
      <c r="A89" s="512">
        <v>7</v>
      </c>
      <c r="B89" s="511" t="s">
        <v>885</v>
      </c>
      <c r="C89" s="523">
        <f t="shared" si="8"/>
        <v>0.011202539410275032</v>
      </c>
      <c r="D89" s="523">
        <f t="shared" si="8"/>
        <v>0.011122656900463377</v>
      </c>
      <c r="E89" s="523">
        <f t="shared" si="9"/>
        <v>-7.988250981165457E-05</v>
      </c>
    </row>
    <row r="90" spans="1:5" s="506" customFormat="1" ht="12.75">
      <c r="A90" s="512"/>
      <c r="B90" s="516" t="s">
        <v>922</v>
      </c>
      <c r="C90" s="524">
        <f>SUM(C84+C85+C88)</f>
        <v>0.4736471042351044</v>
      </c>
      <c r="D90" s="524">
        <f>SUM(D84+D85+D88)</f>
        <v>0.46152122420455927</v>
      </c>
      <c r="E90" s="525">
        <f t="shared" si="9"/>
        <v>-0.012125880030545155</v>
      </c>
    </row>
    <row r="91" spans="1:5" s="506" customFormat="1" ht="12.75">
      <c r="A91" s="512"/>
      <c r="B91" s="516" t="s">
        <v>923</v>
      </c>
      <c r="C91" s="524">
        <f>SUM(C83+C90)</f>
        <v>0.7167510356794915</v>
      </c>
      <c r="D91" s="524">
        <f>SUM(D83+D90)</f>
        <v>0.7118621599313827</v>
      </c>
      <c r="E91" s="525">
        <f t="shared" si="9"/>
        <v>-0.004888875748108812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183</v>
      </c>
      <c r="B93" s="522" t="s">
        <v>924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778</v>
      </c>
      <c r="C95" s="523">
        <f aca="true" t="shared" si="10" ref="C95:D101">IF(C$44=0,0,C25/C$44)</f>
        <v>0.1407265450599282</v>
      </c>
      <c r="D95" s="523">
        <f t="shared" si="10"/>
        <v>0.1367182064525211</v>
      </c>
      <c r="E95" s="523">
        <f aca="true" t="shared" si="11" ref="E95:E103">D95-C95</f>
        <v>-0.004008338607407097</v>
      </c>
    </row>
    <row r="96" spans="1:5" s="506" customFormat="1" ht="12.75">
      <c r="A96" s="512">
        <v>2</v>
      </c>
      <c r="B96" s="511" t="s">
        <v>757</v>
      </c>
      <c r="C96" s="523">
        <f t="shared" si="10"/>
        <v>0.0928127769263373</v>
      </c>
      <c r="D96" s="523">
        <f t="shared" si="10"/>
        <v>0.09644626438907175</v>
      </c>
      <c r="E96" s="523">
        <f t="shared" si="11"/>
        <v>0.0036334874627344527</v>
      </c>
    </row>
    <row r="97" spans="1:5" s="506" customFormat="1" ht="12.75">
      <c r="A97" s="512">
        <v>3</v>
      </c>
      <c r="B97" s="511" t="s">
        <v>903</v>
      </c>
      <c r="C97" s="523">
        <f t="shared" si="10"/>
        <v>0.049069434054253104</v>
      </c>
      <c r="D97" s="523">
        <f t="shared" si="10"/>
        <v>0.05404817981988163</v>
      </c>
      <c r="E97" s="523">
        <f t="shared" si="11"/>
        <v>0.0049787457656285256</v>
      </c>
    </row>
    <row r="98" spans="1:5" s="506" customFormat="1" ht="12.75">
      <c r="A98" s="512">
        <v>4</v>
      </c>
      <c r="B98" s="511" t="s">
        <v>271</v>
      </c>
      <c r="C98" s="523">
        <f t="shared" si="10"/>
        <v>0.037869871110317824</v>
      </c>
      <c r="D98" s="523">
        <f t="shared" si="10"/>
        <v>0.04167283722471273</v>
      </c>
      <c r="E98" s="523">
        <f t="shared" si="11"/>
        <v>0.003802966114394908</v>
      </c>
    </row>
    <row r="99" spans="1:5" s="506" customFormat="1" ht="12.75">
      <c r="A99" s="512">
        <v>5</v>
      </c>
      <c r="B99" s="511" t="s">
        <v>870</v>
      </c>
      <c r="C99" s="523">
        <f t="shared" si="10"/>
        <v>0.011199562943935279</v>
      </c>
      <c r="D99" s="523">
        <f t="shared" si="10"/>
        <v>0.012375342595168893</v>
      </c>
      <c r="E99" s="523">
        <f t="shared" si="11"/>
        <v>0.001175779651233614</v>
      </c>
    </row>
    <row r="100" spans="1:5" s="506" customFormat="1" ht="12.75">
      <c r="A100" s="512">
        <v>6</v>
      </c>
      <c r="B100" s="511" t="s">
        <v>574</v>
      </c>
      <c r="C100" s="523">
        <f t="shared" si="10"/>
        <v>0.0006402082799899811</v>
      </c>
      <c r="D100" s="523">
        <f t="shared" si="10"/>
        <v>0.0009251894071428154</v>
      </c>
      <c r="E100" s="523">
        <f t="shared" si="11"/>
        <v>0.0002849811271528343</v>
      </c>
    </row>
    <row r="101" spans="1:5" s="506" customFormat="1" ht="12.75">
      <c r="A101" s="512">
        <v>7</v>
      </c>
      <c r="B101" s="511" t="s">
        <v>885</v>
      </c>
      <c r="C101" s="523">
        <f t="shared" si="10"/>
        <v>0.01780870586466178</v>
      </c>
      <c r="D101" s="523">
        <f t="shared" si="10"/>
        <v>0.0155468735257505</v>
      </c>
      <c r="E101" s="523">
        <f t="shared" si="11"/>
        <v>-0.002261832338911281</v>
      </c>
    </row>
    <row r="102" spans="1:5" s="506" customFormat="1" ht="12.75">
      <c r="A102" s="512"/>
      <c r="B102" s="516" t="s">
        <v>925</v>
      </c>
      <c r="C102" s="524">
        <f>SUM(C96+C97+C100)</f>
        <v>0.14252241926058037</v>
      </c>
      <c r="D102" s="524">
        <f>SUM(D96+D97+D100)</f>
        <v>0.1514196336160962</v>
      </c>
      <c r="E102" s="525">
        <f t="shared" si="11"/>
        <v>0.008897214355515826</v>
      </c>
    </row>
    <row r="103" spans="1:5" s="506" customFormat="1" ht="12.75">
      <c r="A103" s="512"/>
      <c r="B103" s="516" t="s">
        <v>926</v>
      </c>
      <c r="C103" s="524">
        <f>SUM(C95+C102)</f>
        <v>0.2832489643205086</v>
      </c>
      <c r="D103" s="524">
        <f>SUM(D95+D102)</f>
        <v>0.2881378400686173</v>
      </c>
      <c r="E103" s="525">
        <f t="shared" si="11"/>
        <v>0.004888875748108701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927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193</v>
      </c>
      <c r="B107" s="522" t="s">
        <v>928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778</v>
      </c>
      <c r="C109" s="523">
        <f aca="true" t="shared" si="12" ref="C109:D115">IF(C$77=0,0,C47/C$77)</f>
        <v>0.2778050714358129</v>
      </c>
      <c r="D109" s="523">
        <f t="shared" si="12"/>
        <v>0.3032971779226387</v>
      </c>
      <c r="E109" s="523">
        <f aca="true" t="shared" si="13" ref="E109:E117">D109-C109</f>
        <v>0.025492106486825816</v>
      </c>
    </row>
    <row r="110" spans="1:5" s="506" customFormat="1" ht="12.75">
      <c r="A110" s="512">
        <v>2</v>
      </c>
      <c r="B110" s="511" t="s">
        <v>757</v>
      </c>
      <c r="C110" s="523">
        <f t="shared" si="12"/>
        <v>0.35565981477532077</v>
      </c>
      <c r="D110" s="523">
        <f t="shared" si="12"/>
        <v>0.33214795731796404</v>
      </c>
      <c r="E110" s="523">
        <f t="shared" si="13"/>
        <v>-0.023511857457356733</v>
      </c>
    </row>
    <row r="111" spans="1:5" s="506" customFormat="1" ht="12.75">
      <c r="A111" s="512">
        <v>3</v>
      </c>
      <c r="B111" s="511" t="s">
        <v>903</v>
      </c>
      <c r="C111" s="523">
        <f t="shared" si="12"/>
        <v>0.08633879395230441</v>
      </c>
      <c r="D111" s="523">
        <f t="shared" si="12"/>
        <v>0.08475863479959903</v>
      </c>
      <c r="E111" s="523">
        <f t="shared" si="13"/>
        <v>-0.0015801591527053876</v>
      </c>
    </row>
    <row r="112" spans="1:5" s="506" customFormat="1" ht="12.75">
      <c r="A112" s="512">
        <v>4</v>
      </c>
      <c r="B112" s="511" t="s">
        <v>271</v>
      </c>
      <c r="C112" s="523">
        <f t="shared" si="12"/>
        <v>0.07307037242047233</v>
      </c>
      <c r="D112" s="523">
        <f t="shared" si="12"/>
        <v>0.07384182181490957</v>
      </c>
      <c r="E112" s="523">
        <f t="shared" si="13"/>
        <v>0.0007714493944372403</v>
      </c>
    </row>
    <row r="113" spans="1:5" s="506" customFormat="1" ht="12.75">
      <c r="A113" s="512">
        <v>5</v>
      </c>
      <c r="B113" s="511" t="s">
        <v>870</v>
      </c>
      <c r="C113" s="523">
        <f t="shared" si="12"/>
        <v>0.01326842153183208</v>
      </c>
      <c r="D113" s="523">
        <f t="shared" si="12"/>
        <v>0.010916812984689456</v>
      </c>
      <c r="E113" s="523">
        <f t="shared" si="13"/>
        <v>-0.0023516085471426244</v>
      </c>
    </row>
    <row r="114" spans="1:5" s="506" customFormat="1" ht="12.75">
      <c r="A114" s="512">
        <v>6</v>
      </c>
      <c r="B114" s="511" t="s">
        <v>574</v>
      </c>
      <c r="C114" s="523">
        <f t="shared" si="12"/>
        <v>0.0036214277360576536</v>
      </c>
      <c r="D114" s="523">
        <f t="shared" si="12"/>
        <v>0.002791848569215461</v>
      </c>
      <c r="E114" s="523">
        <f t="shared" si="13"/>
        <v>-0.0008295791668421924</v>
      </c>
    </row>
    <row r="115" spans="1:5" s="506" customFormat="1" ht="12.75">
      <c r="A115" s="512">
        <v>7</v>
      </c>
      <c r="B115" s="511" t="s">
        <v>885</v>
      </c>
      <c r="C115" s="523">
        <f t="shared" si="12"/>
        <v>0.002207284451026036</v>
      </c>
      <c r="D115" s="523">
        <f t="shared" si="12"/>
        <v>0.0018360725827789954</v>
      </c>
      <c r="E115" s="523">
        <f t="shared" si="13"/>
        <v>-0.00037121186824704043</v>
      </c>
    </row>
    <row r="116" spans="1:5" s="506" customFormat="1" ht="12.75">
      <c r="A116" s="512"/>
      <c r="B116" s="516" t="s">
        <v>922</v>
      </c>
      <c r="C116" s="524">
        <f>SUM(C110+C111+C114)</f>
        <v>0.44562003646368287</v>
      </c>
      <c r="D116" s="524">
        <f>SUM(D110+D111+D114)</f>
        <v>0.41969844068677853</v>
      </c>
      <c r="E116" s="525">
        <f t="shared" si="13"/>
        <v>-0.025921595776904338</v>
      </c>
    </row>
    <row r="117" spans="1:5" s="506" customFormat="1" ht="12.75">
      <c r="A117" s="512"/>
      <c r="B117" s="516" t="s">
        <v>923</v>
      </c>
      <c r="C117" s="524">
        <f>SUM(C109+C116)</f>
        <v>0.7234251078994958</v>
      </c>
      <c r="D117" s="524">
        <f>SUM(D109+D116)</f>
        <v>0.7229956186094173</v>
      </c>
      <c r="E117" s="525">
        <f t="shared" si="13"/>
        <v>-0.00042948929007846637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477</v>
      </c>
      <c r="B119" s="522" t="s">
        <v>929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778</v>
      </c>
      <c r="C121" s="523">
        <f aca="true" t="shared" si="14" ref="C121:D127">IF(C$77=0,0,C58/C$77)</f>
        <v>0.15459183069590315</v>
      </c>
      <c r="D121" s="523">
        <f t="shared" si="14"/>
        <v>0.16057268228749455</v>
      </c>
      <c r="E121" s="523">
        <f aca="true" t="shared" si="15" ref="E121:E129">D121-C121</f>
        <v>0.005980851591591396</v>
      </c>
    </row>
    <row r="122" spans="1:5" s="506" customFormat="1" ht="12.75">
      <c r="A122" s="512">
        <v>2</v>
      </c>
      <c r="B122" s="511" t="s">
        <v>757</v>
      </c>
      <c r="C122" s="523">
        <f t="shared" si="14"/>
        <v>0.08161643422856352</v>
      </c>
      <c r="D122" s="523">
        <f t="shared" si="14"/>
        <v>0.07893088923082955</v>
      </c>
      <c r="E122" s="523">
        <f t="shared" si="15"/>
        <v>-0.002685544997733963</v>
      </c>
    </row>
    <row r="123" spans="1:5" s="506" customFormat="1" ht="12.75">
      <c r="A123" s="512">
        <v>3</v>
      </c>
      <c r="B123" s="511" t="s">
        <v>903</v>
      </c>
      <c r="C123" s="523">
        <f t="shared" si="14"/>
        <v>0.03932416479427383</v>
      </c>
      <c r="D123" s="523">
        <f t="shared" si="14"/>
        <v>0.03674958595228582</v>
      </c>
      <c r="E123" s="523">
        <f t="shared" si="15"/>
        <v>-0.002574578841988008</v>
      </c>
    </row>
    <row r="124" spans="1:5" s="506" customFormat="1" ht="12.75">
      <c r="A124" s="512">
        <v>4</v>
      </c>
      <c r="B124" s="511" t="s">
        <v>271</v>
      </c>
      <c r="C124" s="523">
        <f t="shared" si="14"/>
        <v>0.032566041318947525</v>
      </c>
      <c r="D124" s="523">
        <f t="shared" si="14"/>
        <v>0.030451589070494264</v>
      </c>
      <c r="E124" s="523">
        <f t="shared" si="15"/>
        <v>-0.0021144522484532607</v>
      </c>
    </row>
    <row r="125" spans="1:5" s="506" customFormat="1" ht="12.75">
      <c r="A125" s="512">
        <v>5</v>
      </c>
      <c r="B125" s="511" t="s">
        <v>870</v>
      </c>
      <c r="C125" s="523">
        <f t="shared" si="14"/>
        <v>0.006758123475326301</v>
      </c>
      <c r="D125" s="523">
        <f t="shared" si="14"/>
        <v>0.006297996881791556</v>
      </c>
      <c r="E125" s="523">
        <f t="shared" si="15"/>
        <v>-0.0004601265935347456</v>
      </c>
    </row>
    <row r="126" spans="1:5" s="506" customFormat="1" ht="12.75">
      <c r="A126" s="512">
        <v>6</v>
      </c>
      <c r="B126" s="511" t="s">
        <v>574</v>
      </c>
      <c r="C126" s="523">
        <f t="shared" si="14"/>
        <v>0.0010424623817638081</v>
      </c>
      <c r="D126" s="523">
        <f t="shared" si="14"/>
        <v>0.0007512239199728085</v>
      </c>
      <c r="E126" s="523">
        <f t="shared" si="15"/>
        <v>-0.0002912384617909996</v>
      </c>
    </row>
    <row r="127" spans="1:5" s="506" customFormat="1" ht="12.75">
      <c r="A127" s="512">
        <v>7</v>
      </c>
      <c r="B127" s="511" t="s">
        <v>885</v>
      </c>
      <c r="C127" s="523">
        <f t="shared" si="14"/>
        <v>0.003508926638013937</v>
      </c>
      <c r="D127" s="523">
        <f t="shared" si="14"/>
        <v>0.002566402383067158</v>
      </c>
      <c r="E127" s="523">
        <f t="shared" si="15"/>
        <v>-0.0009425242549467791</v>
      </c>
    </row>
    <row r="128" spans="1:5" s="506" customFormat="1" ht="12.75">
      <c r="A128" s="512"/>
      <c r="B128" s="516" t="s">
        <v>925</v>
      </c>
      <c r="C128" s="524">
        <f>SUM(C122+C123+C126)</f>
        <v>0.12198306140460116</v>
      </c>
      <c r="D128" s="524">
        <f>SUM(D122+D123+D126)</f>
        <v>0.11643169910308818</v>
      </c>
      <c r="E128" s="525">
        <f t="shared" si="15"/>
        <v>-0.005551362301512985</v>
      </c>
    </row>
    <row r="129" spans="1:5" s="506" customFormat="1" ht="12.75">
      <c r="A129" s="512"/>
      <c r="B129" s="516" t="s">
        <v>926</v>
      </c>
      <c r="C129" s="524">
        <f>SUM(C121+C128)</f>
        <v>0.27657489210050434</v>
      </c>
      <c r="D129" s="524">
        <f>SUM(D121+D128)</f>
        <v>0.2770043813905827</v>
      </c>
      <c r="E129" s="525">
        <f t="shared" si="15"/>
        <v>0.00042948929007835535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930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292</v>
      </c>
      <c r="B133" s="501" t="s">
        <v>931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171</v>
      </c>
      <c r="B135" s="509" t="s">
        <v>932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778</v>
      </c>
      <c r="C137" s="530">
        <v>16218</v>
      </c>
      <c r="D137" s="530">
        <v>16639</v>
      </c>
      <c r="E137" s="531">
        <f aca="true" t="shared" si="16" ref="E137:E145">D137-C137</f>
        <v>421</v>
      </c>
    </row>
    <row r="138" spans="1:5" s="506" customFormat="1" ht="12.75">
      <c r="A138" s="512">
        <v>2</v>
      </c>
      <c r="B138" s="511" t="s">
        <v>757</v>
      </c>
      <c r="C138" s="530">
        <v>15288</v>
      </c>
      <c r="D138" s="530">
        <v>15533</v>
      </c>
      <c r="E138" s="531">
        <f t="shared" si="16"/>
        <v>245</v>
      </c>
    </row>
    <row r="139" spans="1:5" s="506" customFormat="1" ht="12.75">
      <c r="A139" s="512">
        <v>3</v>
      </c>
      <c r="B139" s="511" t="s">
        <v>903</v>
      </c>
      <c r="C139" s="530">
        <f>C140+C141</f>
        <v>8174</v>
      </c>
      <c r="D139" s="530">
        <f>D140+D141</f>
        <v>8830</v>
      </c>
      <c r="E139" s="531">
        <f t="shared" si="16"/>
        <v>656</v>
      </c>
    </row>
    <row r="140" spans="1:5" s="506" customFormat="1" ht="12.75">
      <c r="A140" s="512">
        <v>4</v>
      </c>
      <c r="B140" s="511" t="s">
        <v>271</v>
      </c>
      <c r="C140" s="530">
        <v>6256</v>
      </c>
      <c r="D140" s="530">
        <v>6942</v>
      </c>
      <c r="E140" s="531">
        <f t="shared" si="16"/>
        <v>686</v>
      </c>
    </row>
    <row r="141" spans="1:5" s="506" customFormat="1" ht="12.75">
      <c r="A141" s="512">
        <v>5</v>
      </c>
      <c r="B141" s="511" t="s">
        <v>870</v>
      </c>
      <c r="C141" s="530">
        <v>1918</v>
      </c>
      <c r="D141" s="530">
        <v>1888</v>
      </c>
      <c r="E141" s="531">
        <f t="shared" si="16"/>
        <v>-30</v>
      </c>
    </row>
    <row r="142" spans="1:5" s="506" customFormat="1" ht="12.75">
      <c r="A142" s="512">
        <v>6</v>
      </c>
      <c r="B142" s="511" t="s">
        <v>574</v>
      </c>
      <c r="C142" s="530">
        <v>160</v>
      </c>
      <c r="D142" s="530">
        <v>186</v>
      </c>
      <c r="E142" s="531">
        <f t="shared" si="16"/>
        <v>26</v>
      </c>
    </row>
    <row r="143" spans="1:5" s="506" customFormat="1" ht="12.75">
      <c r="A143" s="512">
        <v>7</v>
      </c>
      <c r="B143" s="511" t="s">
        <v>885</v>
      </c>
      <c r="C143" s="530">
        <v>664</v>
      </c>
      <c r="D143" s="530">
        <v>694</v>
      </c>
      <c r="E143" s="531">
        <f t="shared" si="16"/>
        <v>30</v>
      </c>
    </row>
    <row r="144" spans="1:5" s="506" customFormat="1" ht="12.75">
      <c r="A144" s="512"/>
      <c r="B144" s="516" t="s">
        <v>933</v>
      </c>
      <c r="C144" s="532">
        <f>SUM(C138+C139+C142)</f>
        <v>23622</v>
      </c>
      <c r="D144" s="532">
        <f>SUM(D138+D139+D142)</f>
        <v>24549</v>
      </c>
      <c r="E144" s="533">
        <f t="shared" si="16"/>
        <v>927</v>
      </c>
    </row>
    <row r="145" spans="1:5" s="506" customFormat="1" ht="12.75">
      <c r="A145" s="512"/>
      <c r="B145" s="516" t="s">
        <v>847</v>
      </c>
      <c r="C145" s="532">
        <f>SUM(C137+C144)</f>
        <v>39840</v>
      </c>
      <c r="D145" s="532">
        <f>SUM(D137+D144)</f>
        <v>41188</v>
      </c>
      <c r="E145" s="533">
        <f t="shared" si="16"/>
        <v>1348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183</v>
      </c>
      <c r="B147" s="509" t="s">
        <v>296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778</v>
      </c>
      <c r="C149" s="534">
        <v>68235</v>
      </c>
      <c r="D149" s="534">
        <v>70885</v>
      </c>
      <c r="E149" s="531">
        <f aca="true" t="shared" si="17" ref="E149:E157">D149-C149</f>
        <v>2650</v>
      </c>
    </row>
    <row r="150" spans="1:5" s="506" customFormat="1" ht="12.75">
      <c r="A150" s="512">
        <v>2</v>
      </c>
      <c r="B150" s="511" t="s">
        <v>757</v>
      </c>
      <c r="C150" s="534">
        <v>98454</v>
      </c>
      <c r="D150" s="534">
        <v>96766</v>
      </c>
      <c r="E150" s="531">
        <f t="shared" si="17"/>
        <v>-1688</v>
      </c>
    </row>
    <row r="151" spans="1:5" s="506" customFormat="1" ht="12.75">
      <c r="A151" s="512">
        <v>3</v>
      </c>
      <c r="B151" s="511" t="s">
        <v>903</v>
      </c>
      <c r="C151" s="534">
        <f>C152+C153</f>
        <v>44465</v>
      </c>
      <c r="D151" s="534">
        <f>D152+D153</f>
        <v>47096</v>
      </c>
      <c r="E151" s="531">
        <f t="shared" si="17"/>
        <v>2631</v>
      </c>
    </row>
    <row r="152" spans="1:5" s="506" customFormat="1" ht="12.75">
      <c r="A152" s="512">
        <v>4</v>
      </c>
      <c r="B152" s="511" t="s">
        <v>271</v>
      </c>
      <c r="C152" s="534">
        <v>33548</v>
      </c>
      <c r="D152" s="534">
        <v>36571</v>
      </c>
      <c r="E152" s="531">
        <f t="shared" si="17"/>
        <v>3023</v>
      </c>
    </row>
    <row r="153" spans="1:5" s="506" customFormat="1" ht="12.75">
      <c r="A153" s="512">
        <v>5</v>
      </c>
      <c r="B153" s="511" t="s">
        <v>870</v>
      </c>
      <c r="C153" s="535">
        <v>10917</v>
      </c>
      <c r="D153" s="534">
        <v>10525</v>
      </c>
      <c r="E153" s="531">
        <f t="shared" si="17"/>
        <v>-392</v>
      </c>
    </row>
    <row r="154" spans="1:5" s="506" customFormat="1" ht="12.75">
      <c r="A154" s="512">
        <v>6</v>
      </c>
      <c r="B154" s="511" t="s">
        <v>574</v>
      </c>
      <c r="C154" s="534">
        <v>859</v>
      </c>
      <c r="D154" s="534">
        <v>1211</v>
      </c>
      <c r="E154" s="531">
        <f t="shared" si="17"/>
        <v>352</v>
      </c>
    </row>
    <row r="155" spans="1:5" s="506" customFormat="1" ht="12.75">
      <c r="A155" s="512">
        <v>7</v>
      </c>
      <c r="B155" s="511" t="s">
        <v>885</v>
      </c>
      <c r="C155" s="534">
        <v>2770</v>
      </c>
      <c r="D155" s="534">
        <v>3053</v>
      </c>
      <c r="E155" s="531">
        <f t="shared" si="17"/>
        <v>283</v>
      </c>
    </row>
    <row r="156" spans="1:5" s="506" customFormat="1" ht="12.75">
      <c r="A156" s="512"/>
      <c r="B156" s="516" t="s">
        <v>934</v>
      </c>
      <c r="C156" s="532">
        <f>SUM(C150+C151+C154)</f>
        <v>143778</v>
      </c>
      <c r="D156" s="532">
        <f>SUM(D150+D151+D154)</f>
        <v>145073</v>
      </c>
      <c r="E156" s="533">
        <f t="shared" si="17"/>
        <v>1295</v>
      </c>
    </row>
    <row r="157" spans="1:5" s="506" customFormat="1" ht="12.75">
      <c r="A157" s="512"/>
      <c r="B157" s="516" t="s">
        <v>935</v>
      </c>
      <c r="C157" s="532">
        <f>SUM(C149+C156)</f>
        <v>212013</v>
      </c>
      <c r="D157" s="532">
        <f>SUM(D149+D156)</f>
        <v>215958</v>
      </c>
      <c r="E157" s="533">
        <f t="shared" si="17"/>
        <v>3945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193</v>
      </c>
      <c r="B159" s="509" t="s">
        <v>936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778</v>
      </c>
      <c r="C161" s="536">
        <f aca="true" t="shared" si="18" ref="C161:D169">IF(C137=0,0,C149/C137)</f>
        <v>4.207362190159082</v>
      </c>
      <c r="D161" s="536">
        <f t="shared" si="18"/>
        <v>4.2601718853296475</v>
      </c>
      <c r="E161" s="537">
        <f aca="true" t="shared" si="19" ref="E161:E169">D161-C161</f>
        <v>0.05280969517056544</v>
      </c>
    </row>
    <row r="162" spans="1:5" s="506" customFormat="1" ht="12.75">
      <c r="A162" s="512">
        <v>2</v>
      </c>
      <c r="B162" s="511" t="s">
        <v>757</v>
      </c>
      <c r="C162" s="536">
        <f t="shared" si="18"/>
        <v>6.439952904238618</v>
      </c>
      <c r="D162" s="536">
        <f t="shared" si="18"/>
        <v>6.2297045000965685</v>
      </c>
      <c r="E162" s="537">
        <f t="shared" si="19"/>
        <v>-0.2102484041420496</v>
      </c>
    </row>
    <row r="163" spans="1:5" s="506" customFormat="1" ht="12.75">
      <c r="A163" s="512">
        <v>3</v>
      </c>
      <c r="B163" s="511" t="s">
        <v>903</v>
      </c>
      <c r="C163" s="536">
        <f t="shared" si="18"/>
        <v>5.439809150966479</v>
      </c>
      <c r="D163" s="536">
        <f t="shared" si="18"/>
        <v>5.333635334088335</v>
      </c>
      <c r="E163" s="537">
        <f t="shared" si="19"/>
        <v>-0.10617381687814387</v>
      </c>
    </row>
    <row r="164" spans="1:5" s="506" customFormat="1" ht="12.75">
      <c r="A164" s="512">
        <v>4</v>
      </c>
      <c r="B164" s="511" t="s">
        <v>271</v>
      </c>
      <c r="C164" s="536">
        <f t="shared" si="18"/>
        <v>5.362531969309463</v>
      </c>
      <c r="D164" s="536">
        <f t="shared" si="18"/>
        <v>5.268078363583982</v>
      </c>
      <c r="E164" s="537">
        <f t="shared" si="19"/>
        <v>-0.094453605725481</v>
      </c>
    </row>
    <row r="165" spans="1:5" s="506" customFormat="1" ht="12.75">
      <c r="A165" s="512">
        <v>5</v>
      </c>
      <c r="B165" s="511" t="s">
        <v>870</v>
      </c>
      <c r="C165" s="536">
        <f t="shared" si="18"/>
        <v>5.691866527632951</v>
      </c>
      <c r="D165" s="536">
        <f t="shared" si="18"/>
        <v>5.5746822033898304</v>
      </c>
      <c r="E165" s="537">
        <f t="shared" si="19"/>
        <v>-0.11718432424312031</v>
      </c>
    </row>
    <row r="166" spans="1:5" s="506" customFormat="1" ht="12.75">
      <c r="A166" s="512">
        <v>6</v>
      </c>
      <c r="B166" s="511" t="s">
        <v>574</v>
      </c>
      <c r="C166" s="536">
        <f t="shared" si="18"/>
        <v>5.36875</v>
      </c>
      <c r="D166" s="536">
        <f t="shared" si="18"/>
        <v>6.510752688172043</v>
      </c>
      <c r="E166" s="537">
        <f t="shared" si="19"/>
        <v>1.1420026881720426</v>
      </c>
    </row>
    <row r="167" spans="1:5" s="506" customFormat="1" ht="12.75">
      <c r="A167" s="512">
        <v>7</v>
      </c>
      <c r="B167" s="511" t="s">
        <v>885</v>
      </c>
      <c r="C167" s="536">
        <f t="shared" si="18"/>
        <v>4.171686746987952</v>
      </c>
      <c r="D167" s="536">
        <f t="shared" si="18"/>
        <v>4.399135446685879</v>
      </c>
      <c r="E167" s="537">
        <f t="shared" si="19"/>
        <v>0.22744869969792703</v>
      </c>
    </row>
    <row r="168" spans="1:5" s="506" customFormat="1" ht="12.75">
      <c r="A168" s="512"/>
      <c r="B168" s="516" t="s">
        <v>937</v>
      </c>
      <c r="C168" s="538">
        <f t="shared" si="18"/>
        <v>6.086614173228346</v>
      </c>
      <c r="D168" s="538">
        <f t="shared" si="18"/>
        <v>5.909527883009491</v>
      </c>
      <c r="E168" s="539">
        <f t="shared" si="19"/>
        <v>-0.17708629021885525</v>
      </c>
    </row>
    <row r="169" spans="1:5" s="506" customFormat="1" ht="12.75">
      <c r="A169" s="512"/>
      <c r="B169" s="516" t="s">
        <v>871</v>
      </c>
      <c r="C169" s="538">
        <f t="shared" si="18"/>
        <v>5.321611445783133</v>
      </c>
      <c r="D169" s="538">
        <f t="shared" si="18"/>
        <v>5.243226182383219</v>
      </c>
      <c r="E169" s="539">
        <f t="shared" si="19"/>
        <v>-0.07838526339991425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477</v>
      </c>
      <c r="B171" s="509" t="s">
        <v>938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778</v>
      </c>
      <c r="C173" s="541">
        <f aca="true" t="shared" si="20" ref="C173:D181">IF(C137=0,0,C203/C137)</f>
        <v>1.3011</v>
      </c>
      <c r="D173" s="541">
        <f t="shared" si="20"/>
        <v>1.3378</v>
      </c>
      <c r="E173" s="542">
        <f aca="true" t="shared" si="21" ref="E173:E181">D173-C173</f>
        <v>0.03670000000000018</v>
      </c>
    </row>
    <row r="174" spans="1:5" s="506" customFormat="1" ht="12.75">
      <c r="A174" s="512">
        <v>2</v>
      </c>
      <c r="B174" s="511" t="s">
        <v>757</v>
      </c>
      <c r="C174" s="541">
        <f t="shared" si="20"/>
        <v>1.6816</v>
      </c>
      <c r="D174" s="541">
        <f t="shared" si="20"/>
        <v>1.6591</v>
      </c>
      <c r="E174" s="542">
        <f t="shared" si="21"/>
        <v>-0.022499999999999964</v>
      </c>
    </row>
    <row r="175" spans="1:5" s="506" customFormat="1" ht="12.75">
      <c r="A175" s="512">
        <v>0</v>
      </c>
      <c r="B175" s="511" t="s">
        <v>903</v>
      </c>
      <c r="C175" s="541">
        <f t="shared" si="20"/>
        <v>1.0547991680939566</v>
      </c>
      <c r="D175" s="541">
        <f t="shared" si="20"/>
        <v>1.1078941789354473</v>
      </c>
      <c r="E175" s="542">
        <f t="shared" si="21"/>
        <v>0.05309501084149071</v>
      </c>
    </row>
    <row r="176" spans="1:5" s="506" customFormat="1" ht="12.75">
      <c r="A176" s="512">
        <v>4</v>
      </c>
      <c r="B176" s="511" t="s">
        <v>271</v>
      </c>
      <c r="C176" s="541">
        <f t="shared" si="20"/>
        <v>1.0204</v>
      </c>
      <c r="D176" s="541">
        <f t="shared" si="20"/>
        <v>1.0792</v>
      </c>
      <c r="E176" s="542">
        <f t="shared" si="21"/>
        <v>0.05879999999999996</v>
      </c>
    </row>
    <row r="177" spans="1:5" s="506" customFormat="1" ht="12.75">
      <c r="A177" s="512">
        <v>5</v>
      </c>
      <c r="B177" s="511" t="s">
        <v>870</v>
      </c>
      <c r="C177" s="541">
        <f t="shared" si="20"/>
        <v>1.167</v>
      </c>
      <c r="D177" s="541">
        <f t="shared" si="20"/>
        <v>1.2133999999999998</v>
      </c>
      <c r="E177" s="542">
        <f t="shared" si="21"/>
        <v>0.046399999999999775</v>
      </c>
    </row>
    <row r="178" spans="1:5" s="506" customFormat="1" ht="12.75">
      <c r="A178" s="512">
        <v>6</v>
      </c>
      <c r="B178" s="511" t="s">
        <v>574</v>
      </c>
      <c r="C178" s="541">
        <f t="shared" si="20"/>
        <v>1.3011</v>
      </c>
      <c r="D178" s="541">
        <f t="shared" si="20"/>
        <v>1.24</v>
      </c>
      <c r="E178" s="542">
        <f t="shared" si="21"/>
        <v>-0.06109999999999993</v>
      </c>
    </row>
    <row r="179" spans="1:5" s="506" customFormat="1" ht="12.75">
      <c r="A179" s="512">
        <v>7</v>
      </c>
      <c r="B179" s="511" t="s">
        <v>885</v>
      </c>
      <c r="C179" s="541">
        <f t="shared" si="20"/>
        <v>1.3676</v>
      </c>
      <c r="D179" s="541">
        <f t="shared" si="20"/>
        <v>1.3109</v>
      </c>
      <c r="E179" s="542">
        <f t="shared" si="21"/>
        <v>-0.05669999999999997</v>
      </c>
    </row>
    <row r="180" spans="1:5" s="506" customFormat="1" ht="12.75">
      <c r="A180" s="512"/>
      <c r="B180" s="516" t="s">
        <v>939</v>
      </c>
      <c r="C180" s="543">
        <f t="shared" si="20"/>
        <v>1.4621287443908222</v>
      </c>
      <c r="D180" s="543">
        <f t="shared" si="20"/>
        <v>1.4576620595543606</v>
      </c>
      <c r="E180" s="544">
        <f t="shared" si="21"/>
        <v>-0.004466684836461621</v>
      </c>
    </row>
    <row r="181" spans="1:5" s="506" customFormat="1" ht="12.75">
      <c r="A181" s="512"/>
      <c r="B181" s="516" t="s">
        <v>848</v>
      </c>
      <c r="C181" s="543">
        <f t="shared" si="20"/>
        <v>1.396577434738956</v>
      </c>
      <c r="D181" s="543">
        <f t="shared" si="20"/>
        <v>1.4092405579294938</v>
      </c>
      <c r="E181" s="544">
        <f t="shared" si="21"/>
        <v>0.012663123190537862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498</v>
      </c>
      <c r="B183" s="509" t="s">
        <v>940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941</v>
      </c>
      <c r="C185" s="513">
        <v>513306904</v>
      </c>
      <c r="D185" s="513">
        <v>599039787</v>
      </c>
      <c r="E185" s="514">
        <f>D185-C185</f>
        <v>85732883</v>
      </c>
    </row>
    <row r="186" spans="1:5" s="506" customFormat="1" ht="25.5">
      <c r="A186" s="512">
        <v>2</v>
      </c>
      <c r="B186" s="511" t="s">
        <v>942</v>
      </c>
      <c r="C186" s="513">
        <v>250590927</v>
      </c>
      <c r="D186" s="513">
        <v>302671779</v>
      </c>
      <c r="E186" s="514">
        <f>D186-C186</f>
        <v>52080852</v>
      </c>
    </row>
    <row r="187" spans="1:5" s="506" customFormat="1" ht="12.75">
      <c r="A187" s="512"/>
      <c r="B187" s="511" t="s">
        <v>790</v>
      </c>
      <c r="C187" s="510"/>
      <c r="D187" s="510"/>
      <c r="E187" s="511"/>
    </row>
    <row r="188" spans="1:5" s="506" customFormat="1" ht="12.75">
      <c r="A188" s="512">
        <v>3</v>
      </c>
      <c r="B188" s="511" t="s">
        <v>874</v>
      </c>
      <c r="C188" s="546">
        <f>+C185-C186</f>
        <v>262715977</v>
      </c>
      <c r="D188" s="546">
        <f>+D185-D186</f>
        <v>296368008</v>
      </c>
      <c r="E188" s="514">
        <f aca="true" t="shared" si="22" ref="E188:E197">D188-C188</f>
        <v>33652031</v>
      </c>
    </row>
    <row r="189" spans="1:5" s="506" customFormat="1" ht="12.75">
      <c r="A189" s="512">
        <v>4</v>
      </c>
      <c r="B189" s="511" t="s">
        <v>792</v>
      </c>
      <c r="C189" s="547">
        <f>IF(C185=0,0,+C188/C185)</f>
        <v>0.5118107217198076</v>
      </c>
      <c r="D189" s="547">
        <f>IF(D185=0,0,+D188/D185)</f>
        <v>0.4947384371315557</v>
      </c>
      <c r="E189" s="523">
        <f t="shared" si="22"/>
        <v>-0.017072284588251885</v>
      </c>
    </row>
    <row r="190" spans="1:5" s="506" customFormat="1" ht="12.75">
      <c r="A190" s="512">
        <v>5</v>
      </c>
      <c r="B190" s="511" t="s">
        <v>889</v>
      </c>
      <c r="C190" s="513">
        <v>17755751</v>
      </c>
      <c r="D190" s="513">
        <v>19836452</v>
      </c>
      <c r="E190" s="546">
        <f t="shared" si="22"/>
        <v>2080701</v>
      </c>
    </row>
    <row r="191" spans="1:5" s="506" customFormat="1" ht="12.75">
      <c r="A191" s="512">
        <v>6</v>
      </c>
      <c r="B191" s="511" t="s">
        <v>875</v>
      </c>
      <c r="C191" s="513">
        <v>9492224</v>
      </c>
      <c r="D191" s="513">
        <v>10340167</v>
      </c>
      <c r="E191" s="546">
        <f t="shared" si="22"/>
        <v>847943</v>
      </c>
    </row>
    <row r="192" spans="1:5" ht="29.25">
      <c r="A192" s="512">
        <v>7</v>
      </c>
      <c r="B192" s="548" t="s">
        <v>943</v>
      </c>
      <c r="C192" s="513">
        <v>4894491</v>
      </c>
      <c r="D192" s="513">
        <v>4364687</v>
      </c>
      <c r="E192" s="546">
        <f t="shared" si="22"/>
        <v>-529804</v>
      </c>
    </row>
    <row r="193" spans="1:5" s="506" customFormat="1" ht="12.75">
      <c r="A193" s="512">
        <v>8</v>
      </c>
      <c r="B193" s="511" t="s">
        <v>944</v>
      </c>
      <c r="C193" s="513">
        <v>22281604</v>
      </c>
      <c r="D193" s="513">
        <v>23984656</v>
      </c>
      <c r="E193" s="546">
        <f t="shared" si="22"/>
        <v>1703052</v>
      </c>
    </row>
    <row r="194" spans="1:5" s="506" customFormat="1" ht="12.75">
      <c r="A194" s="512">
        <v>9</v>
      </c>
      <c r="B194" s="511" t="s">
        <v>945</v>
      </c>
      <c r="C194" s="513">
        <v>30682007</v>
      </c>
      <c r="D194" s="513">
        <v>23850531</v>
      </c>
      <c r="E194" s="546">
        <f t="shared" si="22"/>
        <v>-6831476</v>
      </c>
    </row>
    <row r="195" spans="1:5" s="506" customFormat="1" ht="12.75">
      <c r="A195" s="512">
        <v>10</v>
      </c>
      <c r="B195" s="511" t="s">
        <v>946</v>
      </c>
      <c r="C195" s="513">
        <f>+C193+C194</f>
        <v>52963611</v>
      </c>
      <c r="D195" s="513">
        <f>+D193+D194</f>
        <v>47835187</v>
      </c>
      <c r="E195" s="549">
        <f t="shared" si="22"/>
        <v>-5128424</v>
      </c>
    </row>
    <row r="196" spans="1:5" s="506" customFormat="1" ht="12.75">
      <c r="A196" s="512">
        <v>11</v>
      </c>
      <c r="B196" s="511" t="s">
        <v>947</v>
      </c>
      <c r="C196" s="513">
        <v>513306904</v>
      </c>
      <c r="D196" s="513">
        <v>599039787</v>
      </c>
      <c r="E196" s="546">
        <f t="shared" si="22"/>
        <v>85732883</v>
      </c>
    </row>
    <row r="197" spans="1:5" s="506" customFormat="1" ht="12.75">
      <c r="A197" s="512">
        <v>12</v>
      </c>
      <c r="B197" s="511" t="s">
        <v>832</v>
      </c>
      <c r="C197" s="513">
        <v>803829428</v>
      </c>
      <c r="D197" s="513">
        <v>824177868</v>
      </c>
      <c r="E197" s="546">
        <f t="shared" si="22"/>
        <v>20348440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301</v>
      </c>
      <c r="B199" s="550" t="s">
        <v>948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171</v>
      </c>
      <c r="B201" s="509" t="s">
        <v>949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778</v>
      </c>
      <c r="C203" s="553">
        <v>21101.2398</v>
      </c>
      <c r="D203" s="553">
        <v>22259.6542</v>
      </c>
      <c r="E203" s="554">
        <f aca="true" t="shared" si="23" ref="E203:E211">D203-C203</f>
        <v>1158.4144000000015</v>
      </c>
    </row>
    <row r="204" spans="1:5" s="506" customFormat="1" ht="12.75">
      <c r="A204" s="512">
        <v>2</v>
      </c>
      <c r="B204" s="511" t="s">
        <v>757</v>
      </c>
      <c r="C204" s="553">
        <v>25708.3008</v>
      </c>
      <c r="D204" s="553">
        <v>25770.8003</v>
      </c>
      <c r="E204" s="554">
        <f t="shared" si="23"/>
        <v>62.49949999999808</v>
      </c>
    </row>
    <row r="205" spans="1:5" s="506" customFormat="1" ht="12.75">
      <c r="A205" s="512">
        <v>3</v>
      </c>
      <c r="B205" s="511" t="s">
        <v>903</v>
      </c>
      <c r="C205" s="553">
        <f>C206+C207</f>
        <v>8621.9284</v>
      </c>
      <c r="D205" s="553">
        <f>D206+D207</f>
        <v>9782.7056</v>
      </c>
      <c r="E205" s="554">
        <f t="shared" si="23"/>
        <v>1160.7771999999986</v>
      </c>
    </row>
    <row r="206" spans="1:5" s="506" customFormat="1" ht="12.75">
      <c r="A206" s="512">
        <v>4</v>
      </c>
      <c r="B206" s="511" t="s">
        <v>271</v>
      </c>
      <c r="C206" s="553">
        <v>6383.6224</v>
      </c>
      <c r="D206" s="553">
        <v>7491.8063999999995</v>
      </c>
      <c r="E206" s="554">
        <f t="shared" si="23"/>
        <v>1108.1839999999993</v>
      </c>
    </row>
    <row r="207" spans="1:5" s="506" customFormat="1" ht="12.75">
      <c r="A207" s="512">
        <v>5</v>
      </c>
      <c r="B207" s="511" t="s">
        <v>870</v>
      </c>
      <c r="C207" s="553">
        <v>2238.306</v>
      </c>
      <c r="D207" s="553">
        <v>2290.8992</v>
      </c>
      <c r="E207" s="554">
        <f t="shared" si="23"/>
        <v>52.5931999999998</v>
      </c>
    </row>
    <row r="208" spans="1:5" s="506" customFormat="1" ht="12.75">
      <c r="A208" s="512">
        <v>6</v>
      </c>
      <c r="B208" s="511" t="s">
        <v>574</v>
      </c>
      <c r="C208" s="553">
        <v>208.176</v>
      </c>
      <c r="D208" s="553">
        <v>230.64</v>
      </c>
      <c r="E208" s="554">
        <f t="shared" si="23"/>
        <v>22.464</v>
      </c>
    </row>
    <row r="209" spans="1:5" s="506" customFormat="1" ht="12.75">
      <c r="A209" s="512">
        <v>7</v>
      </c>
      <c r="B209" s="511" t="s">
        <v>885</v>
      </c>
      <c r="C209" s="553">
        <v>908.0863999999999</v>
      </c>
      <c r="D209" s="553">
        <v>909.7646</v>
      </c>
      <c r="E209" s="554">
        <f t="shared" si="23"/>
        <v>1.6782000000000608</v>
      </c>
    </row>
    <row r="210" spans="1:5" s="506" customFormat="1" ht="12.75">
      <c r="A210" s="512"/>
      <c r="B210" s="516" t="s">
        <v>950</v>
      </c>
      <c r="C210" s="555">
        <f>C204+C205+C208</f>
        <v>34538.4052</v>
      </c>
      <c r="D210" s="555">
        <f>D204+D205+D208</f>
        <v>35784.145899999996</v>
      </c>
      <c r="E210" s="556">
        <f t="shared" si="23"/>
        <v>1245.7406999999948</v>
      </c>
    </row>
    <row r="211" spans="1:5" s="506" customFormat="1" ht="12.75">
      <c r="A211" s="512"/>
      <c r="B211" s="516" t="s">
        <v>849</v>
      </c>
      <c r="C211" s="555">
        <f>C210+C203</f>
        <v>55639.645000000004</v>
      </c>
      <c r="D211" s="555">
        <f>D210+D203</f>
        <v>58043.80009999999</v>
      </c>
      <c r="E211" s="556">
        <f t="shared" si="23"/>
        <v>2404.155099999989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183</v>
      </c>
      <c r="B213" s="509" t="s">
        <v>951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778</v>
      </c>
      <c r="C215" s="557">
        <f>IF(C14*C137=0,0,C25/C14*C137)</f>
        <v>9388.178521925798</v>
      </c>
      <c r="D215" s="557">
        <f>IF(D14*D137=0,0,D25/D14*D137)</f>
        <v>9087.024583330074</v>
      </c>
      <c r="E215" s="557">
        <f aca="true" t="shared" si="24" ref="E215:E223">D215-C215</f>
        <v>-301.15393859572396</v>
      </c>
    </row>
    <row r="216" spans="1:5" s="506" customFormat="1" ht="12.75">
      <c r="A216" s="512">
        <v>2</v>
      </c>
      <c r="B216" s="511" t="s">
        <v>757</v>
      </c>
      <c r="C216" s="557">
        <f>IF(C15*C138=0,0,C26/C15*C138)</f>
        <v>3943.5319086155127</v>
      </c>
      <c r="D216" s="557">
        <f>IF(D15*D138=0,0,D26/D15*D138)</f>
        <v>4401.090314714222</v>
      </c>
      <c r="E216" s="557">
        <f t="shared" si="24"/>
        <v>457.55840609870893</v>
      </c>
    </row>
    <row r="217" spans="1:5" s="506" customFormat="1" ht="12.75">
      <c r="A217" s="512">
        <v>3</v>
      </c>
      <c r="B217" s="511" t="s">
        <v>903</v>
      </c>
      <c r="C217" s="557">
        <f>C218+C219</f>
        <v>3663.9363164301476</v>
      </c>
      <c r="D217" s="557">
        <f>D218+D219</f>
        <v>4082.4484474323717</v>
      </c>
      <c r="E217" s="557">
        <f t="shared" si="24"/>
        <v>418.5121310022241</v>
      </c>
    </row>
    <row r="218" spans="1:5" s="506" customFormat="1" ht="12.75">
      <c r="A218" s="512">
        <v>4</v>
      </c>
      <c r="B218" s="511" t="s">
        <v>271</v>
      </c>
      <c r="C218" s="557">
        <f aca="true" t="shared" si="25" ref="C218:D221">IF(C17*C140=0,0,C28/C17*C140)</f>
        <v>2973.1504613175202</v>
      </c>
      <c r="D218" s="557">
        <f t="shared" si="25"/>
        <v>3270.612989371705</v>
      </c>
      <c r="E218" s="557">
        <f t="shared" si="24"/>
        <v>297.462528054185</v>
      </c>
    </row>
    <row r="219" spans="1:5" s="506" customFormat="1" ht="12.75">
      <c r="A219" s="512">
        <v>5</v>
      </c>
      <c r="B219" s="511" t="s">
        <v>870</v>
      </c>
      <c r="C219" s="557">
        <f t="shared" si="25"/>
        <v>690.7858551126275</v>
      </c>
      <c r="D219" s="557">
        <f t="shared" si="25"/>
        <v>811.8354580606667</v>
      </c>
      <c r="E219" s="557">
        <f t="shared" si="24"/>
        <v>121.04960294803925</v>
      </c>
    </row>
    <row r="220" spans="1:5" s="506" customFormat="1" ht="12.75">
      <c r="A220" s="512">
        <v>6</v>
      </c>
      <c r="B220" s="511" t="s">
        <v>574</v>
      </c>
      <c r="C220" s="557">
        <f t="shared" si="25"/>
        <v>33.511788824141306</v>
      </c>
      <c r="D220" s="557">
        <f t="shared" si="25"/>
        <v>44.1681708350425</v>
      </c>
      <c r="E220" s="557">
        <f t="shared" si="24"/>
        <v>10.656382010901197</v>
      </c>
    </row>
    <row r="221" spans="1:5" s="506" customFormat="1" ht="12.75">
      <c r="A221" s="512">
        <v>7</v>
      </c>
      <c r="B221" s="511" t="s">
        <v>885</v>
      </c>
      <c r="C221" s="557">
        <f t="shared" si="25"/>
        <v>1055.5625167709284</v>
      </c>
      <c r="D221" s="557">
        <f t="shared" si="25"/>
        <v>970.0497213414313</v>
      </c>
      <c r="E221" s="557">
        <f t="shared" si="24"/>
        <v>-85.51279542949703</v>
      </c>
    </row>
    <row r="222" spans="1:5" s="506" customFormat="1" ht="12.75">
      <c r="A222" s="512"/>
      <c r="B222" s="516" t="s">
        <v>952</v>
      </c>
      <c r="C222" s="558">
        <f>C216+C218+C219+C220</f>
        <v>7640.980013869801</v>
      </c>
      <c r="D222" s="558">
        <f>D216+D218+D219+D220</f>
        <v>8527.706932981637</v>
      </c>
      <c r="E222" s="558">
        <f t="shared" si="24"/>
        <v>886.7269191118357</v>
      </c>
    </row>
    <row r="223" spans="1:5" s="506" customFormat="1" ht="12.75">
      <c r="A223" s="512"/>
      <c r="B223" s="516" t="s">
        <v>953</v>
      </c>
      <c r="C223" s="558">
        <f>C215+C222</f>
        <v>17029.1585357956</v>
      </c>
      <c r="D223" s="558">
        <f>D215+D222</f>
        <v>17614.73151631171</v>
      </c>
      <c r="E223" s="558">
        <f t="shared" si="24"/>
        <v>585.57298051611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193</v>
      </c>
      <c r="B225" s="509" t="s">
        <v>954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778</v>
      </c>
      <c r="C227" s="560">
        <f aca="true" t="shared" si="26" ref="C227:D235">IF(C203=0,0,C47/C203)</f>
        <v>8282.266049599608</v>
      </c>
      <c r="D227" s="560">
        <f t="shared" si="26"/>
        <v>9381.362851539714</v>
      </c>
      <c r="E227" s="560">
        <f aca="true" t="shared" si="27" ref="E227:E235">D227-C227</f>
        <v>1099.0968019401062</v>
      </c>
    </row>
    <row r="228" spans="1:5" s="506" customFormat="1" ht="12.75">
      <c r="A228" s="512">
        <v>2</v>
      </c>
      <c r="B228" s="511" t="s">
        <v>757</v>
      </c>
      <c r="C228" s="560">
        <f t="shared" si="26"/>
        <v>8703.188815964064</v>
      </c>
      <c r="D228" s="560">
        <f t="shared" si="26"/>
        <v>8874.004778190765</v>
      </c>
      <c r="E228" s="560">
        <f t="shared" si="27"/>
        <v>170.81596222670123</v>
      </c>
    </row>
    <row r="229" spans="1:5" s="506" customFormat="1" ht="12.75">
      <c r="A229" s="512">
        <v>3</v>
      </c>
      <c r="B229" s="511" t="s">
        <v>903</v>
      </c>
      <c r="C229" s="560">
        <f t="shared" si="26"/>
        <v>6299.680823143926</v>
      </c>
      <c r="D229" s="560">
        <f t="shared" si="26"/>
        <v>5965.418912330348</v>
      </c>
      <c r="E229" s="560">
        <f t="shared" si="27"/>
        <v>-334.26191081357865</v>
      </c>
    </row>
    <row r="230" spans="1:5" s="506" customFormat="1" ht="12.75">
      <c r="A230" s="512">
        <v>4</v>
      </c>
      <c r="B230" s="511" t="s">
        <v>271</v>
      </c>
      <c r="C230" s="560">
        <f t="shared" si="26"/>
        <v>7200.971818132601</v>
      </c>
      <c r="D230" s="560">
        <f t="shared" si="26"/>
        <v>6786.280942871135</v>
      </c>
      <c r="E230" s="560">
        <f t="shared" si="27"/>
        <v>-414.6908752614654</v>
      </c>
    </row>
    <row r="231" spans="1:5" s="506" customFormat="1" ht="12.75">
      <c r="A231" s="512">
        <v>5</v>
      </c>
      <c r="B231" s="511" t="s">
        <v>870</v>
      </c>
      <c r="C231" s="560">
        <f t="shared" si="26"/>
        <v>3729.2095003989625</v>
      </c>
      <c r="D231" s="560">
        <f t="shared" si="26"/>
        <v>3280.997260813571</v>
      </c>
      <c r="E231" s="560">
        <f t="shared" si="27"/>
        <v>-448.21223958539167</v>
      </c>
    </row>
    <row r="232" spans="1:5" s="506" customFormat="1" ht="12.75">
      <c r="A232" s="512">
        <v>6</v>
      </c>
      <c r="B232" s="511" t="s">
        <v>574</v>
      </c>
      <c r="C232" s="560">
        <f t="shared" si="26"/>
        <v>10943.749519637231</v>
      </c>
      <c r="D232" s="560">
        <f t="shared" si="26"/>
        <v>8334.378251821021</v>
      </c>
      <c r="E232" s="560">
        <f t="shared" si="27"/>
        <v>-2609.37126781621</v>
      </c>
    </row>
    <row r="233" spans="1:5" s="506" customFormat="1" ht="12.75">
      <c r="A233" s="512">
        <v>7</v>
      </c>
      <c r="B233" s="511" t="s">
        <v>885</v>
      </c>
      <c r="C233" s="560">
        <f t="shared" si="26"/>
        <v>1529.143041895573</v>
      </c>
      <c r="D233" s="560">
        <f t="shared" si="26"/>
        <v>1389.558353886269</v>
      </c>
      <c r="E233" s="560">
        <f t="shared" si="27"/>
        <v>-139.58468800930405</v>
      </c>
    </row>
    <row r="234" spans="1:5" ht="12.75">
      <c r="A234" s="512"/>
      <c r="B234" s="516" t="s">
        <v>955</v>
      </c>
      <c r="C234" s="561">
        <f t="shared" si="26"/>
        <v>8116.698422427448</v>
      </c>
      <c r="D234" s="561">
        <f t="shared" si="26"/>
        <v>8075.374603254119</v>
      </c>
      <c r="E234" s="561">
        <f t="shared" si="27"/>
        <v>-41.32381917332896</v>
      </c>
    </row>
    <row r="235" spans="1:5" s="506" customFormat="1" ht="12.75">
      <c r="A235" s="512"/>
      <c r="B235" s="516" t="s">
        <v>956</v>
      </c>
      <c r="C235" s="561">
        <f t="shared" si="26"/>
        <v>8179.489660654735</v>
      </c>
      <c r="D235" s="561">
        <f t="shared" si="26"/>
        <v>8576.217875851999</v>
      </c>
      <c r="E235" s="561">
        <f t="shared" si="27"/>
        <v>396.7282151972631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477</v>
      </c>
      <c r="B237" s="509" t="s">
        <v>957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778</v>
      </c>
      <c r="C239" s="560">
        <f aca="true" t="shared" si="28" ref="C239:D247">IF(C215=0,0,C58/C215)</f>
        <v>10359.103714620294</v>
      </c>
      <c r="D239" s="560">
        <f t="shared" si="28"/>
        <v>12166.50774807133</v>
      </c>
      <c r="E239" s="562">
        <f aca="true" t="shared" si="29" ref="E239:E247">D239-C239</f>
        <v>1807.4040334510355</v>
      </c>
    </row>
    <row r="240" spans="1:5" s="506" customFormat="1" ht="12.75">
      <c r="A240" s="512">
        <v>2</v>
      </c>
      <c r="B240" s="511" t="s">
        <v>757</v>
      </c>
      <c r="C240" s="560">
        <f t="shared" si="28"/>
        <v>13019.947648407884</v>
      </c>
      <c r="D240" s="560">
        <f t="shared" si="28"/>
        <v>12348.172637654412</v>
      </c>
      <c r="E240" s="562">
        <f t="shared" si="29"/>
        <v>-671.7750107534721</v>
      </c>
    </row>
    <row r="241" spans="1:5" ht="12.75">
      <c r="A241" s="512">
        <v>3</v>
      </c>
      <c r="B241" s="511" t="s">
        <v>903</v>
      </c>
      <c r="C241" s="560">
        <f t="shared" si="28"/>
        <v>6751.939952958415</v>
      </c>
      <c r="D241" s="560">
        <f t="shared" si="28"/>
        <v>6197.945014079484</v>
      </c>
      <c r="E241" s="562">
        <f t="shared" si="29"/>
        <v>-553.994938878931</v>
      </c>
    </row>
    <row r="242" spans="1:5" ht="12.75">
      <c r="A242" s="512">
        <v>4</v>
      </c>
      <c r="B242" s="511" t="s">
        <v>271</v>
      </c>
      <c r="C242" s="560">
        <f t="shared" si="28"/>
        <v>6890.727282910979</v>
      </c>
      <c r="D242" s="560">
        <f t="shared" si="28"/>
        <v>6410.571983947183</v>
      </c>
      <c r="E242" s="562">
        <f t="shared" si="29"/>
        <v>-480.15529896379576</v>
      </c>
    </row>
    <row r="243" spans="1:5" ht="12.75">
      <c r="A243" s="512">
        <v>5</v>
      </c>
      <c r="B243" s="511" t="s">
        <v>870</v>
      </c>
      <c r="C243" s="560">
        <f t="shared" si="28"/>
        <v>6154.597649233601</v>
      </c>
      <c r="D243" s="560">
        <f t="shared" si="28"/>
        <v>5341.342210352135</v>
      </c>
      <c r="E243" s="562">
        <f t="shared" si="29"/>
        <v>-813.255438881466</v>
      </c>
    </row>
    <row r="244" spans="1:5" ht="12.75">
      <c r="A244" s="512">
        <v>6</v>
      </c>
      <c r="B244" s="511" t="s">
        <v>574</v>
      </c>
      <c r="C244" s="560">
        <f t="shared" si="28"/>
        <v>19569.501450413973</v>
      </c>
      <c r="D244" s="560">
        <f t="shared" si="28"/>
        <v>11710.51438674554</v>
      </c>
      <c r="E244" s="562">
        <f t="shared" si="29"/>
        <v>-7858.987063668432</v>
      </c>
    </row>
    <row r="245" spans="1:5" ht="12.75">
      <c r="A245" s="512">
        <v>7</v>
      </c>
      <c r="B245" s="511" t="s">
        <v>885</v>
      </c>
      <c r="C245" s="560">
        <f t="shared" si="28"/>
        <v>2091.2565242964642</v>
      </c>
      <c r="D245" s="560">
        <f t="shared" si="28"/>
        <v>1821.5736380569072</v>
      </c>
      <c r="E245" s="562">
        <f t="shared" si="29"/>
        <v>-269.6828862395571</v>
      </c>
    </row>
    <row r="246" spans="1:5" ht="25.5">
      <c r="A246" s="512"/>
      <c r="B246" s="516" t="s">
        <v>958</v>
      </c>
      <c r="C246" s="561">
        <f t="shared" si="28"/>
        <v>10043.092098226185</v>
      </c>
      <c r="D246" s="561">
        <f t="shared" si="28"/>
        <v>9400.586421415735</v>
      </c>
      <c r="E246" s="563">
        <f t="shared" si="29"/>
        <v>-642.5056768104496</v>
      </c>
    </row>
    <row r="247" spans="1:5" ht="12.75">
      <c r="A247" s="512"/>
      <c r="B247" s="516" t="s">
        <v>959</v>
      </c>
      <c r="C247" s="561">
        <f t="shared" si="28"/>
        <v>10217.30936583069</v>
      </c>
      <c r="D247" s="561">
        <f t="shared" si="28"/>
        <v>10827.460005472443</v>
      </c>
      <c r="E247" s="563">
        <f t="shared" si="29"/>
        <v>610.1506396417535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887</v>
      </c>
      <c r="B249" s="550" t="s">
        <v>884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271</v>
      </c>
      <c r="C251" s="546">
        <f>((IF((IF(C15=0,0,C26/C15)*C138)=0,0,C59/(IF(C15=0,0,C26/C15)*C138)))-(IF((IF(C17=0,0,C28/C17)*C140)=0,0,C61/(IF(C17=0,0,C28/C17)*C140))))*(IF(C17=0,0,C28/C17)*C140)</f>
        <v>18223094.357193865</v>
      </c>
      <c r="D251" s="546">
        <f>((IF((IF(D15=0,0,D26/D15)*D138)=0,0,D59/(IF(D15=0,0,D26/D15)*D138)))-(IF((IF(D17=0,0,D28/D17)*D140)=0,0,D61/(IF(D17=0,0,D28/D17)*D140))))*(IF(D17=0,0,D28/D17)*D140)</f>
        <v>19419593.82371679</v>
      </c>
      <c r="E251" s="546">
        <f>D251-C251</f>
        <v>1196499.4665229246</v>
      </c>
    </row>
    <row r="252" spans="1:5" ht="12.75">
      <c r="A252" s="512">
        <v>2</v>
      </c>
      <c r="B252" s="511" t="s">
        <v>870</v>
      </c>
      <c r="C252" s="546">
        <f>IF(C231=0,0,(C228-C231)*C207)+IF(C243=0,0,(C240-C243)*C219)</f>
        <v>15875774.415732343</v>
      </c>
      <c r="D252" s="546">
        <f>IF(D231=0,0,(D228-D231)*D207)+IF(D243=0,0,(D240-D243)*D219)</f>
        <v>18501409.836655762</v>
      </c>
      <c r="E252" s="546">
        <f>D252-C252</f>
        <v>2625635.4209234193</v>
      </c>
    </row>
    <row r="253" spans="1:5" ht="12.75">
      <c r="A253" s="512">
        <v>3</v>
      </c>
      <c r="B253" s="511" t="s">
        <v>885</v>
      </c>
      <c r="C253" s="546">
        <f>IF(C233=0,0,(C228-C233)*C209+IF(C221=0,0,(C240-C245)*C221))</f>
        <v>18050570.108388223</v>
      </c>
      <c r="D253" s="546">
        <f>IF(D233=0,0,(D228-D233)*D209+IF(D221=0,0,(D240-D245)*D221))</f>
        <v>17020408.83366136</v>
      </c>
      <c r="E253" s="546">
        <f>D253-C253</f>
        <v>-1030161.274726864</v>
      </c>
    </row>
    <row r="254" spans="1:5" ht="15" customHeight="1">
      <c r="A254" s="512"/>
      <c r="B254" s="516" t="s">
        <v>886</v>
      </c>
      <c r="C254" s="564">
        <f>+C251+C252+C253</f>
        <v>52149438.881314434</v>
      </c>
      <c r="D254" s="564">
        <f>+D251+D252+D253</f>
        <v>54941412.49403392</v>
      </c>
      <c r="E254" s="564">
        <f>D254-C254</f>
        <v>2791973.6127194837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960</v>
      </c>
      <c r="B256" s="550" t="s">
        <v>961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852</v>
      </c>
      <c r="C258" s="546">
        <f>+C44</f>
        <v>1555871786</v>
      </c>
      <c r="D258" s="549">
        <f>+D44</f>
        <v>1714431648</v>
      </c>
      <c r="E258" s="546">
        <f aca="true" t="shared" si="30" ref="E258:E271">D258-C258</f>
        <v>158559862</v>
      </c>
    </row>
    <row r="259" spans="1:5" ht="12.75">
      <c r="A259" s="512">
        <v>2</v>
      </c>
      <c r="B259" s="511" t="s">
        <v>869</v>
      </c>
      <c r="C259" s="546">
        <f>+(C43-C76)</f>
        <v>601603892</v>
      </c>
      <c r="D259" s="549">
        <f>+(D43-D76)</f>
        <v>681709376</v>
      </c>
      <c r="E259" s="546">
        <f t="shared" si="30"/>
        <v>80105484</v>
      </c>
    </row>
    <row r="260" spans="1:5" ht="12.75">
      <c r="A260" s="512">
        <v>3</v>
      </c>
      <c r="B260" s="511" t="s">
        <v>873</v>
      </c>
      <c r="C260" s="546">
        <f>C195</f>
        <v>52963611</v>
      </c>
      <c r="D260" s="546">
        <f>D195</f>
        <v>47835187</v>
      </c>
      <c r="E260" s="546">
        <f t="shared" si="30"/>
        <v>-5128424</v>
      </c>
    </row>
    <row r="261" spans="1:5" ht="12.75">
      <c r="A261" s="512">
        <v>4</v>
      </c>
      <c r="B261" s="511" t="s">
        <v>874</v>
      </c>
      <c r="C261" s="546">
        <f>C188</f>
        <v>262715977</v>
      </c>
      <c r="D261" s="546">
        <f>D188</f>
        <v>296368008</v>
      </c>
      <c r="E261" s="546">
        <f t="shared" si="30"/>
        <v>33652031</v>
      </c>
    </row>
    <row r="262" spans="1:5" ht="12.75">
      <c r="A262" s="512">
        <v>5</v>
      </c>
      <c r="B262" s="511" t="s">
        <v>875</v>
      </c>
      <c r="C262" s="546">
        <f>C191</f>
        <v>9492224</v>
      </c>
      <c r="D262" s="546">
        <f>D191</f>
        <v>10340167</v>
      </c>
      <c r="E262" s="546">
        <f t="shared" si="30"/>
        <v>847943</v>
      </c>
    </row>
    <row r="263" spans="1:5" ht="12.75">
      <c r="A263" s="512">
        <v>6</v>
      </c>
      <c r="B263" s="511" t="s">
        <v>876</v>
      </c>
      <c r="C263" s="546">
        <f>+C259+C260+C261+C262</f>
        <v>926775704</v>
      </c>
      <c r="D263" s="546">
        <f>+D259+D260+D261+D262</f>
        <v>1036252738</v>
      </c>
      <c r="E263" s="546">
        <f t="shared" si="30"/>
        <v>109477034</v>
      </c>
    </row>
    <row r="264" spans="1:5" ht="12.75">
      <c r="A264" s="512">
        <v>7</v>
      </c>
      <c r="B264" s="511" t="s">
        <v>776</v>
      </c>
      <c r="C264" s="546">
        <f>+C258-C263</f>
        <v>629096082</v>
      </c>
      <c r="D264" s="546">
        <f>+D258-D263</f>
        <v>678178910</v>
      </c>
      <c r="E264" s="546">
        <f t="shared" si="30"/>
        <v>49082828</v>
      </c>
    </row>
    <row r="265" spans="1:5" ht="12.75">
      <c r="A265" s="512">
        <v>8</v>
      </c>
      <c r="B265" s="511" t="s">
        <v>962</v>
      </c>
      <c r="C265" s="565">
        <f>C192</f>
        <v>4894491</v>
      </c>
      <c r="D265" s="565">
        <f>D192</f>
        <v>4364687</v>
      </c>
      <c r="E265" s="546">
        <f t="shared" si="30"/>
        <v>-529804</v>
      </c>
    </row>
    <row r="266" spans="1:5" ht="12.75">
      <c r="A266" s="512">
        <v>9</v>
      </c>
      <c r="B266" s="511" t="s">
        <v>963</v>
      </c>
      <c r="C266" s="546">
        <f>+C264+C265</f>
        <v>633990573</v>
      </c>
      <c r="D266" s="546">
        <f>+D264+D265</f>
        <v>682543597</v>
      </c>
      <c r="E266" s="565">
        <f t="shared" si="30"/>
        <v>48553024</v>
      </c>
    </row>
    <row r="267" spans="1:5" ht="12.75">
      <c r="A267" s="512">
        <v>10</v>
      </c>
      <c r="B267" s="511" t="s">
        <v>964</v>
      </c>
      <c r="C267" s="566">
        <f>IF(C258=0,0,C266/C258)</f>
        <v>0.4074825308259687</v>
      </c>
      <c r="D267" s="566">
        <f>IF(D258=0,0,D266/D258)</f>
        <v>0.39811654071845504</v>
      </c>
      <c r="E267" s="567">
        <f t="shared" si="30"/>
        <v>-0.009365990107513655</v>
      </c>
    </row>
    <row r="268" spans="1:5" ht="12.75">
      <c r="A268" s="512">
        <v>11</v>
      </c>
      <c r="B268" s="511" t="s">
        <v>838</v>
      </c>
      <c r="C268" s="546">
        <f>+C260*C267</f>
        <v>21581746.251962114</v>
      </c>
      <c r="D268" s="568">
        <f>+D260*D267</f>
        <v>19043979.17306041</v>
      </c>
      <c r="E268" s="546">
        <f t="shared" si="30"/>
        <v>-2537767.0789017044</v>
      </c>
    </row>
    <row r="269" spans="1:5" ht="12.75">
      <c r="A269" s="512">
        <v>12</v>
      </c>
      <c r="B269" s="511" t="s">
        <v>965</v>
      </c>
      <c r="C269" s="546">
        <f>((C17+C18+C28+C29)*C267)-(C50+C51+C61+C62)</f>
        <v>22289333.989087805</v>
      </c>
      <c r="D269" s="568">
        <f>((D17+D18+D28+D29)*D267)-(D50+D51+D61+D62)</f>
        <v>33245600.98832865</v>
      </c>
      <c r="E269" s="546">
        <f t="shared" si="30"/>
        <v>10956266.999240845</v>
      </c>
    </row>
    <row r="270" spans="1:5" s="569" customFormat="1" ht="12.75">
      <c r="A270" s="570">
        <v>13</v>
      </c>
      <c r="B270" s="571" t="s">
        <v>966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967</v>
      </c>
      <c r="C271" s="546">
        <f>+C268+C269+C270</f>
        <v>43871080.241049916</v>
      </c>
      <c r="D271" s="546">
        <f>+D268+D269+D270</f>
        <v>52289580.16138906</v>
      </c>
      <c r="E271" s="549">
        <f t="shared" si="30"/>
        <v>8418499.920339145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968</v>
      </c>
      <c r="B273" s="550" t="s">
        <v>969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171</v>
      </c>
      <c r="B275" s="509" t="s">
        <v>970</v>
      </c>
      <c r="C275" s="340"/>
      <c r="D275" s="340"/>
      <c r="E275" s="520"/>
    </row>
    <row r="276" spans="1:5" ht="12.75">
      <c r="A276" s="512">
        <v>1</v>
      </c>
      <c r="B276" s="511" t="s">
        <v>778</v>
      </c>
      <c r="C276" s="547">
        <f aca="true" t="shared" si="31" ref="C276:D284">IF(C14=0,0,+C47/C14)</f>
        <v>0.462052540451271</v>
      </c>
      <c r="D276" s="547">
        <f t="shared" si="31"/>
        <v>0.48655540454403595</v>
      </c>
      <c r="E276" s="574">
        <f aca="true" t="shared" si="32" ref="E276:E284">D276-C276</f>
        <v>0.024502864092764975</v>
      </c>
    </row>
    <row r="277" spans="1:5" ht="12.75">
      <c r="A277" s="512">
        <v>2</v>
      </c>
      <c r="B277" s="511" t="s">
        <v>757</v>
      </c>
      <c r="C277" s="547">
        <f t="shared" si="31"/>
        <v>0.3996730744850938</v>
      </c>
      <c r="D277" s="547">
        <f t="shared" si="31"/>
        <v>0.3918744208263098</v>
      </c>
      <c r="E277" s="574">
        <f t="shared" si="32"/>
        <v>-0.007798653658784016</v>
      </c>
    </row>
    <row r="278" spans="1:5" ht="12.75">
      <c r="A278" s="512">
        <v>3</v>
      </c>
      <c r="B278" s="511" t="s">
        <v>903</v>
      </c>
      <c r="C278" s="547">
        <f t="shared" si="31"/>
        <v>0.3151268984088433</v>
      </c>
      <c r="D278" s="547">
        <f t="shared" si="31"/>
        <v>0.29035735218168773</v>
      </c>
      <c r="E278" s="574">
        <f t="shared" si="32"/>
        <v>-0.024769546227155548</v>
      </c>
    </row>
    <row r="279" spans="1:5" ht="12.75">
      <c r="A279" s="512">
        <v>4</v>
      </c>
      <c r="B279" s="511" t="s">
        <v>271</v>
      </c>
      <c r="C279" s="547">
        <f t="shared" si="31"/>
        <v>0.37077531858345864</v>
      </c>
      <c r="D279" s="547">
        <f t="shared" si="31"/>
        <v>0.3352661320459776</v>
      </c>
      <c r="E279" s="574">
        <f t="shared" si="32"/>
        <v>-0.03550918653748103</v>
      </c>
    </row>
    <row r="280" spans="1:5" ht="12.75">
      <c r="A280" s="512">
        <v>5</v>
      </c>
      <c r="B280" s="511" t="s">
        <v>870</v>
      </c>
      <c r="C280" s="547">
        <f t="shared" si="31"/>
        <v>0.17252665167197928</v>
      </c>
      <c r="D280" s="547">
        <f t="shared" si="31"/>
        <v>0.15233527065208338</v>
      </c>
      <c r="E280" s="574">
        <f t="shared" si="32"/>
        <v>-0.0201913810198959</v>
      </c>
    </row>
    <row r="281" spans="1:5" ht="12.75">
      <c r="A281" s="512">
        <v>6</v>
      </c>
      <c r="B281" s="511" t="s">
        <v>574</v>
      </c>
      <c r="C281" s="547">
        <f t="shared" si="31"/>
        <v>0.47904834018226</v>
      </c>
      <c r="D281" s="547">
        <f t="shared" si="31"/>
        <v>0.2877752759871011</v>
      </c>
      <c r="E281" s="574">
        <f t="shared" si="32"/>
        <v>-0.19127306419515888</v>
      </c>
    </row>
    <row r="282" spans="1:5" ht="12.75">
      <c r="A282" s="512">
        <v>7</v>
      </c>
      <c r="B282" s="511" t="s">
        <v>885</v>
      </c>
      <c r="C282" s="547">
        <f t="shared" si="31"/>
        <v>0.07966819882023314</v>
      </c>
      <c r="D282" s="547">
        <f t="shared" si="31"/>
        <v>0.06629444017486989</v>
      </c>
      <c r="E282" s="574">
        <f t="shared" si="32"/>
        <v>-0.013373758645363248</v>
      </c>
    </row>
    <row r="283" spans="1:5" ht="29.25" customHeight="1">
      <c r="A283" s="512"/>
      <c r="B283" s="516" t="s">
        <v>971</v>
      </c>
      <c r="C283" s="575">
        <f t="shared" si="31"/>
        <v>0.3804109402630139</v>
      </c>
      <c r="D283" s="575">
        <f t="shared" si="31"/>
        <v>0.36520900760453573</v>
      </c>
      <c r="E283" s="576">
        <f t="shared" si="32"/>
        <v>-0.01520193265847819</v>
      </c>
    </row>
    <row r="284" spans="1:5" ht="12.75">
      <c r="A284" s="512"/>
      <c r="B284" s="516" t="s">
        <v>972</v>
      </c>
      <c r="C284" s="575">
        <f t="shared" si="31"/>
        <v>0.4081017184930872</v>
      </c>
      <c r="D284" s="575">
        <f t="shared" si="31"/>
        <v>0.4078829580780954</v>
      </c>
      <c r="E284" s="576">
        <f t="shared" si="32"/>
        <v>-0.0002187604149918032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183</v>
      </c>
      <c r="B286" s="509" t="s">
        <v>973</v>
      </c>
      <c r="C286" s="520"/>
      <c r="D286" s="520"/>
      <c r="E286" s="520"/>
    </row>
    <row r="287" spans="1:5" ht="12.75">
      <c r="A287" s="512">
        <v>1</v>
      </c>
      <c r="B287" s="511" t="s">
        <v>778</v>
      </c>
      <c r="C287" s="547">
        <f aca="true" t="shared" si="33" ref="C287:D295">IF(C25=0,0,+C58/C25)</f>
        <v>0.4441745690175184</v>
      </c>
      <c r="D287" s="547">
        <f t="shared" si="33"/>
        <v>0.471673104117588</v>
      </c>
      <c r="E287" s="574">
        <f aca="true" t="shared" si="34" ref="E287:E295">D287-C287</f>
        <v>0.02749853510006961</v>
      </c>
    </row>
    <row r="288" spans="1:5" ht="12.75">
      <c r="A288" s="512">
        <v>2</v>
      </c>
      <c r="B288" s="511" t="s">
        <v>757</v>
      </c>
      <c r="C288" s="547">
        <f t="shared" si="33"/>
        <v>0.35556010434308266</v>
      </c>
      <c r="D288" s="547">
        <f t="shared" si="33"/>
        <v>0.3286679737726631</v>
      </c>
      <c r="E288" s="574">
        <f t="shared" si="34"/>
        <v>-0.02689213057041956</v>
      </c>
    </row>
    <row r="289" spans="1:5" ht="12.75">
      <c r="A289" s="512">
        <v>3</v>
      </c>
      <c r="B289" s="511" t="s">
        <v>903</v>
      </c>
      <c r="C289" s="547">
        <f t="shared" si="33"/>
        <v>0.32403478449120704</v>
      </c>
      <c r="D289" s="547">
        <f t="shared" si="33"/>
        <v>0.27306571815754715</v>
      </c>
      <c r="E289" s="574">
        <f t="shared" si="34"/>
        <v>-0.050969066333659885</v>
      </c>
    </row>
    <row r="290" spans="1:5" ht="12.75">
      <c r="A290" s="512">
        <v>4</v>
      </c>
      <c r="B290" s="511" t="s">
        <v>271</v>
      </c>
      <c r="C290" s="547">
        <f t="shared" si="33"/>
        <v>0.34770770743520474</v>
      </c>
      <c r="D290" s="547">
        <f t="shared" si="33"/>
        <v>0.293462554554551</v>
      </c>
      <c r="E290" s="574">
        <f t="shared" si="34"/>
        <v>-0.054245152880653735</v>
      </c>
    </row>
    <row r="291" spans="1:5" ht="12.75">
      <c r="A291" s="512">
        <v>5</v>
      </c>
      <c r="B291" s="511" t="s">
        <v>870</v>
      </c>
      <c r="C291" s="547">
        <f t="shared" si="33"/>
        <v>0.2439878625549237</v>
      </c>
      <c r="D291" s="547">
        <f t="shared" si="33"/>
        <v>0.20438123233141248</v>
      </c>
      <c r="E291" s="574">
        <f t="shared" si="34"/>
        <v>-0.03960663022351121</v>
      </c>
    </row>
    <row r="292" spans="1:5" ht="12.75">
      <c r="A292" s="512">
        <v>6</v>
      </c>
      <c r="B292" s="511" t="s">
        <v>574</v>
      </c>
      <c r="C292" s="547">
        <f t="shared" si="33"/>
        <v>0.6583885664031676</v>
      </c>
      <c r="D292" s="547">
        <f t="shared" si="33"/>
        <v>0.326087806255808</v>
      </c>
      <c r="E292" s="574">
        <f t="shared" si="34"/>
        <v>-0.33230076014735954</v>
      </c>
    </row>
    <row r="293" spans="1:5" ht="12.75">
      <c r="A293" s="512">
        <v>7</v>
      </c>
      <c r="B293" s="511" t="s">
        <v>885</v>
      </c>
      <c r="C293" s="547">
        <f t="shared" si="33"/>
        <v>0.07966821787578583</v>
      </c>
      <c r="D293" s="547">
        <f t="shared" si="33"/>
        <v>0.06629449811233204</v>
      </c>
      <c r="E293" s="574">
        <f t="shared" si="34"/>
        <v>-0.013373719763453792</v>
      </c>
    </row>
    <row r="294" spans="1:5" ht="29.25" customHeight="1">
      <c r="A294" s="512"/>
      <c r="B294" s="516" t="s">
        <v>974</v>
      </c>
      <c r="C294" s="575">
        <f t="shared" si="33"/>
        <v>0.3460664659267329</v>
      </c>
      <c r="D294" s="575">
        <f t="shared" si="33"/>
        <v>0.3088053721951333</v>
      </c>
      <c r="E294" s="576">
        <f t="shared" si="34"/>
        <v>-0.03726109373159958</v>
      </c>
    </row>
    <row r="295" spans="1:5" ht="12.75">
      <c r="A295" s="512"/>
      <c r="B295" s="516" t="s">
        <v>975</v>
      </c>
      <c r="C295" s="575">
        <f t="shared" si="33"/>
        <v>0.3948095016637566</v>
      </c>
      <c r="D295" s="575">
        <f t="shared" si="33"/>
        <v>0.38608430297397633</v>
      </c>
      <c r="E295" s="576">
        <f t="shared" si="34"/>
        <v>-0.008725198689780278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976</v>
      </c>
      <c r="B297" s="501" t="s">
        <v>977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171</v>
      </c>
      <c r="B299" s="509" t="s">
        <v>978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776</v>
      </c>
      <c r="C301" s="514">
        <f>+C48+C47+C50+C51+C52+C59+C58+C61+C62+C63</f>
        <v>629096082</v>
      </c>
      <c r="D301" s="514">
        <f>+D48+D47+D50+D51+D52+D59+D58+D61+D62+D63</f>
        <v>688519077</v>
      </c>
      <c r="E301" s="514">
        <f>D301-C301</f>
        <v>59422995</v>
      </c>
    </row>
    <row r="302" spans="1:5" ht="25.5">
      <c r="A302" s="512">
        <v>2</v>
      </c>
      <c r="B302" s="511" t="s">
        <v>0</v>
      </c>
      <c r="C302" s="546">
        <f>C265</f>
        <v>4894491</v>
      </c>
      <c r="D302" s="546">
        <f>D265</f>
        <v>4364687</v>
      </c>
      <c r="E302" s="514">
        <f>D302-C302</f>
        <v>-529804</v>
      </c>
    </row>
    <row r="303" spans="1:5" ht="12.75">
      <c r="A303" s="512"/>
      <c r="B303" s="516" t="s">
        <v>1</v>
      </c>
      <c r="C303" s="517">
        <f>+C301+C302</f>
        <v>633990573</v>
      </c>
      <c r="D303" s="517">
        <f>+D301+D302</f>
        <v>692883764</v>
      </c>
      <c r="E303" s="517">
        <f>D303-C303</f>
        <v>58893191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2</v>
      </c>
      <c r="C305" s="513">
        <v>11571337</v>
      </c>
      <c r="D305" s="578">
        <v>14296570</v>
      </c>
      <c r="E305" s="579">
        <f>D305-C305</f>
        <v>2725233</v>
      </c>
    </row>
    <row r="306" spans="1:5" ht="12.75">
      <c r="A306" s="512">
        <v>4</v>
      </c>
      <c r="B306" s="516" t="s">
        <v>3</v>
      </c>
      <c r="C306" s="580">
        <f>+C303+C305+C194+C190-C191</f>
        <v>684507444</v>
      </c>
      <c r="D306" s="580">
        <f>+D303+D305</f>
        <v>707180334</v>
      </c>
      <c r="E306" s="580">
        <f>D306-C306</f>
        <v>22672890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4</v>
      </c>
      <c r="C308" s="513">
        <v>645561910</v>
      </c>
      <c r="D308" s="513">
        <v>707180334</v>
      </c>
      <c r="E308" s="514">
        <f>D308-C308</f>
        <v>61618424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5</v>
      </c>
      <c r="C310" s="581">
        <f>C306-C308</f>
        <v>38945534</v>
      </c>
      <c r="D310" s="582">
        <f>D306-D308</f>
        <v>0</v>
      </c>
      <c r="E310" s="580">
        <f>D310-C310</f>
        <v>-38945534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183</v>
      </c>
      <c r="B312" s="509" t="s">
        <v>6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7</v>
      </c>
      <c r="C314" s="514">
        <f>+C14+C15+C16+C19+C25+C26+C27+C30</f>
        <v>1555871786</v>
      </c>
      <c r="D314" s="514">
        <f>+D14+D15+D16+D19+D25+D26+D27+D30</f>
        <v>1714431648</v>
      </c>
      <c r="E314" s="514">
        <f>D314-C314</f>
        <v>158559862</v>
      </c>
    </row>
    <row r="315" spans="1:5" ht="12.75">
      <c r="A315" s="512">
        <v>2</v>
      </c>
      <c r="B315" s="583" t="s">
        <v>8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</v>
      </c>
      <c r="C316" s="581">
        <f>C314+C315</f>
        <v>1555871786</v>
      </c>
      <c r="D316" s="581">
        <f>D314+D315</f>
        <v>1714431648</v>
      </c>
      <c r="E316" s="517">
        <f>D316-C316</f>
        <v>158559862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10</v>
      </c>
      <c r="C318" s="513">
        <v>1555871786</v>
      </c>
      <c r="D318" s="513">
        <v>1714431648</v>
      </c>
      <c r="E318" s="514">
        <f>D318-C318</f>
        <v>158559862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5</v>
      </c>
      <c r="C320" s="581">
        <f>C316-C318</f>
        <v>0</v>
      </c>
      <c r="D320" s="581">
        <f>D316-D318</f>
        <v>0</v>
      </c>
      <c r="E320" s="517">
        <f>D320-C320</f>
        <v>0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193</v>
      </c>
      <c r="B322" s="509" t="s">
        <v>11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12</v>
      </c>
      <c r="C324" s="513">
        <f>+C193+C194</f>
        <v>52963611</v>
      </c>
      <c r="D324" s="513">
        <f>+D193+D194</f>
        <v>47835187</v>
      </c>
      <c r="E324" s="514">
        <f>D324-C324</f>
        <v>-5128424</v>
      </c>
    </row>
    <row r="325" spans="1:5" ht="12.75">
      <c r="A325" s="512">
        <v>2</v>
      </c>
      <c r="B325" s="511" t="s">
        <v>13</v>
      </c>
      <c r="C325" s="513">
        <v>18247281</v>
      </c>
      <c r="D325" s="513">
        <v>6257785</v>
      </c>
      <c r="E325" s="514">
        <f>D325-C325</f>
        <v>-11989496</v>
      </c>
    </row>
    <row r="326" spans="1:5" ht="12.75">
      <c r="A326" s="512"/>
      <c r="B326" s="516" t="s">
        <v>14</v>
      </c>
      <c r="C326" s="581">
        <f>C324+C325</f>
        <v>71210892</v>
      </c>
      <c r="D326" s="581">
        <f>D324+D325</f>
        <v>54092972</v>
      </c>
      <c r="E326" s="517">
        <f>D326-C326</f>
        <v>-17117920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15</v>
      </c>
      <c r="C328" s="513">
        <v>71210892</v>
      </c>
      <c r="D328" s="513">
        <v>54092972</v>
      </c>
      <c r="E328" s="514">
        <f>D328-C328</f>
        <v>-17117920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16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FILING&amp;RHARTFORD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157</v>
      </c>
      <c r="B2" s="705"/>
      <c r="C2" s="705"/>
      <c r="D2" s="585"/>
    </row>
    <row r="3" spans="1:4" s="338" customFormat="1" ht="15.75" customHeight="1">
      <c r="A3" s="695" t="s">
        <v>748</v>
      </c>
      <c r="B3" s="696"/>
      <c r="C3" s="697"/>
      <c r="D3" s="585"/>
    </row>
    <row r="4" spans="1:4" s="338" customFormat="1" ht="15.75" customHeight="1">
      <c r="A4" s="695" t="s">
        <v>159</v>
      </c>
      <c r="B4" s="696"/>
      <c r="C4" s="697"/>
      <c r="D4" s="585"/>
    </row>
    <row r="5" spans="1:4" s="338" customFormat="1" ht="15.75" customHeight="1">
      <c r="A5" s="695" t="s">
        <v>17</v>
      </c>
      <c r="B5" s="696"/>
      <c r="C5" s="697"/>
      <c r="D5" s="585"/>
    </row>
    <row r="6" spans="1:4" s="338" customFormat="1" ht="15.75" customHeight="1">
      <c r="A6" s="695" t="s">
        <v>18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165</v>
      </c>
      <c r="B9" s="493" t="s">
        <v>166</v>
      </c>
      <c r="C9" s="494" t="s">
        <v>19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169</v>
      </c>
      <c r="B11" s="501" t="s">
        <v>20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171</v>
      </c>
      <c r="B13" s="509" t="s">
        <v>902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778</v>
      </c>
      <c r="C14" s="513">
        <v>429192423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757</v>
      </c>
      <c r="C15" s="515">
        <v>583580333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903</v>
      </c>
      <c r="C16" s="515">
        <v>200986600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271</v>
      </c>
      <c r="C17" s="515">
        <v>151645210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870</v>
      </c>
      <c r="C18" s="515">
        <v>49341390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574</v>
      </c>
      <c r="C19" s="515">
        <v>6679660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885</v>
      </c>
      <c r="C20" s="515">
        <v>19069035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904</v>
      </c>
      <c r="C21" s="517">
        <f>SUM(C15+C16+C19)</f>
        <v>791246593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844</v>
      </c>
      <c r="C22" s="517">
        <f>SUM(C14+C21)</f>
        <v>1220439016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183</v>
      </c>
      <c r="B24" s="509" t="s">
        <v>905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778</v>
      </c>
      <c r="C25" s="513">
        <v>234394020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757</v>
      </c>
      <c r="C26" s="515">
        <v>165350528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903</v>
      </c>
      <c r="C27" s="515">
        <v>92661910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271</v>
      </c>
      <c r="C28" s="515">
        <v>71445231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870</v>
      </c>
      <c r="C29" s="515">
        <v>21216679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574</v>
      </c>
      <c r="C30" s="515">
        <v>1586174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885</v>
      </c>
      <c r="C31" s="518">
        <v>26654052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906</v>
      </c>
      <c r="C32" s="517">
        <f>SUM(C26+C27+C30)</f>
        <v>259598612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850</v>
      </c>
      <c r="C33" s="517">
        <f>SUM(C25+C32)</f>
        <v>493992632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193</v>
      </c>
      <c r="B35" s="509" t="s">
        <v>775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21</v>
      </c>
      <c r="C36" s="514">
        <f>SUM(C14+C25)</f>
        <v>663586443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22</v>
      </c>
      <c r="C37" s="518">
        <f>SUM(C21+C32)</f>
        <v>1050845205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775</v>
      </c>
      <c r="C38" s="517">
        <f>SUM(+C36+C37)</f>
        <v>1714431648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477</v>
      </c>
      <c r="B40" s="509" t="s">
        <v>915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778</v>
      </c>
      <c r="C41" s="513">
        <v>208825893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757</v>
      </c>
      <c r="C42" s="515">
        <v>228690205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903</v>
      </c>
      <c r="C43" s="515">
        <v>58357937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271</v>
      </c>
      <c r="C44" s="515">
        <v>50841503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870</v>
      </c>
      <c r="C45" s="515">
        <v>7516434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574</v>
      </c>
      <c r="C46" s="515">
        <v>1922241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885</v>
      </c>
      <c r="C47" s="515">
        <v>1264171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916</v>
      </c>
      <c r="C48" s="517">
        <f>SUM(C42+C43+C46)</f>
        <v>288970383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845</v>
      </c>
      <c r="C49" s="517">
        <f>SUM(C41+C48)</f>
        <v>497796276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498</v>
      </c>
      <c r="B51" s="509" t="s">
        <v>917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778</v>
      </c>
      <c r="C52" s="513">
        <v>110557355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757</v>
      </c>
      <c r="C53" s="515">
        <v>54345423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903</v>
      </c>
      <c r="C54" s="515">
        <v>25302791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271</v>
      </c>
      <c r="C55" s="515">
        <v>20966500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870</v>
      </c>
      <c r="C56" s="515">
        <v>4336291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574</v>
      </c>
      <c r="C57" s="515">
        <v>517232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885</v>
      </c>
      <c r="C58" s="515">
        <v>1767017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918</v>
      </c>
      <c r="C59" s="517">
        <f>SUM(C53+C54+C57)</f>
        <v>80165446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851</v>
      </c>
      <c r="C60" s="517">
        <f>SUM(C52+C59)</f>
        <v>190722801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510</v>
      </c>
      <c r="B62" s="521" t="s">
        <v>776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23</v>
      </c>
      <c r="C63" s="514">
        <f>SUM(C41+C52)</f>
        <v>319383248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24</v>
      </c>
      <c r="C64" s="518">
        <f>SUM(C48+C59)</f>
        <v>369135829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776</v>
      </c>
      <c r="C65" s="517">
        <f>SUM(+C63+C64)</f>
        <v>688519077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201</v>
      </c>
      <c r="B67" s="501" t="s">
        <v>25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171</v>
      </c>
      <c r="B69" s="509" t="s">
        <v>26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778</v>
      </c>
      <c r="C70" s="530">
        <v>16639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757</v>
      </c>
      <c r="C71" s="530">
        <v>15533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903</v>
      </c>
      <c r="C72" s="530">
        <v>8830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271</v>
      </c>
      <c r="C73" s="530">
        <v>6942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870</v>
      </c>
      <c r="C74" s="530">
        <v>1888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574</v>
      </c>
      <c r="C75" s="545">
        <v>186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885</v>
      </c>
      <c r="C76" s="545">
        <v>694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933</v>
      </c>
      <c r="C77" s="532">
        <f>SUM(C71+C72+C75)</f>
        <v>24549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847</v>
      </c>
      <c r="C78" s="596">
        <f>SUM(C70+C77)</f>
        <v>41188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183</v>
      </c>
      <c r="B80" s="509" t="s">
        <v>938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778</v>
      </c>
      <c r="C81" s="541">
        <v>1.3378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757</v>
      </c>
      <c r="C82" s="541">
        <v>1.6591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903</v>
      </c>
      <c r="C83" s="541">
        <f>((C73*C84)+(C74*C85))/(C73+C74)</f>
        <v>1.1078941789354473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271</v>
      </c>
      <c r="C84" s="541">
        <v>1.0792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870</v>
      </c>
      <c r="C85" s="541">
        <v>1.2134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574</v>
      </c>
      <c r="C86" s="541">
        <v>1.24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885</v>
      </c>
      <c r="C87" s="541">
        <v>1.3109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939</v>
      </c>
      <c r="C88" s="543">
        <f>((C71*C82)+(C73*C84)+(C74*C85)+(C75*C86))/(C71+C73+C74+C75)</f>
        <v>1.4576620595543606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848</v>
      </c>
      <c r="C89" s="543">
        <f>((C70*C81)+(C71*C82)+(C73*C84)+(C74*C85)+(C75*C86))/(C70+C71+C73+C74+C75)</f>
        <v>1.409240557929494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193</v>
      </c>
      <c r="B91" s="509" t="s">
        <v>940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941</v>
      </c>
      <c r="C92" s="513">
        <v>599039787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942</v>
      </c>
      <c r="C93" s="546">
        <v>302671779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790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874</v>
      </c>
      <c r="C95" s="513">
        <f>+C92-C93</f>
        <v>296368008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792</v>
      </c>
      <c r="C96" s="597">
        <f>(+C92-C93)/C92</f>
        <v>0.4947384371315557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889</v>
      </c>
      <c r="C98" s="513">
        <v>19836452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875</v>
      </c>
      <c r="C99" s="513">
        <v>10340167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27</v>
      </c>
      <c r="C101" s="513">
        <v>4364687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944</v>
      </c>
      <c r="C103" s="513">
        <v>23984656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945</v>
      </c>
      <c r="C104" s="513">
        <v>23850531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946</v>
      </c>
      <c r="C105" s="578">
        <f>+C103+C104</f>
        <v>47835187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947</v>
      </c>
      <c r="C107" s="513">
        <v>122550875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832</v>
      </c>
      <c r="C108" s="513">
        <v>824177868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292</v>
      </c>
      <c r="B110" s="501" t="s">
        <v>977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171</v>
      </c>
      <c r="B112" s="509" t="s">
        <v>978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776</v>
      </c>
      <c r="C114" s="514">
        <f>+C65</f>
        <v>688519077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0</v>
      </c>
      <c r="C115" s="546">
        <f>+C101</f>
        <v>4364687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1</v>
      </c>
      <c r="C116" s="517">
        <f>+C114+C115</f>
        <v>692883764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2</v>
      </c>
      <c r="C118" s="578">
        <v>14296570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3</v>
      </c>
      <c r="C119" s="580">
        <f>+C116+C118</f>
        <v>707180334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4</v>
      </c>
      <c r="C121" s="513">
        <v>707180334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5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183</v>
      </c>
      <c r="B125" s="509" t="s">
        <v>6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7</v>
      </c>
      <c r="C127" s="514">
        <f>+C38</f>
        <v>1714431648</v>
      </c>
      <c r="D127" s="588"/>
      <c r="AR127" s="507"/>
    </row>
    <row r="128" spans="1:44" s="506" customFormat="1" ht="12.75">
      <c r="A128" s="512">
        <v>2</v>
      </c>
      <c r="B128" s="583" t="s">
        <v>8</v>
      </c>
      <c r="C128" s="513">
        <v>0</v>
      </c>
      <c r="D128" s="588"/>
      <c r="AR128" s="507"/>
    </row>
    <row r="129" spans="1:44" s="506" customFormat="1" ht="12.75">
      <c r="A129" s="512"/>
      <c r="B129" s="516" t="s">
        <v>9</v>
      </c>
      <c r="C129" s="581">
        <f>C127+C128</f>
        <v>1714431648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10</v>
      </c>
      <c r="C131" s="513">
        <v>1714431648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5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193</v>
      </c>
      <c r="B135" s="509" t="s">
        <v>11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12</v>
      </c>
      <c r="C137" s="513">
        <f>C105</f>
        <v>47835187</v>
      </c>
      <c r="D137" s="588"/>
      <c r="AR137" s="507"/>
    </row>
    <row r="138" spans="1:44" s="506" customFormat="1" ht="12.75">
      <c r="A138" s="512">
        <v>2</v>
      </c>
      <c r="B138" s="511" t="s">
        <v>28</v>
      </c>
      <c r="C138" s="513">
        <v>6257785</v>
      </c>
      <c r="D138" s="588"/>
      <c r="AR138" s="507"/>
    </row>
    <row r="139" spans="1:44" s="506" customFormat="1" ht="12.75">
      <c r="A139" s="512"/>
      <c r="B139" s="516" t="s">
        <v>14</v>
      </c>
      <c r="C139" s="581">
        <f>C137+C138</f>
        <v>54092972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29</v>
      </c>
      <c r="C141" s="513">
        <v>54092972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16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FILING&amp;RHARTFORD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157</v>
      </c>
      <c r="B2" s="715"/>
      <c r="C2" s="715"/>
      <c r="D2" s="715"/>
      <c r="E2" s="715"/>
      <c r="F2" s="716"/>
    </row>
    <row r="3" spans="1:6" ht="15.75" customHeight="1">
      <c r="A3" s="714" t="s">
        <v>748</v>
      </c>
      <c r="B3" s="715"/>
      <c r="C3" s="715"/>
      <c r="D3" s="715"/>
      <c r="E3" s="715"/>
      <c r="F3" s="716"/>
    </row>
    <row r="4" spans="1:6" ht="15.75" customHeight="1">
      <c r="A4" s="714" t="s">
        <v>749</v>
      </c>
      <c r="B4" s="715"/>
      <c r="C4" s="715"/>
      <c r="D4" s="715"/>
      <c r="E4" s="715"/>
      <c r="F4" s="716"/>
    </row>
    <row r="5" spans="1:6" ht="15.75" customHeight="1">
      <c r="A5" s="714" t="s">
        <v>30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752</v>
      </c>
      <c r="D8" s="35" t="s">
        <v>752</v>
      </c>
      <c r="E8" s="35" t="s">
        <v>163</v>
      </c>
      <c r="F8" s="35" t="s">
        <v>164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165</v>
      </c>
      <c r="B9" s="606" t="s">
        <v>166</v>
      </c>
      <c r="C9" s="607" t="s">
        <v>754</v>
      </c>
      <c r="D9" s="607" t="s">
        <v>755</v>
      </c>
      <c r="E9" s="605" t="s">
        <v>168</v>
      </c>
      <c r="F9" s="605" t="s">
        <v>168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171</v>
      </c>
      <c r="B11" s="606" t="s">
        <v>31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32</v>
      </c>
      <c r="C12" s="49">
        <v>13059</v>
      </c>
      <c r="D12" s="49">
        <v>12382</v>
      </c>
      <c r="E12" s="49">
        <f>+D12-C12</f>
        <v>-677</v>
      </c>
      <c r="F12" s="70">
        <f>IF(C12=0,0,+E12/C12)</f>
        <v>-0.05184164177961559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33</v>
      </c>
      <c r="C13" s="49">
        <v>12406</v>
      </c>
      <c r="D13" s="49">
        <v>11763</v>
      </c>
      <c r="E13" s="49">
        <f>+D13-C13</f>
        <v>-643</v>
      </c>
      <c r="F13" s="70">
        <f>IF(C13=0,0,+E13/C13)</f>
        <v>-0.051829759793648233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34</v>
      </c>
      <c r="C15" s="51">
        <v>22281604</v>
      </c>
      <c r="D15" s="51">
        <v>23984656</v>
      </c>
      <c r="E15" s="51">
        <f>+D15-C15</f>
        <v>1703052</v>
      </c>
      <c r="F15" s="70">
        <f>IF(C15=0,0,+E15/C15)</f>
        <v>0.07643309700684026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35</v>
      </c>
      <c r="C16" s="27">
        <f>IF(C13=0,0,+C15/+C13)</f>
        <v>1796.034499435757</v>
      </c>
      <c r="D16" s="27">
        <f>IF(D13=0,0,+D15/+D13)</f>
        <v>2038.9914137549945</v>
      </c>
      <c r="E16" s="27">
        <f>+D16-C16</f>
        <v>242.9569143192375</v>
      </c>
      <c r="F16" s="28">
        <f>IF(C16=0,0,+E16/C16)</f>
        <v>0.1352740798662637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36</v>
      </c>
      <c r="C18" s="210">
        <v>0.4654</v>
      </c>
      <c r="D18" s="210">
        <v>0.478729</v>
      </c>
      <c r="E18" s="210">
        <f>+D18-C18</f>
        <v>0.013329000000000035</v>
      </c>
      <c r="F18" s="70">
        <f>IF(C18=0,0,+E18/C18)</f>
        <v>0.028639879673399305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37</v>
      </c>
      <c r="C19" s="27">
        <f>+C15*C18</f>
        <v>10369858.5016</v>
      </c>
      <c r="D19" s="27">
        <f>+D15*D18</f>
        <v>11482150.382224001</v>
      </c>
      <c r="E19" s="27">
        <f>+D19-C19</f>
        <v>1112291.8806240018</v>
      </c>
      <c r="F19" s="28">
        <f>IF(C19=0,0,+E19/C19)</f>
        <v>0.10726201138158083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38</v>
      </c>
      <c r="C20" s="27">
        <f>IF(C13=0,0,+C19/C13)</f>
        <v>835.8744560374012</v>
      </c>
      <c r="D20" s="27">
        <f>IF(D13=0,0,+D19/D13)</f>
        <v>976.1243205155148</v>
      </c>
      <c r="E20" s="27">
        <f>+D20-C20</f>
        <v>140.24986447811364</v>
      </c>
      <c r="F20" s="28">
        <f>IF(C20=0,0,+E20/C20)</f>
        <v>0.16778819290996275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39</v>
      </c>
      <c r="C22" s="51">
        <v>11019310</v>
      </c>
      <c r="D22" s="51">
        <v>13785970</v>
      </c>
      <c r="E22" s="51">
        <f>+D22-C22</f>
        <v>2766660</v>
      </c>
      <c r="F22" s="70">
        <f>IF(C22=0,0,+E22/C22)</f>
        <v>0.2510737968166791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40</v>
      </c>
      <c r="C23" s="49">
        <v>6981517</v>
      </c>
      <c r="D23" s="49">
        <v>6466196</v>
      </c>
      <c r="E23" s="49">
        <f>+D23-C23</f>
        <v>-515321</v>
      </c>
      <c r="F23" s="70">
        <f>IF(C23=0,0,+E23/C23)</f>
        <v>-0.07381218150725695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41</v>
      </c>
      <c r="C24" s="49">
        <v>4280777</v>
      </c>
      <c r="D24" s="49">
        <v>3732490</v>
      </c>
      <c r="E24" s="49">
        <f>+D24-C24</f>
        <v>-548287</v>
      </c>
      <c r="F24" s="70">
        <f>IF(C24=0,0,+E24/C24)</f>
        <v>-0.12808118713028033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34</v>
      </c>
      <c r="C25" s="27">
        <f>+C22+C23+C24</f>
        <v>22281604</v>
      </c>
      <c r="D25" s="27">
        <f>+D22+D23+D24</f>
        <v>23984656</v>
      </c>
      <c r="E25" s="27">
        <f>+E22+E23+E24</f>
        <v>1703052</v>
      </c>
      <c r="F25" s="28">
        <f>IF(C25=0,0,+E25/C25)</f>
        <v>0.07643309700684026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42</v>
      </c>
      <c r="C27" s="49">
        <v>1420</v>
      </c>
      <c r="D27" s="49">
        <v>2139</v>
      </c>
      <c r="E27" s="49">
        <f>+D27-C27</f>
        <v>719</v>
      </c>
      <c r="F27" s="70">
        <f>IF(C27=0,0,+E27/C27)</f>
        <v>0.5063380281690141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43</v>
      </c>
      <c r="C28" s="49">
        <v>261</v>
      </c>
      <c r="D28" s="49">
        <v>437</v>
      </c>
      <c r="E28" s="49">
        <f>+D28-C28</f>
        <v>176</v>
      </c>
      <c r="F28" s="70">
        <f>IF(C28=0,0,+E28/C28)</f>
        <v>0.6743295019157088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44</v>
      </c>
      <c r="C29" s="49">
        <v>9905</v>
      </c>
      <c r="D29" s="49">
        <v>7139</v>
      </c>
      <c r="E29" s="49">
        <f>+D29-C29</f>
        <v>-2766</v>
      </c>
      <c r="F29" s="70">
        <f>IF(C29=0,0,+E29/C29)</f>
        <v>-0.27925290257445734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45</v>
      </c>
      <c r="C30" s="49">
        <v>14897</v>
      </c>
      <c r="D30" s="49">
        <v>11953</v>
      </c>
      <c r="E30" s="49">
        <f>+D30-C30</f>
        <v>-2944</v>
      </c>
      <c r="F30" s="70">
        <f>IF(C30=0,0,+E30/C30)</f>
        <v>-0.19762368262066188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183</v>
      </c>
      <c r="B32" s="606" t="s">
        <v>46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47</v>
      </c>
      <c r="C33" s="51">
        <v>13581738</v>
      </c>
      <c r="D33" s="51">
        <v>10541182</v>
      </c>
      <c r="E33" s="51">
        <f>+D33-C33</f>
        <v>-3040556</v>
      </c>
      <c r="F33" s="70">
        <f>IF(C33=0,0,+E33/C33)</f>
        <v>-0.22387090665421466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48</v>
      </c>
      <c r="C34" s="49">
        <v>7892618</v>
      </c>
      <c r="D34" s="49">
        <v>4135605</v>
      </c>
      <c r="E34" s="49">
        <f>+D34-C34</f>
        <v>-3757013</v>
      </c>
      <c r="F34" s="70">
        <f>IF(C34=0,0,+E34/C34)</f>
        <v>-0.4760160696995598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49</v>
      </c>
      <c r="C35" s="49">
        <v>9207651</v>
      </c>
      <c r="D35" s="49">
        <v>9173744</v>
      </c>
      <c r="E35" s="49">
        <f>+D35-C35</f>
        <v>-33907</v>
      </c>
      <c r="F35" s="70">
        <f>IF(C35=0,0,+E35/C35)</f>
        <v>-0.0036824810149733087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50</v>
      </c>
      <c r="C36" s="27">
        <f>+C33+C34+C35</f>
        <v>30682007</v>
      </c>
      <c r="D36" s="27">
        <f>+D33+D34+D35</f>
        <v>23850531</v>
      </c>
      <c r="E36" s="27">
        <f>+E33+E34+E35</f>
        <v>-6831476</v>
      </c>
      <c r="F36" s="28">
        <f>IF(C36=0,0,+E36/C36)</f>
        <v>-0.22265414384397997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193</v>
      </c>
      <c r="B38" s="606" t="s">
        <v>51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52</v>
      </c>
      <c r="C39" s="51">
        <f>+C25</f>
        <v>22281604</v>
      </c>
      <c r="D39" s="51">
        <f>+D25</f>
        <v>23984656</v>
      </c>
      <c r="E39" s="51">
        <f>+D39-C39</f>
        <v>1703052</v>
      </c>
      <c r="F39" s="70">
        <f>IF(C39=0,0,+E39/C39)</f>
        <v>0.07643309700684026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53</v>
      </c>
      <c r="C40" s="49">
        <f>+C36</f>
        <v>30682007</v>
      </c>
      <c r="D40" s="49">
        <f>+D36</f>
        <v>23850531</v>
      </c>
      <c r="E40" s="49">
        <f>+D40-C40</f>
        <v>-6831476</v>
      </c>
      <c r="F40" s="70">
        <f>IF(C40=0,0,+E40/C40)</f>
        <v>-0.22265414384397997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54</v>
      </c>
      <c r="C41" s="27">
        <f>+C39+C40</f>
        <v>52963611</v>
      </c>
      <c r="D41" s="27">
        <f>+D39+D40</f>
        <v>47835187</v>
      </c>
      <c r="E41" s="27">
        <f>+E39+E40</f>
        <v>-5128424</v>
      </c>
      <c r="F41" s="28">
        <f>IF(C41=0,0,+E41/C41)</f>
        <v>-0.09682919844721312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55</v>
      </c>
      <c r="C43" s="51">
        <f aca="true" t="shared" si="0" ref="C43:D45">+C22+C33</f>
        <v>24601048</v>
      </c>
      <c r="D43" s="51">
        <f t="shared" si="0"/>
        <v>24327152</v>
      </c>
      <c r="E43" s="51">
        <f>+D43-C43</f>
        <v>-273896</v>
      </c>
      <c r="F43" s="70">
        <f>IF(C43=0,0,+E43/C43)</f>
        <v>-0.011133509434232233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56</v>
      </c>
      <c r="C44" s="49">
        <f t="shared" si="0"/>
        <v>14874135</v>
      </c>
      <c r="D44" s="49">
        <f t="shared" si="0"/>
        <v>10601801</v>
      </c>
      <c r="E44" s="49">
        <f>+D44-C44</f>
        <v>-4272334</v>
      </c>
      <c r="F44" s="70">
        <f>IF(C44=0,0,+E44/C44)</f>
        <v>-0.28723243402053295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57</v>
      </c>
      <c r="C45" s="49">
        <f t="shared" si="0"/>
        <v>13488428</v>
      </c>
      <c r="D45" s="49">
        <f t="shared" si="0"/>
        <v>12906234</v>
      </c>
      <c r="E45" s="49">
        <f>+D45-C45</f>
        <v>-582194</v>
      </c>
      <c r="F45" s="70">
        <f>IF(C45=0,0,+E45/C45)</f>
        <v>-0.04316247971965302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54</v>
      </c>
      <c r="C46" s="27">
        <f>+C43+C44+C45</f>
        <v>52963611</v>
      </c>
      <c r="D46" s="27">
        <f>+D43+D44+D45</f>
        <v>47835187</v>
      </c>
      <c r="E46" s="27">
        <f>+E43+E44+E45</f>
        <v>-5128424</v>
      </c>
      <c r="F46" s="28">
        <f>IF(C46=0,0,+E46/C46)</f>
        <v>-0.09682919844721312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58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64" r:id="rId1"/>
  <headerFooter alignWithMargins="0">
    <oddHeader>&amp;LOFFICE OF HEALTH CARE ACCESS&amp;CTWELVE MONTHS ACTUAL FILING&amp;RHARTFORD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3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157</v>
      </c>
      <c r="B2" s="715"/>
      <c r="C2" s="715"/>
      <c r="D2" s="715"/>
      <c r="E2" s="715"/>
      <c r="F2" s="716"/>
    </row>
    <row r="3" spans="1:6" ht="15.75" customHeight="1">
      <c r="A3" s="714" t="s">
        <v>748</v>
      </c>
      <c r="B3" s="715"/>
      <c r="C3" s="715"/>
      <c r="D3" s="715"/>
      <c r="E3" s="715"/>
      <c r="F3" s="716"/>
    </row>
    <row r="4" spans="1:6" ht="15.75" customHeight="1">
      <c r="A4" s="714" t="s">
        <v>749</v>
      </c>
      <c r="B4" s="715"/>
      <c r="C4" s="715"/>
      <c r="D4" s="715"/>
      <c r="E4" s="715"/>
      <c r="F4" s="716"/>
    </row>
    <row r="5" spans="1:6" ht="15.75" customHeight="1">
      <c r="A5" s="714" t="s">
        <v>59</v>
      </c>
      <c r="B5" s="715"/>
      <c r="C5" s="715"/>
      <c r="D5" s="715"/>
      <c r="E5" s="715"/>
      <c r="F5" s="716"/>
    </row>
    <row r="6" spans="1:6" ht="15.75" customHeight="1">
      <c r="A6" s="714" t="s">
        <v>60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754</v>
      </c>
      <c r="D9" s="35" t="s">
        <v>755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61</v>
      </c>
      <c r="D10" s="35" t="s">
        <v>61</v>
      </c>
      <c r="E10" s="35" t="s">
        <v>163</v>
      </c>
      <c r="F10" s="35" t="s">
        <v>164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165</v>
      </c>
      <c r="B11" s="606" t="s">
        <v>166</v>
      </c>
      <c r="C11" s="605" t="s">
        <v>62</v>
      </c>
      <c r="D11" s="605" t="s">
        <v>62</v>
      </c>
      <c r="E11" s="605" t="s">
        <v>168</v>
      </c>
      <c r="F11" s="605" t="s">
        <v>168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63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481</v>
      </c>
      <c r="C15" s="51">
        <v>513306904</v>
      </c>
      <c r="D15" s="51">
        <v>599039787</v>
      </c>
      <c r="E15" s="51">
        <f>+D15-C15</f>
        <v>85732883</v>
      </c>
      <c r="F15" s="70">
        <f>+E15/C15</f>
        <v>0.16702070892075904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660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64</v>
      </c>
      <c r="C17" s="51">
        <v>262715977</v>
      </c>
      <c r="D17" s="51">
        <v>296368008</v>
      </c>
      <c r="E17" s="51">
        <f>+D17-C17</f>
        <v>33652031</v>
      </c>
      <c r="F17" s="70">
        <f>+E17/C17</f>
        <v>0.12809282246279222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65</v>
      </c>
      <c r="C19" s="27">
        <f>+C15-C17</f>
        <v>250590927</v>
      </c>
      <c r="D19" s="27">
        <f>+D15-D17</f>
        <v>302671779</v>
      </c>
      <c r="E19" s="27">
        <f>+D19-C19</f>
        <v>52080852</v>
      </c>
      <c r="F19" s="28">
        <f>+E19/C19</f>
        <v>0.20783215347617115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66</v>
      </c>
      <c r="C21" s="628">
        <f>+C17/C15</f>
        <v>0.5118107217198076</v>
      </c>
      <c r="D21" s="628">
        <f>+D17/D15</f>
        <v>0.4947384371315557</v>
      </c>
      <c r="E21" s="628">
        <f>+D21-C21</f>
        <v>-0.017072284588251885</v>
      </c>
      <c r="F21" s="28">
        <f>+E21/C21</f>
        <v>-0.033356637256220206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660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660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660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660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67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FILING&amp;R&amp;12HARTFORD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zoomScale="75" zoomScaleNormal="75" zoomScalePageLayoutView="0" workbookViewId="0" topLeftCell="A4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3" width="20.57421875" style="0" customWidth="1"/>
    <col min="4" max="5" width="21.28125" style="0" customWidth="1"/>
  </cols>
  <sheetData>
    <row r="1" spans="1:6" ht="25.5" customHeight="1">
      <c r="A1" s="718" t="s">
        <v>157</v>
      </c>
      <c r="B1" s="718"/>
      <c r="C1" s="718"/>
      <c r="D1" s="718"/>
      <c r="E1" s="718"/>
      <c r="F1" s="630"/>
    </row>
    <row r="2" spans="1:6" ht="25.5" customHeight="1">
      <c r="A2" s="718" t="s">
        <v>158</v>
      </c>
      <c r="B2" s="718"/>
      <c r="C2" s="718"/>
      <c r="D2" s="718"/>
      <c r="E2" s="718"/>
      <c r="F2" s="630"/>
    </row>
    <row r="3" spans="1:6" ht="25.5" customHeight="1">
      <c r="A3" s="718" t="s">
        <v>159</v>
      </c>
      <c r="B3" s="718"/>
      <c r="C3" s="718"/>
      <c r="D3" s="718"/>
      <c r="E3" s="718"/>
      <c r="F3" s="630"/>
    </row>
    <row r="4" spans="1:6" ht="25.5" customHeight="1">
      <c r="A4" s="718" t="s">
        <v>68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69</v>
      </c>
      <c r="B6" s="632" t="s">
        <v>70</v>
      </c>
      <c r="C6" s="632" t="s">
        <v>71</v>
      </c>
      <c r="D6" s="632" t="s">
        <v>72</v>
      </c>
      <c r="E6" s="632" t="s">
        <v>73</v>
      </c>
    </row>
    <row r="7" spans="1:5" ht="37.5" customHeight="1">
      <c r="A7" s="633" t="s">
        <v>165</v>
      </c>
      <c r="B7" s="634" t="s">
        <v>74</v>
      </c>
      <c r="C7" s="631" t="s">
        <v>75</v>
      </c>
      <c r="D7" s="631" t="s">
        <v>76</v>
      </c>
      <c r="E7" s="631" t="s">
        <v>77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171</v>
      </c>
      <c r="B9" s="637" t="s">
        <v>78</v>
      </c>
      <c r="C9" s="638"/>
      <c r="D9" s="638"/>
      <c r="E9" s="638"/>
    </row>
    <row r="10" spans="1:5" ht="25.5" customHeight="1">
      <c r="A10" s="639">
        <v>1</v>
      </c>
      <c r="B10" s="640" t="s">
        <v>79</v>
      </c>
      <c r="C10" s="641">
        <v>1045320939</v>
      </c>
      <c r="D10" s="641">
        <v>1115172714</v>
      </c>
      <c r="E10" s="641">
        <v>1220439016</v>
      </c>
    </row>
    <row r="11" spans="1:5" ht="25.5" customHeight="1">
      <c r="A11" s="639">
        <v>2</v>
      </c>
      <c r="B11" s="640" t="s">
        <v>80</v>
      </c>
      <c r="C11" s="641">
        <v>406885299</v>
      </c>
      <c r="D11" s="641">
        <v>440699072</v>
      </c>
      <c r="E11" s="641">
        <v>493992632</v>
      </c>
    </row>
    <row r="12" spans="1:5" ht="25.5" customHeight="1">
      <c r="A12" s="639">
        <v>3</v>
      </c>
      <c r="B12" s="640" t="s">
        <v>228</v>
      </c>
      <c r="C12" s="641">
        <f>+C11+C10</f>
        <v>1452206238</v>
      </c>
      <c r="D12" s="641">
        <f>+D11+D10</f>
        <v>1555871786</v>
      </c>
      <c r="E12" s="641">
        <f>+E11+E10</f>
        <v>1714431648</v>
      </c>
    </row>
    <row r="13" spans="1:5" ht="25.5" customHeight="1">
      <c r="A13" s="639">
        <v>4</v>
      </c>
      <c r="B13" s="640" t="s">
        <v>640</v>
      </c>
      <c r="C13" s="641">
        <v>617507812</v>
      </c>
      <c r="D13" s="641">
        <v>639563211</v>
      </c>
      <c r="E13" s="641">
        <v>701170031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183</v>
      </c>
      <c r="B15" s="642" t="s">
        <v>480</v>
      </c>
      <c r="C15" s="641"/>
      <c r="D15" s="641"/>
      <c r="E15" s="641"/>
    </row>
    <row r="16" spans="1:5" ht="25.5" customHeight="1">
      <c r="A16" s="639">
        <v>1</v>
      </c>
      <c r="B16" s="640" t="s">
        <v>81</v>
      </c>
      <c r="C16" s="641">
        <v>745010396</v>
      </c>
      <c r="D16" s="641">
        <v>779129428</v>
      </c>
      <c r="E16" s="641">
        <v>824177868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193</v>
      </c>
      <c r="B18" s="642" t="s">
        <v>82</v>
      </c>
      <c r="C18" s="643"/>
      <c r="D18" s="643"/>
      <c r="E18" s="641"/>
    </row>
    <row r="19" spans="1:5" ht="25.5" customHeight="1">
      <c r="A19" s="639">
        <v>1</v>
      </c>
      <c r="B19" s="640" t="s">
        <v>528</v>
      </c>
      <c r="C19" s="644">
        <v>211887</v>
      </c>
      <c r="D19" s="644">
        <v>212013</v>
      </c>
      <c r="E19" s="644">
        <v>215958</v>
      </c>
    </row>
    <row r="20" spans="1:5" ht="25.5" customHeight="1">
      <c r="A20" s="639">
        <v>2</v>
      </c>
      <c r="B20" s="640" t="s">
        <v>529</v>
      </c>
      <c r="C20" s="645">
        <v>39621</v>
      </c>
      <c r="D20" s="645">
        <v>39840</v>
      </c>
      <c r="E20" s="645">
        <v>41188</v>
      </c>
    </row>
    <row r="21" spans="1:5" ht="25.5" customHeight="1">
      <c r="A21" s="639">
        <v>3</v>
      </c>
      <c r="B21" s="640" t="s">
        <v>83</v>
      </c>
      <c r="C21" s="646">
        <f>IF(C20=0,0,+C19/C20)</f>
        <v>5.347845839327629</v>
      </c>
      <c r="D21" s="646">
        <f>IF(D20=0,0,+D19/D20)</f>
        <v>5.321611445783133</v>
      </c>
      <c r="E21" s="646">
        <f>IF(E20=0,0,+E19/E20)</f>
        <v>5.243226182383219</v>
      </c>
    </row>
    <row r="22" spans="1:5" ht="25.5" customHeight="1">
      <c r="A22" s="639">
        <v>4</v>
      </c>
      <c r="B22" s="640" t="s">
        <v>84</v>
      </c>
      <c r="C22" s="645">
        <f>IF(C10=0,0,C19*(C12/C10))</f>
        <v>294362.82357977907</v>
      </c>
      <c r="D22" s="645">
        <f>IF(D10=0,0,D19*(D12/D10))</f>
        <v>295797.2705250552</v>
      </c>
      <c r="E22" s="645">
        <f>IF(E10=0,0,E19*(E12/E10))</f>
        <v>303370.52895298786</v>
      </c>
    </row>
    <row r="23" spans="1:5" ht="25.5" customHeight="1">
      <c r="A23" s="639">
        <v>0</v>
      </c>
      <c r="B23" s="640" t="s">
        <v>85</v>
      </c>
      <c r="C23" s="645">
        <f>IF(C10=0,0,C20*(C12/C10))</f>
        <v>55043.25151167569</v>
      </c>
      <c r="D23" s="645">
        <f>IF(D10=0,0,D20*(D12/D10))</f>
        <v>55584.15407412847</v>
      </c>
      <c r="E23" s="645">
        <f>IF(E10=0,0,E20*(E12/E10))</f>
        <v>57859.51595456368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477</v>
      </c>
      <c r="B25" s="642" t="s">
        <v>86</v>
      </c>
      <c r="C25" s="645"/>
      <c r="D25" s="645"/>
      <c r="E25" s="645"/>
    </row>
    <row r="26" spans="1:5" ht="25.5" customHeight="1">
      <c r="A26" s="639">
        <v>1</v>
      </c>
      <c r="B26" s="640" t="s">
        <v>578</v>
      </c>
      <c r="C26" s="647">
        <v>1.3901504076121247</v>
      </c>
      <c r="D26" s="647">
        <v>1.3965774347389557</v>
      </c>
      <c r="E26" s="647">
        <v>1.409240557929494</v>
      </c>
    </row>
    <row r="27" spans="1:5" ht="25.5" customHeight="1">
      <c r="A27" s="639">
        <v>2</v>
      </c>
      <c r="B27" s="640" t="s">
        <v>87</v>
      </c>
      <c r="C27" s="645">
        <f>C19*C26</f>
        <v>294554.7994177103</v>
      </c>
      <c r="D27" s="645">
        <f>D19*D26</f>
        <v>296092.57167131023</v>
      </c>
      <c r="E27" s="645">
        <f>E19*E26</f>
        <v>304336.7724093377</v>
      </c>
    </row>
    <row r="28" spans="1:5" ht="25.5" customHeight="1">
      <c r="A28" s="639">
        <v>3</v>
      </c>
      <c r="B28" s="640" t="s">
        <v>88</v>
      </c>
      <c r="C28" s="645">
        <f>C20*C26</f>
        <v>55079.14929999999</v>
      </c>
      <c r="D28" s="645">
        <f>D20*D26</f>
        <v>55639.645</v>
      </c>
      <c r="E28" s="645">
        <f>E20*E26</f>
        <v>58043.8001</v>
      </c>
    </row>
    <row r="29" spans="1:5" ht="25.5" customHeight="1">
      <c r="A29" s="639">
        <v>4</v>
      </c>
      <c r="B29" s="640" t="s">
        <v>89</v>
      </c>
      <c r="C29" s="645">
        <f>C22*C26</f>
        <v>409208.59918528586</v>
      </c>
      <c r="D29" s="645">
        <f>D22*D26</f>
        <v>413103.79327266646</v>
      </c>
      <c r="E29" s="645">
        <f>E22*E26</f>
        <v>427522.05348107434</v>
      </c>
    </row>
    <row r="30" spans="1:5" ht="25.5" customHeight="1">
      <c r="A30" s="639">
        <v>5</v>
      </c>
      <c r="B30" s="640" t="s">
        <v>90</v>
      </c>
      <c r="C30" s="645">
        <f>C23*C26</f>
        <v>76518.39852525266</v>
      </c>
      <c r="D30" s="645">
        <f>D23*D26</f>
        <v>77627.5753089812</v>
      </c>
      <c r="E30" s="645">
        <f>E23*E26</f>
        <v>81537.97654533977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498</v>
      </c>
      <c r="B32" s="634" t="s">
        <v>91</v>
      </c>
      <c r="C32" s="648"/>
      <c r="D32" s="648"/>
      <c r="E32" s="645"/>
    </row>
    <row r="33" spans="1:5" ht="25.5" customHeight="1">
      <c r="A33" s="639">
        <v>1</v>
      </c>
      <c r="B33" s="640" t="s">
        <v>92</v>
      </c>
      <c r="C33" s="641">
        <f>IF(C19=0,0,C12/C19)</f>
        <v>6853.682566651092</v>
      </c>
      <c r="D33" s="641">
        <f>IF(D19=0,0,D12/D19)</f>
        <v>7338.567851971341</v>
      </c>
      <c r="E33" s="641">
        <f>IF(E19=0,0,E12/E19)</f>
        <v>7938.727196954964</v>
      </c>
    </row>
    <row r="34" spans="1:5" ht="25.5" customHeight="1">
      <c r="A34" s="639">
        <v>2</v>
      </c>
      <c r="B34" s="640" t="s">
        <v>93</v>
      </c>
      <c r="C34" s="641">
        <f>IF(C20=0,0,C12/C20)</f>
        <v>36652.437798137355</v>
      </c>
      <c r="D34" s="641">
        <f>IF(D20=0,0,D12/D20)</f>
        <v>39053.00667670683</v>
      </c>
      <c r="E34" s="641">
        <f>IF(E20=0,0,E12/E20)</f>
        <v>41624.542293872</v>
      </c>
    </row>
    <row r="35" spans="1:5" ht="25.5" customHeight="1">
      <c r="A35" s="639">
        <v>3</v>
      </c>
      <c r="B35" s="640" t="s">
        <v>94</v>
      </c>
      <c r="C35" s="641">
        <f>IF(C22=0,0,C12/C22)</f>
        <v>4933.388735505246</v>
      </c>
      <c r="D35" s="641">
        <f>IF(D22=0,0,D12/D22)</f>
        <v>5259.9261083046795</v>
      </c>
      <c r="E35" s="641">
        <f>IF(E22=0,0,E12/E22)</f>
        <v>5651.279489530371</v>
      </c>
    </row>
    <row r="36" spans="1:5" ht="25.5" customHeight="1">
      <c r="A36" s="639">
        <v>4</v>
      </c>
      <c r="B36" s="640" t="s">
        <v>95</v>
      </c>
      <c r="C36" s="641">
        <f>IF(C23=0,0,C12/C23)</f>
        <v>26383.00242295752</v>
      </c>
      <c r="D36" s="641">
        <f>IF(D23=0,0,D12/D23)</f>
        <v>27991.28298192771</v>
      </c>
      <c r="E36" s="641">
        <f>IF(E23=0,0,E12/E23)</f>
        <v>29630.936583470917</v>
      </c>
    </row>
    <row r="37" spans="1:5" ht="25.5" customHeight="1">
      <c r="A37" s="639">
        <v>5</v>
      </c>
      <c r="B37" s="640" t="s">
        <v>96</v>
      </c>
      <c r="C37" s="641">
        <f>IF(C29=0,0,C12/C29)</f>
        <v>3548.816522651946</v>
      </c>
      <c r="D37" s="641">
        <f>IF(D29=0,0,D12/D29)</f>
        <v>3766.297505220575</v>
      </c>
      <c r="E37" s="641">
        <f>IF(E29=0,0,E12/E29)</f>
        <v>4010.159555607334</v>
      </c>
    </row>
    <row r="38" spans="1:5" ht="25.5" customHeight="1">
      <c r="A38" s="639">
        <v>6</v>
      </c>
      <c r="B38" s="640" t="s">
        <v>97</v>
      </c>
      <c r="C38" s="641">
        <f>IF(C30=0,0,C12/C30)</f>
        <v>18978.523675201355</v>
      </c>
      <c r="D38" s="641">
        <f>IF(D30=0,0,D12/D30)</f>
        <v>20042.771912006272</v>
      </c>
      <c r="E38" s="641">
        <f>IF(E30=0,0,E12/E30)</f>
        <v>21026.173577494632</v>
      </c>
    </row>
    <row r="39" spans="1:5" ht="25.5" customHeight="1">
      <c r="A39" s="639">
        <v>7</v>
      </c>
      <c r="B39" s="640" t="s">
        <v>98</v>
      </c>
      <c r="C39" s="641">
        <f>IF(C22=0,0,C10/C22)</f>
        <v>3551.1309692159343</v>
      </c>
      <c r="D39" s="641">
        <f>IF(D22=0,0,D10/D22)</f>
        <v>3770.057485724976</v>
      </c>
      <c r="E39" s="641">
        <f>IF(E22=0,0,E10/E22)</f>
        <v>4022.932023793012</v>
      </c>
    </row>
    <row r="40" spans="1:5" ht="25.5" customHeight="1">
      <c r="A40" s="639">
        <v>8</v>
      </c>
      <c r="B40" s="640" t="s">
        <v>99</v>
      </c>
      <c r="C40" s="641">
        <f>IF(C23=0,0,C10/C23)</f>
        <v>18990.900978628924</v>
      </c>
      <c r="D40" s="641">
        <f>IF(D23=0,0,D10/D23)</f>
        <v>20062.781067294407</v>
      </c>
      <c r="E40" s="641">
        <f>IF(E23=0,0,E10/E23)</f>
        <v>21093.14251709943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510</v>
      </c>
      <c r="B42" s="634" t="s">
        <v>100</v>
      </c>
      <c r="C42" s="641"/>
      <c r="D42" s="641"/>
      <c r="E42" s="641"/>
    </row>
    <row r="43" spans="1:5" ht="25.5" customHeight="1">
      <c r="A43" s="639">
        <v>1</v>
      </c>
      <c r="B43" s="640" t="s">
        <v>101</v>
      </c>
      <c r="C43" s="641">
        <f>IF(C19=0,0,C13/C19)</f>
        <v>2914.3260889058793</v>
      </c>
      <c r="D43" s="641">
        <f>IF(D19=0,0,D13/D19)</f>
        <v>3016.6226174810035</v>
      </c>
      <c r="E43" s="641">
        <f>IF(E19=0,0,E13/E19)</f>
        <v>3246.7888709841727</v>
      </c>
    </row>
    <row r="44" spans="1:5" ht="25.5" customHeight="1">
      <c r="A44" s="639">
        <v>2</v>
      </c>
      <c r="B44" s="640" t="s">
        <v>103</v>
      </c>
      <c r="C44" s="641">
        <f>IF(C20=0,0,C13/C20)</f>
        <v>15585.366648999268</v>
      </c>
      <c r="D44" s="641">
        <f>IF(D20=0,0,D13/D20)</f>
        <v>16053.29344879518</v>
      </c>
      <c r="E44" s="641">
        <f>IF(E20=0,0,E13/E20)</f>
        <v>17023.648417014665</v>
      </c>
    </row>
    <row r="45" spans="1:5" ht="25.5" customHeight="1">
      <c r="A45" s="639">
        <v>3</v>
      </c>
      <c r="B45" s="640" t="s">
        <v>104</v>
      </c>
      <c r="C45" s="641">
        <f>IF(C22=0,0,C13/C22)</f>
        <v>2097.777852822645</v>
      </c>
      <c r="D45" s="641">
        <f>IF(D22=0,0,D13/D22)</f>
        <v>2162.1673853336874</v>
      </c>
      <c r="E45" s="641">
        <f>IF(E22=0,0,E13/E22)</f>
        <v>2311.266138539969</v>
      </c>
    </row>
    <row r="46" spans="1:5" ht="25.5" customHeight="1">
      <c r="A46" s="639">
        <v>4</v>
      </c>
      <c r="B46" s="640" t="s">
        <v>105</v>
      </c>
      <c r="C46" s="641">
        <f>IF(C23=0,0,C13/C23)</f>
        <v>11218.59256205123</v>
      </c>
      <c r="D46" s="641">
        <f>IF(D23=0,0,D13/D23)</f>
        <v>11506.21470549074</v>
      </c>
      <c r="E46" s="641">
        <f>IF(E23=0,0,E13/E23)</f>
        <v>12118.491132048524</v>
      </c>
    </row>
    <row r="47" spans="1:5" ht="25.5" customHeight="1">
      <c r="A47" s="639">
        <v>5</v>
      </c>
      <c r="B47" s="640" t="s">
        <v>106</v>
      </c>
      <c r="C47" s="641">
        <f>IF(C29=0,0,C13/C29)</f>
        <v>1509.0294124547422</v>
      </c>
      <c r="D47" s="641">
        <f>IF(D29=0,0,D13/D29)</f>
        <v>1548.1901193239842</v>
      </c>
      <c r="E47" s="641">
        <f>IF(E29=0,0,E13/E29)</f>
        <v>1640.079208290572</v>
      </c>
    </row>
    <row r="48" spans="1:5" ht="25.5" customHeight="1">
      <c r="A48" s="639">
        <v>6</v>
      </c>
      <c r="B48" s="640" t="s">
        <v>107</v>
      </c>
      <c r="C48" s="641">
        <f>IF(C30=0,0,C13/C30)</f>
        <v>8070.05666481911</v>
      </c>
      <c r="D48" s="641">
        <f>IF(D30=0,0,D13/D30)</f>
        <v>8238.866259242868</v>
      </c>
      <c r="E48" s="641">
        <f>IF(E30=0,0,E13/E30)</f>
        <v>8599.30624609147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522</v>
      </c>
      <c r="B50" s="634" t="s">
        <v>108</v>
      </c>
      <c r="C50" s="648"/>
      <c r="D50" s="648"/>
      <c r="E50" s="641"/>
    </row>
    <row r="51" spans="1:5" ht="25.5" customHeight="1">
      <c r="A51" s="639">
        <v>1</v>
      </c>
      <c r="B51" s="640" t="s">
        <v>109</v>
      </c>
      <c r="C51" s="641">
        <f>IF(C19=0,0,C16/C19)</f>
        <v>3516.074114976379</v>
      </c>
      <c r="D51" s="641">
        <f>IF(D19=0,0,D16/D19)</f>
        <v>3674.913462853693</v>
      </c>
      <c r="E51" s="641">
        <f>IF(E19=0,0,E16/E19)</f>
        <v>3816.38035173506</v>
      </c>
    </row>
    <row r="52" spans="1:5" ht="25.5" customHeight="1">
      <c r="A52" s="639">
        <v>2</v>
      </c>
      <c r="B52" s="640" t="s">
        <v>110</v>
      </c>
      <c r="C52" s="641">
        <f>IF(C20=0,0,C16/C20)</f>
        <v>18803.422326544005</v>
      </c>
      <c r="D52" s="641">
        <f>IF(D20=0,0,D16/D20)</f>
        <v>19556.46154618474</v>
      </c>
      <c r="E52" s="641">
        <f>IF(E20=0,0,E16/E20)</f>
        <v>20010.14538215014</v>
      </c>
    </row>
    <row r="53" spans="1:5" ht="25.5" customHeight="1">
      <c r="A53" s="639">
        <v>3</v>
      </c>
      <c r="B53" s="640" t="s">
        <v>111</v>
      </c>
      <c r="C53" s="641">
        <f>IF(C22=0,0,C16/C22)</f>
        <v>2530.925566414419</v>
      </c>
      <c r="D53" s="641">
        <f>IF(D22=0,0,D16/D22)</f>
        <v>2633.9980305328904</v>
      </c>
      <c r="E53" s="641">
        <f>IF(E22=0,0,E16/E22)</f>
        <v>2716.736760305809</v>
      </c>
    </row>
    <row r="54" spans="1:5" ht="25.5" customHeight="1">
      <c r="A54" s="639">
        <v>4</v>
      </c>
      <c r="B54" s="640" t="s">
        <v>112</v>
      </c>
      <c r="C54" s="641">
        <f>IF(C23=0,0,C16/C23)</f>
        <v>13534.999759997272</v>
      </c>
      <c r="D54" s="641">
        <f>IF(D23=0,0,D16/D23)</f>
        <v>14017.114067454058</v>
      </c>
      <c r="E54" s="641">
        <f>IF(E23=0,0,E16/E23)</f>
        <v>14244.465312278384</v>
      </c>
    </row>
    <row r="55" spans="1:5" ht="25.5" customHeight="1">
      <c r="A55" s="639">
        <v>5</v>
      </c>
      <c r="B55" s="640" t="s">
        <v>113</v>
      </c>
      <c r="C55" s="641">
        <f>IF(C29=0,0,C16/C29)</f>
        <v>1820.6127571201557</v>
      </c>
      <c r="D55" s="641">
        <f>IF(D29=0,0,D16/D29)</f>
        <v>1886.0379417667093</v>
      </c>
      <c r="E55" s="641">
        <f>IF(E29=0,0,E16/E29)</f>
        <v>1927.8019959185215</v>
      </c>
    </row>
    <row r="56" spans="1:5" ht="25.5" customHeight="1">
      <c r="A56" s="639">
        <v>6</v>
      </c>
      <c r="B56" s="640" t="s">
        <v>114</v>
      </c>
      <c r="C56" s="641">
        <f>IF(C30=0,0,C16/C30)</f>
        <v>9736.356358191828</v>
      </c>
      <c r="D56" s="641">
        <f>IF(D30=0,0,D16/D30)</f>
        <v>10036.761098086981</v>
      </c>
      <c r="E56" s="641">
        <f>IF(E30=0,0,E16/E30)</f>
        <v>10107.90189945062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526</v>
      </c>
      <c r="B58" s="642" t="s">
        <v>115</v>
      </c>
      <c r="C58" s="641"/>
      <c r="D58" s="641"/>
      <c r="E58" s="641"/>
    </row>
    <row r="59" spans="1:5" ht="25.5" customHeight="1">
      <c r="A59" s="639">
        <v>1</v>
      </c>
      <c r="B59" s="640" t="s">
        <v>116</v>
      </c>
      <c r="C59" s="649">
        <v>107836707</v>
      </c>
      <c r="D59" s="649">
        <v>129019458</v>
      </c>
      <c r="E59" s="649">
        <v>121405571</v>
      </c>
    </row>
    <row r="60" spans="1:5" ht="25.5" customHeight="1">
      <c r="A60" s="639">
        <v>2</v>
      </c>
      <c r="B60" s="640" t="s">
        <v>117</v>
      </c>
      <c r="C60" s="649">
        <v>29708788</v>
      </c>
      <c r="D60" s="649">
        <v>24857654</v>
      </c>
      <c r="E60" s="649">
        <v>26442571</v>
      </c>
    </row>
    <row r="61" spans="1:5" ht="25.5" customHeight="1">
      <c r="A61" s="650">
        <v>3</v>
      </c>
      <c r="B61" s="651" t="s">
        <v>118</v>
      </c>
      <c r="C61" s="652">
        <f>C59+C60</f>
        <v>137545495</v>
      </c>
      <c r="D61" s="652">
        <f>D59+D60</f>
        <v>153877112</v>
      </c>
      <c r="E61" s="652">
        <f>E59+E60</f>
        <v>147848142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169</v>
      </c>
      <c r="B63" s="642" t="s">
        <v>119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120</v>
      </c>
      <c r="C64" s="641">
        <v>31082291</v>
      </c>
      <c r="D64" s="641">
        <v>34042782</v>
      </c>
      <c r="E64" s="649">
        <v>36421774</v>
      </c>
      <c r="F64" s="653"/>
    </row>
    <row r="65" spans="1:6" ht="25.5" customHeight="1">
      <c r="A65" s="639">
        <v>2</v>
      </c>
      <c r="B65" s="640" t="s">
        <v>121</v>
      </c>
      <c r="C65" s="649">
        <v>8588381</v>
      </c>
      <c r="D65" s="649">
        <v>6558884</v>
      </c>
      <c r="E65" s="649">
        <v>7932794</v>
      </c>
      <c r="F65" s="653"/>
    </row>
    <row r="66" spans="1:6" ht="25.5" customHeight="1">
      <c r="A66" s="650">
        <v>3</v>
      </c>
      <c r="B66" s="651" t="s">
        <v>122</v>
      </c>
      <c r="C66" s="654">
        <f>C64+C65</f>
        <v>39670672</v>
      </c>
      <c r="D66" s="654">
        <f>D64+D65</f>
        <v>40601666</v>
      </c>
      <c r="E66" s="654">
        <f>E64+E65</f>
        <v>44354568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552</v>
      </c>
      <c r="B68" s="642" t="s">
        <v>123</v>
      </c>
      <c r="C68" s="649"/>
      <c r="D68" s="649"/>
      <c r="E68" s="649"/>
    </row>
    <row r="69" spans="1:5" ht="25.5" customHeight="1">
      <c r="A69" s="639">
        <v>1</v>
      </c>
      <c r="B69" s="640" t="s">
        <v>124</v>
      </c>
      <c r="C69" s="649">
        <v>179111518</v>
      </c>
      <c r="D69" s="649">
        <v>184912209</v>
      </c>
      <c r="E69" s="649">
        <v>207582325</v>
      </c>
    </row>
    <row r="70" spans="1:5" ht="25.5" customHeight="1">
      <c r="A70" s="639">
        <v>2</v>
      </c>
      <c r="B70" s="640" t="s">
        <v>125</v>
      </c>
      <c r="C70" s="649">
        <v>49339373</v>
      </c>
      <c r="D70" s="649">
        <v>35626283</v>
      </c>
      <c r="E70" s="649">
        <v>42759391</v>
      </c>
    </row>
    <row r="71" spans="1:5" ht="25.5" customHeight="1">
      <c r="A71" s="650">
        <v>3</v>
      </c>
      <c r="B71" s="651" t="s">
        <v>126</v>
      </c>
      <c r="C71" s="652">
        <f>C69+C70</f>
        <v>228450891</v>
      </c>
      <c r="D71" s="652">
        <f>D69+D70</f>
        <v>220538492</v>
      </c>
      <c r="E71" s="652">
        <f>E69+E70</f>
        <v>250341716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568</v>
      </c>
      <c r="B74" s="642" t="s">
        <v>127</v>
      </c>
      <c r="C74" s="641"/>
      <c r="D74" s="641"/>
      <c r="E74" s="641"/>
    </row>
    <row r="75" spans="1:5" ht="25.5" customHeight="1">
      <c r="A75" s="639">
        <v>1</v>
      </c>
      <c r="B75" s="640" t="s">
        <v>128</v>
      </c>
      <c r="C75" s="641">
        <f aca="true" t="shared" si="0" ref="C75:E76">+C59+C64+C69</f>
        <v>318030516</v>
      </c>
      <c r="D75" s="641">
        <f t="shared" si="0"/>
        <v>347974449</v>
      </c>
      <c r="E75" s="641">
        <f t="shared" si="0"/>
        <v>365409670</v>
      </c>
    </row>
    <row r="76" spans="1:5" ht="25.5" customHeight="1">
      <c r="A76" s="639">
        <v>2</v>
      </c>
      <c r="B76" s="640" t="s">
        <v>129</v>
      </c>
      <c r="C76" s="641">
        <f t="shared" si="0"/>
        <v>87636542</v>
      </c>
      <c r="D76" s="641">
        <f t="shared" si="0"/>
        <v>67042821</v>
      </c>
      <c r="E76" s="641">
        <f t="shared" si="0"/>
        <v>77134756</v>
      </c>
    </row>
    <row r="77" spans="1:5" ht="25.5" customHeight="1">
      <c r="A77" s="650">
        <v>3</v>
      </c>
      <c r="B77" s="651" t="s">
        <v>127</v>
      </c>
      <c r="C77" s="654">
        <f>C75+C76</f>
        <v>405667058</v>
      </c>
      <c r="D77" s="654">
        <f>D75+D76</f>
        <v>415017270</v>
      </c>
      <c r="E77" s="654">
        <f>E75+E76</f>
        <v>442544426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577</v>
      </c>
      <c r="B79" s="642" t="s">
        <v>130</v>
      </c>
      <c r="C79" s="649"/>
      <c r="D79" s="649"/>
      <c r="E79" s="649"/>
    </row>
    <row r="80" spans="1:5" ht="25.5" customHeight="1">
      <c r="A80" s="639">
        <v>1</v>
      </c>
      <c r="B80" s="640" t="s">
        <v>734</v>
      </c>
      <c r="C80" s="646">
        <v>1317.8</v>
      </c>
      <c r="D80" s="646">
        <v>1449</v>
      </c>
      <c r="E80" s="646">
        <v>1406.4</v>
      </c>
    </row>
    <row r="81" spans="1:5" ht="25.5" customHeight="1">
      <c r="A81" s="639">
        <v>2</v>
      </c>
      <c r="B81" s="640" t="s">
        <v>735</v>
      </c>
      <c r="C81" s="646">
        <v>202.1</v>
      </c>
      <c r="D81" s="646">
        <v>202.7</v>
      </c>
      <c r="E81" s="646">
        <v>209.4</v>
      </c>
    </row>
    <row r="82" spans="1:5" ht="25.5" customHeight="1">
      <c r="A82" s="639">
        <v>3</v>
      </c>
      <c r="B82" s="640" t="s">
        <v>131</v>
      </c>
      <c r="C82" s="646">
        <v>3687.1</v>
      </c>
      <c r="D82" s="646">
        <v>3679.6</v>
      </c>
      <c r="E82" s="646">
        <v>3780.5</v>
      </c>
    </row>
    <row r="83" spans="1:5" ht="25.5" customHeight="1">
      <c r="A83" s="650">
        <v>4</v>
      </c>
      <c r="B83" s="651" t="s">
        <v>130</v>
      </c>
      <c r="C83" s="656">
        <f>C80+C81+C82</f>
        <v>5207</v>
      </c>
      <c r="D83" s="656">
        <f>D80+D81+D82</f>
        <v>5331.3</v>
      </c>
      <c r="E83" s="656">
        <f>E80+E81+E82</f>
        <v>5396.3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580</v>
      </c>
      <c r="B85" s="642" t="s">
        <v>132</v>
      </c>
      <c r="C85" s="657"/>
      <c r="D85" s="657"/>
      <c r="E85" s="657"/>
    </row>
    <row r="86" spans="1:5" ht="25.5" customHeight="1">
      <c r="A86" s="639">
        <v>1</v>
      </c>
      <c r="B86" s="640" t="s">
        <v>133</v>
      </c>
      <c r="C86" s="649">
        <f>IF(C80=0,0,C59/C80)</f>
        <v>81830.85976627714</v>
      </c>
      <c r="D86" s="649">
        <f>IF(D80=0,0,D59/D80)</f>
        <v>89040.3436853002</v>
      </c>
      <c r="E86" s="649">
        <f>IF(E80=0,0,E59/E80)</f>
        <v>86323.64263367462</v>
      </c>
    </row>
    <row r="87" spans="1:5" ht="25.5" customHeight="1">
      <c r="A87" s="639">
        <v>2</v>
      </c>
      <c r="B87" s="640" t="s">
        <v>134</v>
      </c>
      <c r="C87" s="649">
        <f>IF(C80=0,0,C60/C80)</f>
        <v>22544.23129458188</v>
      </c>
      <c r="D87" s="649">
        <f>IF(D80=0,0,D60/D80)</f>
        <v>17155.04071773637</v>
      </c>
      <c r="E87" s="649">
        <f>IF(E80=0,0,E60/E80)</f>
        <v>18801.6005403868</v>
      </c>
    </row>
    <row r="88" spans="1:5" ht="25.5" customHeight="1">
      <c r="A88" s="650">
        <v>3</v>
      </c>
      <c r="B88" s="651" t="s">
        <v>135</v>
      </c>
      <c r="C88" s="652">
        <f>+C86+C87</f>
        <v>104375.09106085902</v>
      </c>
      <c r="D88" s="652">
        <f>+D86+D87</f>
        <v>106195.38440303657</v>
      </c>
      <c r="E88" s="652">
        <f>+E86+E87</f>
        <v>105125.24317406143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732</v>
      </c>
      <c r="B90" s="642" t="s">
        <v>136</v>
      </c>
    </row>
    <row r="91" spans="1:5" ht="25.5" customHeight="1">
      <c r="A91" s="639">
        <v>1</v>
      </c>
      <c r="B91" s="640" t="s">
        <v>137</v>
      </c>
      <c r="C91" s="641">
        <f>IF(C81=0,0,C64/C81)</f>
        <v>153796.59079663534</v>
      </c>
      <c r="D91" s="641">
        <f>IF(D81=0,0,D64/D81)</f>
        <v>167946.63048840652</v>
      </c>
      <c r="E91" s="641">
        <f>IF(E81=0,0,E64/E81)</f>
        <v>173933.97325692454</v>
      </c>
    </row>
    <row r="92" spans="1:5" ht="25.5" customHeight="1">
      <c r="A92" s="639">
        <v>2</v>
      </c>
      <c r="B92" s="640" t="s">
        <v>138</v>
      </c>
      <c r="C92" s="641">
        <f>IF(C81=0,0,C65/C81)</f>
        <v>42495.70014844137</v>
      </c>
      <c r="D92" s="641">
        <f>IF(D81=0,0,D65/D81)</f>
        <v>32357.59250123335</v>
      </c>
      <c r="E92" s="641">
        <f>IF(E81=0,0,E65/E81)</f>
        <v>37883.44794651385</v>
      </c>
    </row>
    <row r="93" spans="1:5" ht="25.5" customHeight="1">
      <c r="A93" s="650">
        <v>3</v>
      </c>
      <c r="B93" s="651" t="s">
        <v>139</v>
      </c>
      <c r="C93" s="654">
        <f>+C91+C92</f>
        <v>196292.2909450767</v>
      </c>
      <c r="D93" s="654">
        <f>+D91+D92</f>
        <v>200304.22298963988</v>
      </c>
      <c r="E93" s="654">
        <f>+E91+E92</f>
        <v>211817.4212034384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140</v>
      </c>
      <c r="B95" s="642" t="s">
        <v>141</v>
      </c>
      <c r="C95" s="649"/>
      <c r="D95" s="649"/>
      <c r="E95" s="649"/>
    </row>
    <row r="96" spans="1:5" ht="25.5" customHeight="1">
      <c r="A96" s="639">
        <v>1</v>
      </c>
      <c r="B96" s="640" t="s">
        <v>142</v>
      </c>
      <c r="C96" s="649">
        <f>IF(C82=0,0,C69/C82)</f>
        <v>48577.88451628651</v>
      </c>
      <c r="D96" s="649">
        <f>IF(D82=0,0,D69/D82)</f>
        <v>50253.34520056528</v>
      </c>
      <c r="E96" s="649">
        <f>IF(E82=0,0,E69/E82)</f>
        <v>54908.695939690515</v>
      </c>
    </row>
    <row r="97" spans="1:5" ht="25.5" customHeight="1">
      <c r="A97" s="639">
        <v>2</v>
      </c>
      <c r="B97" s="640" t="s">
        <v>143</v>
      </c>
      <c r="C97" s="649">
        <f>IF(C82=0,0,C70/C82)</f>
        <v>13381.620514767705</v>
      </c>
      <c r="D97" s="649">
        <f>IF(D82=0,0,D70/D82)</f>
        <v>9682.107566039787</v>
      </c>
      <c r="E97" s="649">
        <f>IF(E82=0,0,E70/E82)</f>
        <v>11310.512101573866</v>
      </c>
    </row>
    <row r="98" spans="1:5" ht="25.5" customHeight="1">
      <c r="A98" s="650">
        <v>3</v>
      </c>
      <c r="B98" s="651" t="s">
        <v>144</v>
      </c>
      <c r="C98" s="654">
        <f>+C96+C97</f>
        <v>61959.505031054214</v>
      </c>
      <c r="D98" s="654">
        <f>+D96+D97</f>
        <v>59935.45276660507</v>
      </c>
      <c r="E98" s="654">
        <f>+E96+E97</f>
        <v>66219.20804126438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145</v>
      </c>
      <c r="B100" s="642" t="s">
        <v>146</v>
      </c>
    </row>
    <row r="101" spans="1:5" ht="25.5" customHeight="1">
      <c r="A101" s="639">
        <v>1</v>
      </c>
      <c r="B101" s="640" t="s">
        <v>147</v>
      </c>
      <c r="C101" s="641">
        <f>IF(C83=0,0,C75/C83)</f>
        <v>61077.49491069714</v>
      </c>
      <c r="D101" s="641">
        <f>IF(D83=0,0,D75/D83)</f>
        <v>65270.0934106128</v>
      </c>
      <c r="E101" s="641">
        <f>IF(E83=0,0,E75/E83)</f>
        <v>67714.85462261179</v>
      </c>
    </row>
    <row r="102" spans="1:5" ht="25.5" customHeight="1">
      <c r="A102" s="639">
        <v>2</v>
      </c>
      <c r="B102" s="640" t="s">
        <v>148</v>
      </c>
      <c r="C102" s="658">
        <f>IF(C83=0,0,C76/C83)</f>
        <v>16830.524678317648</v>
      </c>
      <c r="D102" s="658">
        <f>IF(D83=0,0,D76/D83)</f>
        <v>12575.32327950031</v>
      </c>
      <c r="E102" s="658">
        <f>IF(E83=0,0,E76/E83)</f>
        <v>14294.008116672534</v>
      </c>
    </row>
    <row r="103" spans="1:5" ht="25.5" customHeight="1">
      <c r="A103" s="650">
        <v>3</v>
      </c>
      <c r="B103" s="651" t="s">
        <v>146</v>
      </c>
      <c r="C103" s="654">
        <f>+C101+C102</f>
        <v>77908.01958901479</v>
      </c>
      <c r="D103" s="654">
        <f>+D101+D102</f>
        <v>77845.41669011311</v>
      </c>
      <c r="E103" s="654">
        <f>+E101+E102</f>
        <v>82008.86273928432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149</v>
      </c>
      <c r="B107" s="634" t="s">
        <v>150</v>
      </c>
      <c r="C107" s="659"/>
      <c r="D107" s="659"/>
      <c r="E107" s="641"/>
    </row>
    <row r="108" spans="1:5" ht="25.5" customHeight="1">
      <c r="A108" s="639">
        <v>1</v>
      </c>
      <c r="B108" s="640" t="s">
        <v>151</v>
      </c>
      <c r="C108" s="641">
        <f>IF(C19=0,0,C77/C19)</f>
        <v>1914.5443467508626</v>
      </c>
      <c r="D108" s="641">
        <f>IF(D19=0,0,D77/D19)</f>
        <v>1957.5085961709894</v>
      </c>
      <c r="E108" s="641">
        <f>IF(E19=0,0,E77/E19)</f>
        <v>2049.2152455570063</v>
      </c>
    </row>
    <row r="109" spans="1:5" ht="25.5" customHeight="1">
      <c r="A109" s="639">
        <v>2</v>
      </c>
      <c r="B109" s="640" t="s">
        <v>152</v>
      </c>
      <c r="C109" s="641">
        <f>IF(C20=0,0,C77/C20)</f>
        <v>10238.688018979834</v>
      </c>
      <c r="D109" s="641">
        <f>IF(D20=0,0,D77/D20)</f>
        <v>10417.10015060241</v>
      </c>
      <c r="E109" s="641">
        <f>IF(E20=0,0,E77/E20)</f>
        <v>10744.499028843353</v>
      </c>
    </row>
    <row r="110" spans="1:5" ht="25.5" customHeight="1">
      <c r="A110" s="639">
        <v>3</v>
      </c>
      <c r="B110" s="640" t="s">
        <v>153</v>
      </c>
      <c r="C110" s="641">
        <f>IF(C22=0,0,C77/C22)</f>
        <v>1378.1191968015448</v>
      </c>
      <c r="D110" s="641">
        <f>IF(D22=0,0,D77/D22)</f>
        <v>1403.046313657064</v>
      </c>
      <c r="E110" s="641">
        <f>IF(E22=0,0,E77/E22)</f>
        <v>1458.7587908665294</v>
      </c>
    </row>
    <row r="111" spans="1:5" ht="25.5" customHeight="1">
      <c r="A111" s="639">
        <v>4</v>
      </c>
      <c r="B111" s="640" t="s">
        <v>154</v>
      </c>
      <c r="C111" s="641">
        <f>IF(C23=0,0,C77/C23)</f>
        <v>7369.969012712676</v>
      </c>
      <c r="D111" s="641">
        <f>IF(D23=0,0,D77/D23)</f>
        <v>7466.467321721262</v>
      </c>
      <c r="E111" s="641">
        <f>IF(E23=0,0,E77/E23)</f>
        <v>7648.602286053073</v>
      </c>
    </row>
    <row r="112" spans="1:5" ht="25.5" customHeight="1">
      <c r="A112" s="639">
        <v>5</v>
      </c>
      <c r="B112" s="640" t="s">
        <v>155</v>
      </c>
      <c r="C112" s="641">
        <f>IF(C29=0,0,C77/C29)</f>
        <v>991.3453891430022</v>
      </c>
      <c r="D112" s="641">
        <f>IF(D29=0,0,D77/D29)</f>
        <v>1004.6319514816718</v>
      </c>
      <c r="E112" s="641">
        <f>IF(E29=0,0,E77/E29)</f>
        <v>1035.1382399962922</v>
      </c>
    </row>
    <row r="113" spans="1:5" ht="25.5" customHeight="1">
      <c r="A113" s="639">
        <v>6</v>
      </c>
      <c r="B113" s="640" t="s">
        <v>156</v>
      </c>
      <c r="C113" s="641">
        <f>IF(C30=0,0,C77/C30)</f>
        <v>5301.562314665033</v>
      </c>
      <c r="D113" s="641">
        <f>IF(D30=0,0,D77/D30)</f>
        <v>5346.260891804309</v>
      </c>
      <c r="E113" s="641">
        <f>IF(E30=0,0,E77/E30)</f>
        <v>5427.463922334644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fitToWidth="1" horizontalDpi="1200" verticalDpi="1200" orientation="portrait" paperSize="9" scale="64" r:id="rId1"/>
  <headerFooter alignWithMargins="0">
    <oddHeader>&amp;L&amp;12OFFICE OF HEALTH CARE ACCESS&amp;C&amp;12TWELVE MONTHS ACTUAL FILING&amp;R&amp;12HARTFORD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157</v>
      </c>
      <c r="C1" s="57"/>
      <c r="D1" s="57"/>
      <c r="E1" s="57"/>
      <c r="F1" s="58"/>
    </row>
    <row r="2" spans="1:6" ht="22.5" customHeight="1">
      <c r="A2" s="57"/>
      <c r="B2" s="57" t="s">
        <v>158</v>
      </c>
      <c r="C2" s="57"/>
      <c r="D2" s="57"/>
      <c r="E2" s="57"/>
      <c r="F2" s="58"/>
    </row>
    <row r="3" spans="1:6" ht="22.5" customHeight="1">
      <c r="A3" s="57"/>
      <c r="B3" s="57" t="s">
        <v>159</v>
      </c>
      <c r="C3" s="57"/>
      <c r="D3" s="57"/>
      <c r="E3" s="57"/>
      <c r="F3" s="58"/>
    </row>
    <row r="4" spans="1:6" ht="22.5" customHeight="1">
      <c r="A4" s="57"/>
      <c r="B4" s="57" t="s">
        <v>226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1555871786</v>
      </c>
      <c r="D12" s="51">
        <v>1714431648</v>
      </c>
      <c r="E12" s="51">
        <f aca="true" t="shared" si="0" ref="E12:E19">D12-C12</f>
        <v>158559862</v>
      </c>
      <c r="F12" s="70">
        <f aca="true" t="shared" si="1" ref="F12:F19">IF(C12=0,0,E12/C12)</f>
        <v>0.10191062234481575</v>
      </c>
    </row>
    <row r="13" spans="1:6" ht="22.5" customHeight="1">
      <c r="A13" s="25">
        <v>2</v>
      </c>
      <c r="B13" s="48" t="s">
        <v>229</v>
      </c>
      <c r="C13" s="51">
        <v>875779690</v>
      </c>
      <c r="D13" s="51">
        <v>983019176</v>
      </c>
      <c r="E13" s="51">
        <f t="shared" si="0"/>
        <v>107239486</v>
      </c>
      <c r="F13" s="70">
        <f t="shared" si="1"/>
        <v>0.12245030025759104</v>
      </c>
    </row>
    <row r="14" spans="1:6" ht="22.5" customHeight="1">
      <c r="A14" s="25">
        <v>3</v>
      </c>
      <c r="B14" s="48" t="s">
        <v>230</v>
      </c>
      <c r="C14" s="51">
        <v>40528885</v>
      </c>
      <c r="D14" s="51">
        <v>30242441</v>
      </c>
      <c r="E14" s="51">
        <f t="shared" si="0"/>
        <v>-10286444</v>
      </c>
      <c r="F14" s="70">
        <f t="shared" si="1"/>
        <v>-0.253805255190218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639563211</v>
      </c>
      <c r="D16" s="27">
        <f>D12-D13-D14-D15</f>
        <v>701170031</v>
      </c>
      <c r="E16" s="27">
        <f t="shared" si="0"/>
        <v>61606820</v>
      </c>
      <c r="F16" s="28">
        <f t="shared" si="1"/>
        <v>0.09632639736058865</v>
      </c>
    </row>
    <row r="17" spans="1:7" ht="22.5" customHeight="1">
      <c r="A17" s="25">
        <v>5</v>
      </c>
      <c r="B17" s="48" t="s">
        <v>233</v>
      </c>
      <c r="C17" s="51">
        <v>104519399</v>
      </c>
      <c r="D17" s="51">
        <v>118186189</v>
      </c>
      <c r="E17" s="51">
        <f t="shared" si="0"/>
        <v>13666790</v>
      </c>
      <c r="F17" s="70">
        <f t="shared" si="1"/>
        <v>0.13075840591084914</v>
      </c>
      <c r="G17" s="64"/>
    </row>
    <row r="18" spans="1:7" ht="22.5" customHeight="1">
      <c r="A18" s="25">
        <v>6</v>
      </c>
      <c r="B18" s="45" t="s">
        <v>234</v>
      </c>
      <c r="C18" s="51">
        <v>29276120</v>
      </c>
      <c r="D18" s="51">
        <v>10184161</v>
      </c>
      <c r="E18" s="51">
        <f t="shared" si="0"/>
        <v>-19091959</v>
      </c>
      <c r="F18" s="70">
        <f t="shared" si="1"/>
        <v>-0.6521341967446506</v>
      </c>
      <c r="G18" s="64"/>
    </row>
    <row r="19" spans="1:6" ht="22.5" customHeight="1">
      <c r="A19" s="29"/>
      <c r="B19" s="71" t="s">
        <v>235</v>
      </c>
      <c r="C19" s="27">
        <f>SUM(C16:C18)</f>
        <v>773358730</v>
      </c>
      <c r="D19" s="27">
        <f>SUM(D16:D18)</f>
        <v>829540381</v>
      </c>
      <c r="E19" s="27">
        <f t="shared" si="0"/>
        <v>56181651</v>
      </c>
      <c r="F19" s="28">
        <f t="shared" si="1"/>
        <v>0.07264630089583395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347974449</v>
      </c>
      <c r="D22" s="51">
        <v>365409670</v>
      </c>
      <c r="E22" s="51">
        <f aca="true" t="shared" si="2" ref="E22:E31">D22-C22</f>
        <v>17435221</v>
      </c>
      <c r="F22" s="70">
        <f aca="true" t="shared" si="3" ref="F22:F31">IF(C22=0,0,E22/C22)</f>
        <v>0.0501048885919782</v>
      </c>
    </row>
    <row r="23" spans="1:6" ht="22.5" customHeight="1">
      <c r="A23" s="25">
        <v>2</v>
      </c>
      <c r="B23" s="48" t="s">
        <v>238</v>
      </c>
      <c r="C23" s="51">
        <v>67042821</v>
      </c>
      <c r="D23" s="51">
        <v>77134756</v>
      </c>
      <c r="E23" s="51">
        <f t="shared" si="2"/>
        <v>10091935</v>
      </c>
      <c r="F23" s="70">
        <f t="shared" si="3"/>
        <v>0.1505296890773734</v>
      </c>
    </row>
    <row r="24" spans="1:7" ht="22.5" customHeight="1">
      <c r="A24" s="25">
        <v>3</v>
      </c>
      <c r="B24" s="48" t="s">
        <v>239</v>
      </c>
      <c r="C24" s="51">
        <v>29323777</v>
      </c>
      <c r="D24" s="51">
        <v>32848360</v>
      </c>
      <c r="E24" s="51">
        <f t="shared" si="2"/>
        <v>3524583</v>
      </c>
      <c r="F24" s="70">
        <f t="shared" si="3"/>
        <v>0.12019539638430615</v>
      </c>
      <c r="G24" s="64"/>
    </row>
    <row r="25" spans="1:6" ht="22.5" customHeight="1">
      <c r="A25" s="25">
        <v>4</v>
      </c>
      <c r="B25" s="48" t="s">
        <v>240</v>
      </c>
      <c r="C25" s="51">
        <v>103341919</v>
      </c>
      <c r="D25" s="51">
        <v>114234925</v>
      </c>
      <c r="E25" s="51">
        <f t="shared" si="2"/>
        <v>10893006</v>
      </c>
      <c r="F25" s="70">
        <f t="shared" si="3"/>
        <v>0.10540742909951188</v>
      </c>
    </row>
    <row r="26" spans="1:6" ht="22.5" customHeight="1">
      <c r="A26" s="25">
        <v>5</v>
      </c>
      <c r="B26" s="48" t="s">
        <v>241</v>
      </c>
      <c r="C26" s="51">
        <v>39305209</v>
      </c>
      <c r="D26" s="51">
        <v>40686788</v>
      </c>
      <c r="E26" s="51">
        <f t="shared" si="2"/>
        <v>1381579</v>
      </c>
      <c r="F26" s="70">
        <f t="shared" si="3"/>
        <v>0.0351500229905914</v>
      </c>
    </row>
    <row r="27" spans="1:6" ht="22.5" customHeight="1">
      <c r="A27" s="25">
        <v>6</v>
      </c>
      <c r="B27" s="48" t="s">
        <v>242</v>
      </c>
      <c r="C27" s="51">
        <v>30682007</v>
      </c>
      <c r="D27" s="51">
        <v>23850530</v>
      </c>
      <c r="E27" s="51">
        <f t="shared" si="2"/>
        <v>-6831477</v>
      </c>
      <c r="F27" s="70">
        <f t="shared" si="3"/>
        <v>-0.22265417643637198</v>
      </c>
    </row>
    <row r="28" spans="1:6" ht="22.5" customHeight="1">
      <c r="A28" s="25">
        <v>7</v>
      </c>
      <c r="B28" s="48" t="s">
        <v>243</v>
      </c>
      <c r="C28" s="51">
        <v>1552169</v>
      </c>
      <c r="D28" s="51">
        <v>607197</v>
      </c>
      <c r="E28" s="51">
        <f t="shared" si="2"/>
        <v>-944972</v>
      </c>
      <c r="F28" s="70">
        <f t="shared" si="3"/>
        <v>-0.6088074172335616</v>
      </c>
    </row>
    <row r="29" spans="1:6" ht="22.5" customHeight="1">
      <c r="A29" s="25">
        <v>8</v>
      </c>
      <c r="B29" s="48" t="s">
        <v>244</v>
      </c>
      <c r="C29" s="51">
        <v>13027602</v>
      </c>
      <c r="D29" s="51">
        <v>13503692</v>
      </c>
      <c r="E29" s="51">
        <f t="shared" si="2"/>
        <v>476090</v>
      </c>
      <c r="F29" s="70">
        <f t="shared" si="3"/>
        <v>0.0365447148293293</v>
      </c>
    </row>
    <row r="30" spans="1:6" ht="22.5" customHeight="1">
      <c r="A30" s="25">
        <v>9</v>
      </c>
      <c r="B30" s="48" t="s">
        <v>245</v>
      </c>
      <c r="C30" s="51">
        <v>146879475</v>
      </c>
      <c r="D30" s="51">
        <v>155901950</v>
      </c>
      <c r="E30" s="51">
        <f t="shared" si="2"/>
        <v>9022475</v>
      </c>
      <c r="F30" s="70">
        <f t="shared" si="3"/>
        <v>0.06142774543550077</v>
      </c>
    </row>
    <row r="31" spans="1:6" ht="22.5" customHeight="1">
      <c r="A31" s="29"/>
      <c r="B31" s="71" t="s">
        <v>246</v>
      </c>
      <c r="C31" s="27">
        <f>SUM(C22:C30)</f>
        <v>779129428</v>
      </c>
      <c r="D31" s="27">
        <f>SUM(D22:D30)</f>
        <v>824177868</v>
      </c>
      <c r="E31" s="27">
        <f t="shared" si="2"/>
        <v>45048440</v>
      </c>
      <c r="F31" s="28">
        <f t="shared" si="3"/>
        <v>0.05781894301648686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-5770698</v>
      </c>
      <c r="D33" s="27">
        <f>+D19-D31</f>
        <v>5362513</v>
      </c>
      <c r="E33" s="27">
        <f>D33-C33</f>
        <v>11133211</v>
      </c>
      <c r="F33" s="28">
        <f>IF(C33=0,0,E33/C33)</f>
        <v>-1.9292659224239426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12723660</v>
      </c>
      <c r="D36" s="51">
        <v>2751825</v>
      </c>
      <c r="E36" s="51">
        <f>D36-C36</f>
        <v>-9971835</v>
      </c>
      <c r="F36" s="70">
        <f>IF(C36=0,0,E36/C36)</f>
        <v>-0.7837237870235451</v>
      </c>
    </row>
    <row r="37" spans="1:6" ht="22.5" customHeight="1">
      <c r="A37" s="44">
        <v>2</v>
      </c>
      <c r="B37" s="48" t="s">
        <v>250</v>
      </c>
      <c r="C37" s="51">
        <v>740258</v>
      </c>
      <c r="D37" s="51">
        <v>629981</v>
      </c>
      <c r="E37" s="51">
        <f>D37-C37</f>
        <v>-110277</v>
      </c>
      <c r="F37" s="70">
        <f>IF(C37=0,0,E37/C37)</f>
        <v>-0.14897103442313356</v>
      </c>
    </row>
    <row r="38" spans="1:6" ht="22.5" customHeight="1">
      <c r="A38" s="44">
        <v>3</v>
      </c>
      <c r="B38" s="48" t="s">
        <v>251</v>
      </c>
      <c r="C38" s="51">
        <v>-47793839</v>
      </c>
      <c r="D38" s="51">
        <v>-16940434</v>
      </c>
      <c r="E38" s="51">
        <f>D38-C38</f>
        <v>30853405</v>
      </c>
      <c r="F38" s="70">
        <f>IF(C38=0,0,E38/C38)</f>
        <v>-0.6455519298209127</v>
      </c>
    </row>
    <row r="39" spans="1:6" ht="22.5" customHeight="1">
      <c r="A39" s="20"/>
      <c r="B39" s="71" t="s">
        <v>252</v>
      </c>
      <c r="C39" s="27">
        <f>SUM(C36:C38)</f>
        <v>-34329921</v>
      </c>
      <c r="D39" s="27">
        <f>SUM(D36:D38)</f>
        <v>-13558628</v>
      </c>
      <c r="E39" s="27">
        <f>D39-C39</f>
        <v>20771293</v>
      </c>
      <c r="F39" s="28">
        <f>IF(C39=0,0,E39/C39)</f>
        <v>-0.6050492513513211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-40100619</v>
      </c>
      <c r="D41" s="27">
        <f>D33+D39</f>
        <v>-8196115</v>
      </c>
      <c r="E41" s="27">
        <f>D41-C41</f>
        <v>31904504</v>
      </c>
      <c r="F41" s="28">
        <f>IF(C41=0,0,E41/C41)</f>
        <v>-0.7956112597663393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2583404</v>
      </c>
      <c r="E44" s="51">
        <f>D44-C44</f>
        <v>2583404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1371904</v>
      </c>
      <c r="E45" s="51">
        <f>D45-C45</f>
        <v>1371904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3955308</v>
      </c>
      <c r="E46" s="27">
        <f>D46-C46</f>
        <v>3955308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258</v>
      </c>
      <c r="C48" s="27">
        <f>C41+C46</f>
        <v>-40100619</v>
      </c>
      <c r="D48" s="27">
        <f>D41+D46</f>
        <v>-4240807</v>
      </c>
      <c r="E48" s="27">
        <f>D48-C48</f>
        <v>35859812</v>
      </c>
      <c r="F48" s="28">
        <f>IF(C48=0,0,E48/C48)</f>
        <v>-0.8942458469281983</v>
      </c>
    </row>
    <row r="49" spans="1:6" ht="22.5" customHeight="1">
      <c r="A49" s="44"/>
      <c r="B49" s="48" t="s">
        <v>259</v>
      </c>
      <c r="C49" s="51">
        <v>0</v>
      </c>
      <c r="D49" s="51">
        <v>2363100</v>
      </c>
      <c r="E49" s="51">
        <f>D49-C49</f>
        <v>2363100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FILING&amp;RHARTFORD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A2" sqref="A2:F2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22.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2" t="s">
        <v>157</v>
      </c>
      <c r="B2" s="672"/>
      <c r="C2" s="672"/>
      <c r="D2" s="672"/>
      <c r="E2" s="672"/>
      <c r="F2" s="672"/>
    </row>
    <row r="3" spans="1:6" ht="18" customHeight="1">
      <c r="A3" s="672" t="s">
        <v>158</v>
      </c>
      <c r="B3" s="672"/>
      <c r="C3" s="672"/>
      <c r="D3" s="672"/>
      <c r="E3" s="672"/>
      <c r="F3" s="672"/>
    </row>
    <row r="4" spans="1:6" ht="18" customHeight="1">
      <c r="A4" s="672" t="s">
        <v>159</v>
      </c>
      <c r="B4" s="672"/>
      <c r="C4" s="672"/>
      <c r="D4" s="672"/>
      <c r="E4" s="672"/>
      <c r="F4" s="672"/>
    </row>
    <row r="5" spans="1:6" ht="18" customHeight="1">
      <c r="A5" s="672" t="s">
        <v>260</v>
      </c>
      <c r="B5" s="672"/>
      <c r="C5" s="672"/>
      <c r="D5" s="672"/>
      <c r="E5" s="672"/>
      <c r="F5" s="672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165</v>
      </c>
      <c r="B8" s="87" t="s">
        <v>261</v>
      </c>
      <c r="C8" s="88" t="s">
        <v>262</v>
      </c>
      <c r="D8" s="89" t="s">
        <v>263</v>
      </c>
      <c r="E8" s="90" t="s">
        <v>264</v>
      </c>
      <c r="F8" s="91" t="s">
        <v>265</v>
      </c>
    </row>
    <row r="9" spans="1:6" ht="18" customHeight="1">
      <c r="A9" s="92"/>
      <c r="B9" s="93"/>
      <c r="C9" s="673"/>
      <c r="D9" s="674"/>
      <c r="E9" s="674"/>
      <c r="F9" s="675"/>
    </row>
    <row r="10" spans="1:6" ht="18" customHeight="1">
      <c r="A10" s="662" t="s">
        <v>169</v>
      </c>
      <c r="B10" s="664" t="s">
        <v>266</v>
      </c>
      <c r="C10" s="666"/>
      <c r="D10" s="667"/>
      <c r="E10" s="667"/>
      <c r="F10" s="668"/>
    </row>
    <row r="11" spans="1:6" ht="18" customHeight="1">
      <c r="A11" s="663"/>
      <c r="B11" s="665"/>
      <c r="C11" s="669"/>
      <c r="D11" s="670"/>
      <c r="E11" s="670"/>
      <c r="F11" s="671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267</v>
      </c>
      <c r="B13" s="95" t="s">
        <v>268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269</v>
      </c>
      <c r="C14" s="97">
        <v>505473065</v>
      </c>
      <c r="D14" s="97">
        <v>501557333</v>
      </c>
      <c r="E14" s="97">
        <f aca="true" t="shared" si="0" ref="E14:E25">D14-C14</f>
        <v>-3915732</v>
      </c>
      <c r="F14" s="98">
        <f aca="true" t="shared" si="1" ref="F14:F25">IF(C14=0,0,E14/C14)</f>
        <v>-0.00774666796538407</v>
      </c>
    </row>
    <row r="15" spans="1:6" ht="18" customHeight="1">
      <c r="A15" s="99">
        <v>2</v>
      </c>
      <c r="B15" s="100" t="s">
        <v>270</v>
      </c>
      <c r="C15" s="97">
        <v>54344972</v>
      </c>
      <c r="D15" s="97">
        <v>82023000</v>
      </c>
      <c r="E15" s="97">
        <f t="shared" si="0"/>
        <v>27678028</v>
      </c>
      <c r="F15" s="98">
        <f t="shared" si="1"/>
        <v>0.5093024613206167</v>
      </c>
    </row>
    <row r="16" spans="1:6" ht="18" customHeight="1">
      <c r="A16" s="99">
        <v>3</v>
      </c>
      <c r="B16" s="100" t="s">
        <v>271</v>
      </c>
      <c r="C16" s="97">
        <v>91599225</v>
      </c>
      <c r="D16" s="97">
        <v>114044139</v>
      </c>
      <c r="E16" s="97">
        <f t="shared" si="0"/>
        <v>22444914</v>
      </c>
      <c r="F16" s="98">
        <f t="shared" si="1"/>
        <v>0.2450338853849473</v>
      </c>
    </row>
    <row r="17" spans="1:6" ht="18" customHeight="1">
      <c r="A17" s="99">
        <v>4</v>
      </c>
      <c r="B17" s="100" t="s">
        <v>272</v>
      </c>
      <c r="C17" s="97">
        <v>32379591</v>
      </c>
      <c r="D17" s="97">
        <v>37601071</v>
      </c>
      <c r="E17" s="97">
        <f t="shared" si="0"/>
        <v>5221480</v>
      </c>
      <c r="F17" s="98">
        <f t="shared" si="1"/>
        <v>0.16125836796394372</v>
      </c>
    </row>
    <row r="18" spans="1:6" ht="18" customHeight="1">
      <c r="A18" s="99">
        <v>5</v>
      </c>
      <c r="B18" s="100" t="s">
        <v>273</v>
      </c>
      <c r="C18" s="97">
        <v>4755733</v>
      </c>
      <c r="D18" s="97">
        <v>6679660</v>
      </c>
      <c r="E18" s="97">
        <f t="shared" si="0"/>
        <v>1923927</v>
      </c>
      <c r="F18" s="98">
        <f t="shared" si="1"/>
        <v>0.40454899381441306</v>
      </c>
    </row>
    <row r="19" spans="1:6" ht="18" customHeight="1">
      <c r="A19" s="99">
        <v>6</v>
      </c>
      <c r="B19" s="100" t="s">
        <v>274</v>
      </c>
      <c r="C19" s="97">
        <v>14606514</v>
      </c>
      <c r="D19" s="97">
        <v>12730071</v>
      </c>
      <c r="E19" s="97">
        <f t="shared" si="0"/>
        <v>-1876443</v>
      </c>
      <c r="F19" s="98">
        <f t="shared" si="1"/>
        <v>-0.12846617611840855</v>
      </c>
    </row>
    <row r="20" spans="1:6" ht="18" customHeight="1">
      <c r="A20" s="99">
        <v>7</v>
      </c>
      <c r="B20" s="100" t="s">
        <v>275</v>
      </c>
      <c r="C20" s="97">
        <v>346202319</v>
      </c>
      <c r="D20" s="97">
        <v>397393317</v>
      </c>
      <c r="E20" s="97">
        <f t="shared" si="0"/>
        <v>51190998</v>
      </c>
      <c r="F20" s="98">
        <f t="shared" si="1"/>
        <v>0.1478643994871681</v>
      </c>
    </row>
    <row r="21" spans="1:6" ht="18" customHeight="1">
      <c r="A21" s="99">
        <v>8</v>
      </c>
      <c r="B21" s="100" t="s">
        <v>276</v>
      </c>
      <c r="C21" s="97">
        <v>0</v>
      </c>
      <c r="D21" s="97">
        <v>0</v>
      </c>
      <c r="E21" s="97">
        <f t="shared" si="0"/>
        <v>0</v>
      </c>
      <c r="F21" s="98">
        <f t="shared" si="1"/>
        <v>0</v>
      </c>
    </row>
    <row r="22" spans="1:6" ht="18" customHeight="1">
      <c r="A22" s="99">
        <v>9</v>
      </c>
      <c r="B22" s="100" t="s">
        <v>277</v>
      </c>
      <c r="C22" s="97">
        <v>17429715</v>
      </c>
      <c r="D22" s="97">
        <v>19069035</v>
      </c>
      <c r="E22" s="97">
        <f t="shared" si="0"/>
        <v>1639320</v>
      </c>
      <c r="F22" s="98">
        <f t="shared" si="1"/>
        <v>0.0940531729864774</v>
      </c>
    </row>
    <row r="23" spans="1:6" ht="18" customHeight="1">
      <c r="A23" s="99">
        <v>10</v>
      </c>
      <c r="B23" s="100" t="s">
        <v>278</v>
      </c>
      <c r="C23" s="97">
        <v>48381580</v>
      </c>
      <c r="D23" s="97">
        <v>49341390</v>
      </c>
      <c r="E23" s="97">
        <f t="shared" si="0"/>
        <v>959810</v>
      </c>
      <c r="F23" s="98">
        <f t="shared" si="1"/>
        <v>0.01983833516805363</v>
      </c>
    </row>
    <row r="24" spans="1:6" ht="18" customHeight="1">
      <c r="A24" s="99">
        <v>11</v>
      </c>
      <c r="B24" s="100" t="s">
        <v>279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>
      <c r="A25" s="101"/>
      <c r="B25" s="102" t="s">
        <v>280</v>
      </c>
      <c r="C25" s="103">
        <f>SUM(C14:C24)</f>
        <v>1115172714</v>
      </c>
      <c r="D25" s="103">
        <f>SUM(D14:D24)</f>
        <v>1220439016</v>
      </c>
      <c r="E25" s="103">
        <f t="shared" si="0"/>
        <v>105266302</v>
      </c>
      <c r="F25" s="104">
        <f t="shared" si="1"/>
        <v>0.0943946176932733</v>
      </c>
    </row>
    <row r="26" spans="1:6" ht="18" customHeight="1">
      <c r="A26" s="94" t="s">
        <v>281</v>
      </c>
      <c r="B26" s="95" t="s">
        <v>282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269</v>
      </c>
      <c r="C27" s="97">
        <v>130548640</v>
      </c>
      <c r="D27" s="97">
        <v>145126884</v>
      </c>
      <c r="E27" s="97">
        <f aca="true" t="shared" si="2" ref="E27:E38">D27-C27</f>
        <v>14578244</v>
      </c>
      <c r="F27" s="98">
        <f aca="true" t="shared" si="3" ref="F27:F38">IF(C27=0,0,E27/C27)</f>
        <v>0.11166906066581773</v>
      </c>
    </row>
    <row r="28" spans="1:6" ht="18" customHeight="1">
      <c r="A28" s="99">
        <v>2</v>
      </c>
      <c r="B28" s="100" t="s">
        <v>270</v>
      </c>
      <c r="C28" s="97">
        <v>13856141</v>
      </c>
      <c r="D28" s="97">
        <v>20223644</v>
      </c>
      <c r="E28" s="97">
        <f t="shared" si="2"/>
        <v>6367503</v>
      </c>
      <c r="F28" s="98">
        <f t="shared" si="3"/>
        <v>0.45954375031258704</v>
      </c>
    </row>
    <row r="29" spans="1:6" ht="18" customHeight="1">
      <c r="A29" s="99">
        <v>3</v>
      </c>
      <c r="B29" s="100" t="s">
        <v>271</v>
      </c>
      <c r="C29" s="97">
        <v>31129351</v>
      </c>
      <c r="D29" s="97">
        <v>39083390</v>
      </c>
      <c r="E29" s="97">
        <f t="shared" si="2"/>
        <v>7954039</v>
      </c>
      <c r="F29" s="98">
        <f t="shared" si="3"/>
        <v>0.25551573497308055</v>
      </c>
    </row>
    <row r="30" spans="1:6" ht="18" customHeight="1">
      <c r="A30" s="99">
        <v>4</v>
      </c>
      <c r="B30" s="100" t="s">
        <v>272</v>
      </c>
      <c r="C30" s="97">
        <v>27791313</v>
      </c>
      <c r="D30" s="97">
        <v>32361841</v>
      </c>
      <c r="E30" s="97">
        <f t="shared" si="2"/>
        <v>4570528</v>
      </c>
      <c r="F30" s="98">
        <f t="shared" si="3"/>
        <v>0.164458872454137</v>
      </c>
    </row>
    <row r="31" spans="1:6" ht="18" customHeight="1">
      <c r="A31" s="99">
        <v>5</v>
      </c>
      <c r="B31" s="100" t="s">
        <v>273</v>
      </c>
      <c r="C31" s="97">
        <v>996082</v>
      </c>
      <c r="D31" s="97">
        <v>1586174</v>
      </c>
      <c r="E31" s="97">
        <f t="shared" si="2"/>
        <v>590092</v>
      </c>
      <c r="F31" s="98">
        <f t="shared" si="3"/>
        <v>0.5924130744255995</v>
      </c>
    </row>
    <row r="32" spans="1:6" ht="18" customHeight="1">
      <c r="A32" s="99">
        <v>6</v>
      </c>
      <c r="B32" s="100" t="s">
        <v>274</v>
      </c>
      <c r="C32" s="97">
        <v>6384062</v>
      </c>
      <c r="D32" s="97">
        <v>6093498</v>
      </c>
      <c r="E32" s="97">
        <f t="shared" si="2"/>
        <v>-290564</v>
      </c>
      <c r="F32" s="98">
        <f t="shared" si="3"/>
        <v>-0.045513969005940104</v>
      </c>
    </row>
    <row r="33" spans="1:6" ht="18" customHeight="1">
      <c r="A33" s="99">
        <v>7</v>
      </c>
      <c r="B33" s="100" t="s">
        <v>275</v>
      </c>
      <c r="C33" s="97">
        <v>184860336</v>
      </c>
      <c r="D33" s="97">
        <v>201646470</v>
      </c>
      <c r="E33" s="97">
        <f t="shared" si="2"/>
        <v>16786134</v>
      </c>
      <c r="F33" s="98">
        <f t="shared" si="3"/>
        <v>0.09080441139087836</v>
      </c>
    </row>
    <row r="34" spans="1:6" ht="18" customHeight="1">
      <c r="A34" s="99">
        <v>8</v>
      </c>
      <c r="B34" s="100" t="s">
        <v>276</v>
      </c>
      <c r="C34" s="97">
        <v>0</v>
      </c>
      <c r="D34" s="97">
        <v>0</v>
      </c>
      <c r="E34" s="97">
        <f t="shared" si="2"/>
        <v>0</v>
      </c>
      <c r="F34" s="98">
        <f t="shared" si="3"/>
        <v>0</v>
      </c>
    </row>
    <row r="35" spans="1:6" ht="18" customHeight="1">
      <c r="A35" s="99">
        <v>9</v>
      </c>
      <c r="B35" s="100" t="s">
        <v>277</v>
      </c>
      <c r="C35" s="97">
        <v>27708063</v>
      </c>
      <c r="D35" s="97">
        <v>26654052</v>
      </c>
      <c r="E35" s="97">
        <f t="shared" si="2"/>
        <v>-1054011</v>
      </c>
      <c r="F35" s="98">
        <f t="shared" si="3"/>
        <v>-0.03803986586864625</v>
      </c>
    </row>
    <row r="36" spans="1:6" ht="18" customHeight="1">
      <c r="A36" s="99">
        <v>10</v>
      </c>
      <c r="B36" s="100" t="s">
        <v>278</v>
      </c>
      <c r="C36" s="97">
        <v>17425084</v>
      </c>
      <c r="D36" s="97">
        <v>21216679</v>
      </c>
      <c r="E36" s="97">
        <f t="shared" si="2"/>
        <v>3791595</v>
      </c>
      <c r="F36" s="98">
        <f t="shared" si="3"/>
        <v>0.2175940730041818</v>
      </c>
    </row>
    <row r="37" spans="1:6" ht="18" customHeight="1">
      <c r="A37" s="99">
        <v>11</v>
      </c>
      <c r="B37" s="100" t="s">
        <v>279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>
      <c r="A38" s="101"/>
      <c r="B38" s="102" t="s">
        <v>283</v>
      </c>
      <c r="C38" s="103">
        <f>SUM(C27:C37)</f>
        <v>440699072</v>
      </c>
      <c r="D38" s="103">
        <f>SUM(D27:D37)</f>
        <v>493992632</v>
      </c>
      <c r="E38" s="103">
        <f t="shared" si="2"/>
        <v>53293560</v>
      </c>
      <c r="F38" s="104">
        <f t="shared" si="3"/>
        <v>0.12092959433325061</v>
      </c>
    </row>
    <row r="39" spans="1:6" ht="18" customHeight="1">
      <c r="A39" s="662" t="s">
        <v>284</v>
      </c>
      <c r="B39" s="664" t="s">
        <v>285</v>
      </c>
      <c r="C39" s="666"/>
      <c r="D39" s="667"/>
      <c r="E39" s="667"/>
      <c r="F39" s="668"/>
    </row>
    <row r="40" spans="1:6" ht="18" customHeight="1">
      <c r="A40" s="663"/>
      <c r="B40" s="665"/>
      <c r="C40" s="669"/>
      <c r="D40" s="670"/>
      <c r="E40" s="670"/>
      <c r="F40" s="671"/>
    </row>
    <row r="41" spans="1:6" ht="18" customHeight="1">
      <c r="A41" s="105">
        <v>1</v>
      </c>
      <c r="B41" s="106" t="s">
        <v>269</v>
      </c>
      <c r="C41" s="103">
        <f aca="true" t="shared" si="4" ref="C41:D51">+C27+C14</f>
        <v>636021705</v>
      </c>
      <c r="D41" s="103">
        <f t="shared" si="4"/>
        <v>646684217</v>
      </c>
      <c r="E41" s="107">
        <f aca="true" t="shared" si="5" ref="E41:E52">D41-C41</f>
        <v>10662512</v>
      </c>
      <c r="F41" s="108">
        <f aca="true" t="shared" si="6" ref="F41:F52">IF(C41=0,0,E41/C41)</f>
        <v>0.016764383850705222</v>
      </c>
    </row>
    <row r="42" spans="1:6" ht="18" customHeight="1">
      <c r="A42" s="105">
        <v>2</v>
      </c>
      <c r="B42" s="106" t="s">
        <v>270</v>
      </c>
      <c r="C42" s="103">
        <f t="shared" si="4"/>
        <v>68201113</v>
      </c>
      <c r="D42" s="103">
        <f t="shared" si="4"/>
        <v>102246644</v>
      </c>
      <c r="E42" s="107">
        <f t="shared" si="5"/>
        <v>34045531</v>
      </c>
      <c r="F42" s="108">
        <f t="shared" si="6"/>
        <v>0.4991931876536971</v>
      </c>
    </row>
    <row r="43" spans="1:6" ht="18" customHeight="1">
      <c r="A43" s="105">
        <v>3</v>
      </c>
      <c r="B43" s="106" t="s">
        <v>271</v>
      </c>
      <c r="C43" s="103">
        <f t="shared" si="4"/>
        <v>122728576</v>
      </c>
      <c r="D43" s="103">
        <f t="shared" si="4"/>
        <v>153127529</v>
      </c>
      <c r="E43" s="107">
        <f t="shared" si="5"/>
        <v>30398953</v>
      </c>
      <c r="F43" s="108">
        <f t="shared" si="6"/>
        <v>0.24769254228126952</v>
      </c>
    </row>
    <row r="44" spans="1:6" ht="18" customHeight="1">
      <c r="A44" s="105">
        <v>4</v>
      </c>
      <c r="B44" s="106" t="s">
        <v>272</v>
      </c>
      <c r="C44" s="103">
        <f t="shared" si="4"/>
        <v>60170904</v>
      </c>
      <c r="D44" s="103">
        <f t="shared" si="4"/>
        <v>69962912</v>
      </c>
      <c r="E44" s="107">
        <f t="shared" si="5"/>
        <v>9792008</v>
      </c>
      <c r="F44" s="108">
        <f t="shared" si="6"/>
        <v>0.1627365944177937</v>
      </c>
    </row>
    <row r="45" spans="1:6" ht="18" customHeight="1">
      <c r="A45" s="105">
        <v>5</v>
      </c>
      <c r="B45" s="106" t="s">
        <v>273</v>
      </c>
      <c r="C45" s="103">
        <f t="shared" si="4"/>
        <v>5751815</v>
      </c>
      <c r="D45" s="103">
        <f t="shared" si="4"/>
        <v>8265834</v>
      </c>
      <c r="E45" s="107">
        <f t="shared" si="5"/>
        <v>2514019</v>
      </c>
      <c r="F45" s="108">
        <f t="shared" si="6"/>
        <v>0.43708272953841526</v>
      </c>
    </row>
    <row r="46" spans="1:6" ht="18" customHeight="1">
      <c r="A46" s="105">
        <v>6</v>
      </c>
      <c r="B46" s="106" t="s">
        <v>274</v>
      </c>
      <c r="C46" s="103">
        <f t="shared" si="4"/>
        <v>20990576</v>
      </c>
      <c r="D46" s="103">
        <f t="shared" si="4"/>
        <v>18823569</v>
      </c>
      <c r="E46" s="107">
        <f t="shared" si="5"/>
        <v>-2167007</v>
      </c>
      <c r="F46" s="108">
        <f t="shared" si="6"/>
        <v>-0.10323713841868846</v>
      </c>
    </row>
    <row r="47" spans="1:6" ht="18" customHeight="1">
      <c r="A47" s="105">
        <v>7</v>
      </c>
      <c r="B47" s="106" t="s">
        <v>275</v>
      </c>
      <c r="C47" s="103">
        <f t="shared" si="4"/>
        <v>531062655</v>
      </c>
      <c r="D47" s="103">
        <f t="shared" si="4"/>
        <v>599039787</v>
      </c>
      <c r="E47" s="107">
        <f t="shared" si="5"/>
        <v>67977132</v>
      </c>
      <c r="F47" s="108">
        <f t="shared" si="6"/>
        <v>0.12800209421617115</v>
      </c>
    </row>
    <row r="48" spans="1:6" ht="18" customHeight="1">
      <c r="A48" s="105">
        <v>8</v>
      </c>
      <c r="B48" s="106" t="s">
        <v>276</v>
      </c>
      <c r="C48" s="103">
        <f t="shared" si="4"/>
        <v>0</v>
      </c>
      <c r="D48" s="103">
        <f t="shared" si="4"/>
        <v>0</v>
      </c>
      <c r="E48" s="107">
        <f t="shared" si="5"/>
        <v>0</v>
      </c>
      <c r="F48" s="108">
        <f t="shared" si="6"/>
        <v>0</v>
      </c>
    </row>
    <row r="49" spans="1:6" ht="18" customHeight="1">
      <c r="A49" s="105">
        <v>9</v>
      </c>
      <c r="B49" s="106" t="s">
        <v>277</v>
      </c>
      <c r="C49" s="103">
        <f t="shared" si="4"/>
        <v>45137778</v>
      </c>
      <c r="D49" s="103">
        <f t="shared" si="4"/>
        <v>45723087</v>
      </c>
      <c r="E49" s="107">
        <f t="shared" si="5"/>
        <v>585309</v>
      </c>
      <c r="F49" s="108">
        <f t="shared" si="6"/>
        <v>0.012967164666368823</v>
      </c>
    </row>
    <row r="50" spans="1:6" ht="18" customHeight="1">
      <c r="A50" s="105">
        <v>10</v>
      </c>
      <c r="B50" s="106" t="s">
        <v>278</v>
      </c>
      <c r="C50" s="103">
        <f t="shared" si="4"/>
        <v>65806664</v>
      </c>
      <c r="D50" s="103">
        <f t="shared" si="4"/>
        <v>70558069</v>
      </c>
      <c r="E50" s="107">
        <f t="shared" si="5"/>
        <v>4751405</v>
      </c>
      <c r="F50" s="108">
        <f t="shared" si="6"/>
        <v>0.07220249000921852</v>
      </c>
    </row>
    <row r="51" spans="1:6" ht="18" customHeight="1" thickBot="1">
      <c r="A51" s="105">
        <v>11</v>
      </c>
      <c r="B51" s="106" t="s">
        <v>279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>
      <c r="A52" s="109"/>
      <c r="B52" s="110" t="s">
        <v>285</v>
      </c>
      <c r="C52" s="111">
        <f>SUM(C41:C51)</f>
        <v>1555871786</v>
      </c>
      <c r="D52" s="112">
        <f>SUM(D41:D51)</f>
        <v>1714431648</v>
      </c>
      <c r="E52" s="111">
        <f t="shared" si="5"/>
        <v>158559862</v>
      </c>
      <c r="F52" s="113">
        <f t="shared" si="6"/>
        <v>0.10191062234481575</v>
      </c>
    </row>
    <row r="53" spans="1:6" ht="18" customHeight="1">
      <c r="A53" s="662" t="s">
        <v>201</v>
      </c>
      <c r="B53" s="664" t="s">
        <v>286</v>
      </c>
      <c r="C53" s="666"/>
      <c r="D53" s="667"/>
      <c r="E53" s="667"/>
      <c r="F53" s="668"/>
    </row>
    <row r="54" spans="1:6" ht="18" customHeight="1">
      <c r="A54" s="663"/>
      <c r="B54" s="665"/>
      <c r="C54" s="669"/>
      <c r="D54" s="670"/>
      <c r="E54" s="670"/>
      <c r="F54" s="671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267</v>
      </c>
      <c r="B56" s="95" t="s">
        <v>287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269</v>
      </c>
      <c r="C57" s="97">
        <v>204217981</v>
      </c>
      <c r="D57" s="97">
        <v>198225476</v>
      </c>
      <c r="E57" s="97">
        <f aca="true" t="shared" si="7" ref="E57:E68">D57-C57</f>
        <v>-5992505</v>
      </c>
      <c r="F57" s="98">
        <f aca="true" t="shared" si="8" ref="F57:F68">IF(C57=0,0,E57/C57)</f>
        <v>-0.029343669791740818</v>
      </c>
    </row>
    <row r="58" spans="1:6" ht="18" customHeight="1">
      <c r="A58" s="99">
        <v>2</v>
      </c>
      <c r="B58" s="100" t="s">
        <v>270</v>
      </c>
      <c r="C58" s="97">
        <v>19526215</v>
      </c>
      <c r="D58" s="97">
        <v>30464729</v>
      </c>
      <c r="E58" s="97">
        <f t="shared" si="7"/>
        <v>10938514</v>
      </c>
      <c r="F58" s="98">
        <f t="shared" si="8"/>
        <v>0.5601963309325437</v>
      </c>
    </row>
    <row r="59" spans="1:6" ht="18" customHeight="1">
      <c r="A59" s="99">
        <v>3</v>
      </c>
      <c r="B59" s="100" t="s">
        <v>271</v>
      </c>
      <c r="C59" s="97">
        <v>33680799</v>
      </c>
      <c r="D59" s="97">
        <v>36029227</v>
      </c>
      <c r="E59" s="97">
        <f t="shared" si="7"/>
        <v>2348428</v>
      </c>
      <c r="F59" s="98">
        <f t="shared" si="8"/>
        <v>0.06972601807932169</v>
      </c>
    </row>
    <row r="60" spans="1:6" ht="18" customHeight="1">
      <c r="A60" s="99">
        <v>4</v>
      </c>
      <c r="B60" s="100" t="s">
        <v>272</v>
      </c>
      <c r="C60" s="97">
        <v>12287486</v>
      </c>
      <c r="D60" s="97">
        <v>14812276</v>
      </c>
      <c r="E60" s="97">
        <f t="shared" si="7"/>
        <v>2524790</v>
      </c>
      <c r="F60" s="98">
        <f t="shared" si="8"/>
        <v>0.20547653116349432</v>
      </c>
    </row>
    <row r="61" spans="1:6" ht="18" customHeight="1">
      <c r="A61" s="99">
        <v>5</v>
      </c>
      <c r="B61" s="100" t="s">
        <v>273</v>
      </c>
      <c r="C61" s="97">
        <v>2278226</v>
      </c>
      <c r="D61" s="97">
        <v>1922241</v>
      </c>
      <c r="E61" s="97">
        <f t="shared" si="7"/>
        <v>-355985</v>
      </c>
      <c r="F61" s="98">
        <f t="shared" si="8"/>
        <v>-0.15625534955706766</v>
      </c>
    </row>
    <row r="62" spans="1:6" ht="18" customHeight="1">
      <c r="A62" s="99">
        <v>6</v>
      </c>
      <c r="B62" s="100" t="s">
        <v>274</v>
      </c>
      <c r="C62" s="97">
        <v>14222456</v>
      </c>
      <c r="D62" s="97">
        <v>12568320</v>
      </c>
      <c r="E62" s="97">
        <f t="shared" si="7"/>
        <v>-1654136</v>
      </c>
      <c r="F62" s="98">
        <f t="shared" si="8"/>
        <v>-0.11630452574435808</v>
      </c>
    </row>
    <row r="63" spans="1:6" ht="18" customHeight="1">
      <c r="A63" s="99">
        <v>7</v>
      </c>
      <c r="B63" s="100" t="s">
        <v>275</v>
      </c>
      <c r="C63" s="97">
        <v>159155032</v>
      </c>
      <c r="D63" s="97">
        <v>194993402</v>
      </c>
      <c r="E63" s="97">
        <f t="shared" si="7"/>
        <v>35838370</v>
      </c>
      <c r="F63" s="98">
        <f t="shared" si="8"/>
        <v>0.22517899402640312</v>
      </c>
    </row>
    <row r="64" spans="1:6" ht="18" customHeight="1">
      <c r="A64" s="99">
        <v>8</v>
      </c>
      <c r="B64" s="100" t="s">
        <v>276</v>
      </c>
      <c r="C64" s="97">
        <v>0</v>
      </c>
      <c r="D64" s="97">
        <v>0</v>
      </c>
      <c r="E64" s="97">
        <f t="shared" si="7"/>
        <v>0</v>
      </c>
      <c r="F64" s="98">
        <f t="shared" si="8"/>
        <v>0</v>
      </c>
    </row>
    <row r="65" spans="1:6" ht="18" customHeight="1">
      <c r="A65" s="99">
        <v>9</v>
      </c>
      <c r="B65" s="100" t="s">
        <v>277</v>
      </c>
      <c r="C65" s="97">
        <v>1388594</v>
      </c>
      <c r="D65" s="97">
        <v>1264171</v>
      </c>
      <c r="E65" s="97">
        <f t="shared" si="7"/>
        <v>-124423</v>
      </c>
      <c r="F65" s="98">
        <f t="shared" si="8"/>
        <v>-0.0896035846330893</v>
      </c>
    </row>
    <row r="66" spans="1:6" ht="18" customHeight="1">
      <c r="A66" s="99">
        <v>10</v>
      </c>
      <c r="B66" s="100" t="s">
        <v>278</v>
      </c>
      <c r="C66" s="97">
        <v>8347112</v>
      </c>
      <c r="D66" s="97">
        <v>7516434</v>
      </c>
      <c r="E66" s="97">
        <f t="shared" si="7"/>
        <v>-830678</v>
      </c>
      <c r="F66" s="98">
        <f t="shared" si="8"/>
        <v>-0.09951681491754273</v>
      </c>
    </row>
    <row r="67" spans="1:6" ht="18" customHeight="1">
      <c r="A67" s="99">
        <v>11</v>
      </c>
      <c r="B67" s="100" t="s">
        <v>279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>
      <c r="A68" s="101"/>
      <c r="B68" s="102" t="s">
        <v>288</v>
      </c>
      <c r="C68" s="103">
        <f>SUM(C57:C67)</f>
        <v>455103901</v>
      </c>
      <c r="D68" s="103">
        <f>SUM(D57:D67)</f>
        <v>497796276</v>
      </c>
      <c r="E68" s="103">
        <f t="shared" si="7"/>
        <v>42692375</v>
      </c>
      <c r="F68" s="104">
        <f t="shared" si="8"/>
        <v>0.0938079741926888</v>
      </c>
    </row>
    <row r="69" spans="1:6" ht="18" customHeight="1">
      <c r="A69" s="94" t="s">
        <v>281</v>
      </c>
      <c r="B69" s="95" t="s">
        <v>289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269</v>
      </c>
      <c r="C70" s="97">
        <v>47304476</v>
      </c>
      <c r="D70" s="97">
        <v>48089348</v>
      </c>
      <c r="E70" s="97">
        <f aca="true" t="shared" si="9" ref="E70:E81">D70-C70</f>
        <v>784872</v>
      </c>
      <c r="F70" s="98">
        <f aca="true" t="shared" si="10" ref="F70:F81">IF(C70=0,0,E70/C70)</f>
        <v>0.016591918278515548</v>
      </c>
    </row>
    <row r="71" spans="1:6" ht="18" customHeight="1">
      <c r="A71" s="99">
        <v>2</v>
      </c>
      <c r="B71" s="100" t="s">
        <v>270</v>
      </c>
      <c r="C71" s="97">
        <v>4040103</v>
      </c>
      <c r="D71" s="97">
        <v>6256075</v>
      </c>
      <c r="E71" s="97">
        <f t="shared" si="9"/>
        <v>2215972</v>
      </c>
      <c r="F71" s="98">
        <f t="shared" si="10"/>
        <v>0.5484939369120044</v>
      </c>
    </row>
    <row r="72" spans="1:6" ht="18" customHeight="1">
      <c r="A72" s="99">
        <v>3</v>
      </c>
      <c r="B72" s="100" t="s">
        <v>271</v>
      </c>
      <c r="C72" s="97">
        <v>11455624</v>
      </c>
      <c r="D72" s="97">
        <v>11469865</v>
      </c>
      <c r="E72" s="97">
        <f t="shared" si="9"/>
        <v>14241</v>
      </c>
      <c r="F72" s="98">
        <f t="shared" si="10"/>
        <v>0.001243144851821254</v>
      </c>
    </row>
    <row r="73" spans="1:6" ht="18" customHeight="1">
      <c r="A73" s="99">
        <v>4</v>
      </c>
      <c r="B73" s="100" t="s">
        <v>272</v>
      </c>
      <c r="C73" s="97">
        <v>9031545</v>
      </c>
      <c r="D73" s="97">
        <v>9496635</v>
      </c>
      <c r="E73" s="97">
        <f t="shared" si="9"/>
        <v>465090</v>
      </c>
      <c r="F73" s="98">
        <f t="shared" si="10"/>
        <v>0.05149617258176757</v>
      </c>
    </row>
    <row r="74" spans="1:6" ht="18" customHeight="1">
      <c r="A74" s="99">
        <v>5</v>
      </c>
      <c r="B74" s="100" t="s">
        <v>273</v>
      </c>
      <c r="C74" s="97">
        <v>655809</v>
      </c>
      <c r="D74" s="97">
        <v>517232</v>
      </c>
      <c r="E74" s="97">
        <f t="shared" si="9"/>
        <v>-138577</v>
      </c>
      <c r="F74" s="98">
        <f t="shared" si="10"/>
        <v>-0.2113069506517904</v>
      </c>
    </row>
    <row r="75" spans="1:6" ht="18" customHeight="1">
      <c r="A75" s="99">
        <v>6</v>
      </c>
      <c r="B75" s="100" t="s">
        <v>274</v>
      </c>
      <c r="C75" s="97">
        <v>6216202</v>
      </c>
      <c r="D75" s="97">
        <v>6016073</v>
      </c>
      <c r="E75" s="97">
        <f t="shared" si="9"/>
        <v>-200129</v>
      </c>
      <c r="F75" s="98">
        <f t="shared" si="10"/>
        <v>-0.03219473884535927</v>
      </c>
    </row>
    <row r="76" spans="1:6" ht="18" customHeight="1">
      <c r="A76" s="99">
        <v>7</v>
      </c>
      <c r="B76" s="100" t="s">
        <v>275</v>
      </c>
      <c r="C76" s="97">
        <v>88829461</v>
      </c>
      <c r="D76" s="97">
        <v>102774265</v>
      </c>
      <c r="E76" s="97">
        <f t="shared" si="9"/>
        <v>13944804</v>
      </c>
      <c r="F76" s="98">
        <f t="shared" si="10"/>
        <v>0.15698399881093503</v>
      </c>
    </row>
    <row r="77" spans="1:6" ht="18" customHeight="1">
      <c r="A77" s="99">
        <v>8</v>
      </c>
      <c r="B77" s="100" t="s">
        <v>276</v>
      </c>
      <c r="C77" s="97">
        <v>0</v>
      </c>
      <c r="D77" s="97">
        <v>0</v>
      </c>
      <c r="E77" s="97">
        <f t="shared" si="9"/>
        <v>0</v>
      </c>
      <c r="F77" s="98">
        <f t="shared" si="10"/>
        <v>0</v>
      </c>
    </row>
    <row r="78" spans="1:6" ht="18" customHeight="1">
      <c r="A78" s="99">
        <v>9</v>
      </c>
      <c r="B78" s="100" t="s">
        <v>277</v>
      </c>
      <c r="C78" s="97">
        <v>2207452</v>
      </c>
      <c r="D78" s="97">
        <v>1767017</v>
      </c>
      <c r="E78" s="97">
        <f t="shared" si="9"/>
        <v>-440435</v>
      </c>
      <c r="F78" s="98">
        <f t="shared" si="10"/>
        <v>-0.19952189220875471</v>
      </c>
    </row>
    <row r="79" spans="1:6" ht="18" customHeight="1">
      <c r="A79" s="99">
        <v>10</v>
      </c>
      <c r="B79" s="100" t="s">
        <v>278</v>
      </c>
      <c r="C79" s="97">
        <v>4251509</v>
      </c>
      <c r="D79" s="97">
        <v>4336291</v>
      </c>
      <c r="E79" s="97">
        <f t="shared" si="9"/>
        <v>84782</v>
      </c>
      <c r="F79" s="98">
        <f t="shared" si="10"/>
        <v>0.01994162543228769</v>
      </c>
    </row>
    <row r="80" spans="1:6" ht="18" customHeight="1">
      <c r="A80" s="99">
        <v>11</v>
      </c>
      <c r="B80" s="100" t="s">
        <v>279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>
      <c r="A81" s="101"/>
      <c r="B81" s="102" t="s">
        <v>290</v>
      </c>
      <c r="C81" s="103">
        <f>SUM(C70:C80)</f>
        <v>173992181</v>
      </c>
      <c r="D81" s="103">
        <f>SUM(D70:D80)</f>
        <v>190722801</v>
      </c>
      <c r="E81" s="103">
        <f t="shared" si="9"/>
        <v>16730620</v>
      </c>
      <c r="F81" s="104">
        <f t="shared" si="10"/>
        <v>0.09615730950576451</v>
      </c>
    </row>
    <row r="82" spans="1:6" ht="18" customHeight="1">
      <c r="A82" s="662" t="s">
        <v>284</v>
      </c>
      <c r="B82" s="664" t="s">
        <v>291</v>
      </c>
      <c r="C82" s="666"/>
      <c r="D82" s="667"/>
      <c r="E82" s="667"/>
      <c r="F82" s="668"/>
    </row>
    <row r="83" spans="1:6" ht="18" customHeight="1">
      <c r="A83" s="663"/>
      <c r="B83" s="665"/>
      <c r="C83" s="669"/>
      <c r="D83" s="670"/>
      <c r="E83" s="670"/>
      <c r="F83" s="671"/>
    </row>
    <row r="84" spans="1:6" ht="18" customHeight="1">
      <c r="A84" s="114">
        <v>1</v>
      </c>
      <c r="B84" s="106" t="s">
        <v>269</v>
      </c>
      <c r="C84" s="103">
        <f aca="true" t="shared" si="11" ref="C84:D94">+C70+C57</f>
        <v>251522457</v>
      </c>
      <c r="D84" s="103">
        <f t="shared" si="11"/>
        <v>246314824</v>
      </c>
      <c r="E84" s="103">
        <f aca="true" t="shared" si="12" ref="E84:E95">D84-C84</f>
        <v>-5207633</v>
      </c>
      <c r="F84" s="104">
        <f aca="true" t="shared" si="13" ref="F84:F95">IF(C84=0,0,E84/C84)</f>
        <v>-0.02070444548814184</v>
      </c>
    </row>
    <row r="85" spans="1:6" ht="18" customHeight="1">
      <c r="A85" s="114">
        <v>2</v>
      </c>
      <c r="B85" s="106" t="s">
        <v>270</v>
      </c>
      <c r="C85" s="103">
        <f t="shared" si="11"/>
        <v>23566318</v>
      </c>
      <c r="D85" s="103">
        <f t="shared" si="11"/>
        <v>36720804</v>
      </c>
      <c r="E85" s="103">
        <f t="shared" si="12"/>
        <v>13154486</v>
      </c>
      <c r="F85" s="104">
        <f t="shared" si="13"/>
        <v>0.558190125415434</v>
      </c>
    </row>
    <row r="86" spans="1:6" ht="18" customHeight="1">
      <c r="A86" s="114">
        <v>3</v>
      </c>
      <c r="B86" s="106" t="s">
        <v>271</v>
      </c>
      <c r="C86" s="103">
        <f t="shared" si="11"/>
        <v>45136423</v>
      </c>
      <c r="D86" s="103">
        <f t="shared" si="11"/>
        <v>47499092</v>
      </c>
      <c r="E86" s="103">
        <f t="shared" si="12"/>
        <v>2362669</v>
      </c>
      <c r="F86" s="104">
        <f t="shared" si="13"/>
        <v>0.05234506509299596</v>
      </c>
    </row>
    <row r="87" spans="1:6" ht="18" customHeight="1">
      <c r="A87" s="114">
        <v>4</v>
      </c>
      <c r="B87" s="106" t="s">
        <v>272</v>
      </c>
      <c r="C87" s="103">
        <f t="shared" si="11"/>
        <v>21319031</v>
      </c>
      <c r="D87" s="103">
        <f t="shared" si="11"/>
        <v>24308911</v>
      </c>
      <c r="E87" s="103">
        <f t="shared" si="12"/>
        <v>2989880</v>
      </c>
      <c r="F87" s="104">
        <f t="shared" si="13"/>
        <v>0.14024464807992446</v>
      </c>
    </row>
    <row r="88" spans="1:6" ht="18" customHeight="1">
      <c r="A88" s="114">
        <v>5</v>
      </c>
      <c r="B88" s="106" t="s">
        <v>273</v>
      </c>
      <c r="C88" s="103">
        <f t="shared" si="11"/>
        <v>2934035</v>
      </c>
      <c r="D88" s="103">
        <f t="shared" si="11"/>
        <v>2439473</v>
      </c>
      <c r="E88" s="103">
        <f t="shared" si="12"/>
        <v>-494562</v>
      </c>
      <c r="F88" s="104">
        <f t="shared" si="13"/>
        <v>-0.16856036141354824</v>
      </c>
    </row>
    <row r="89" spans="1:6" ht="18" customHeight="1">
      <c r="A89" s="114">
        <v>6</v>
      </c>
      <c r="B89" s="106" t="s">
        <v>274</v>
      </c>
      <c r="C89" s="103">
        <f t="shared" si="11"/>
        <v>20438658</v>
      </c>
      <c r="D89" s="103">
        <f t="shared" si="11"/>
        <v>18584393</v>
      </c>
      <c r="E89" s="103">
        <f t="shared" si="12"/>
        <v>-1854265</v>
      </c>
      <c r="F89" s="104">
        <f t="shared" si="13"/>
        <v>-0.0907234222520872</v>
      </c>
    </row>
    <row r="90" spans="1:6" ht="18" customHeight="1">
      <c r="A90" s="114">
        <v>7</v>
      </c>
      <c r="B90" s="106" t="s">
        <v>275</v>
      </c>
      <c r="C90" s="103">
        <f t="shared" si="11"/>
        <v>247984493</v>
      </c>
      <c r="D90" s="103">
        <f t="shared" si="11"/>
        <v>297767667</v>
      </c>
      <c r="E90" s="103">
        <f t="shared" si="12"/>
        <v>49783174</v>
      </c>
      <c r="F90" s="104">
        <f t="shared" si="13"/>
        <v>0.20075115745241376</v>
      </c>
    </row>
    <row r="91" spans="1:6" ht="18" customHeight="1">
      <c r="A91" s="114">
        <v>8</v>
      </c>
      <c r="B91" s="106" t="s">
        <v>276</v>
      </c>
      <c r="C91" s="103">
        <f t="shared" si="11"/>
        <v>0</v>
      </c>
      <c r="D91" s="103">
        <f t="shared" si="11"/>
        <v>0</v>
      </c>
      <c r="E91" s="103">
        <f t="shared" si="12"/>
        <v>0</v>
      </c>
      <c r="F91" s="104">
        <f t="shared" si="13"/>
        <v>0</v>
      </c>
    </row>
    <row r="92" spans="1:6" ht="18" customHeight="1">
      <c r="A92" s="114">
        <v>9</v>
      </c>
      <c r="B92" s="106" t="s">
        <v>277</v>
      </c>
      <c r="C92" s="103">
        <f t="shared" si="11"/>
        <v>3596046</v>
      </c>
      <c r="D92" s="103">
        <f t="shared" si="11"/>
        <v>3031188</v>
      </c>
      <c r="E92" s="103">
        <f t="shared" si="12"/>
        <v>-564858</v>
      </c>
      <c r="F92" s="104">
        <f t="shared" si="13"/>
        <v>-0.1570775234799555</v>
      </c>
    </row>
    <row r="93" spans="1:6" ht="18" customHeight="1">
      <c r="A93" s="114">
        <v>10</v>
      </c>
      <c r="B93" s="106" t="s">
        <v>278</v>
      </c>
      <c r="C93" s="103">
        <f t="shared" si="11"/>
        <v>12598621</v>
      </c>
      <c r="D93" s="103">
        <f t="shared" si="11"/>
        <v>11852725</v>
      </c>
      <c r="E93" s="103">
        <f t="shared" si="12"/>
        <v>-745896</v>
      </c>
      <c r="F93" s="104">
        <f t="shared" si="13"/>
        <v>-0.05920457484989825</v>
      </c>
    </row>
    <row r="94" spans="1:6" ht="18" customHeight="1" thickBot="1">
      <c r="A94" s="114">
        <v>11</v>
      </c>
      <c r="B94" s="106" t="s">
        <v>279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>
      <c r="A95" s="115"/>
      <c r="B95" s="116" t="s">
        <v>291</v>
      </c>
      <c r="C95" s="112">
        <f>SUM(C84:C94)</f>
        <v>629096082</v>
      </c>
      <c r="D95" s="112">
        <f>SUM(D84:D94)</f>
        <v>688519077</v>
      </c>
      <c r="E95" s="112">
        <f t="shared" si="12"/>
        <v>59422995</v>
      </c>
      <c r="F95" s="113">
        <f t="shared" si="13"/>
        <v>0.09445774135341062</v>
      </c>
    </row>
    <row r="96" spans="1:6" ht="18" customHeight="1">
      <c r="A96" s="662" t="s">
        <v>292</v>
      </c>
      <c r="B96" s="664" t="s">
        <v>293</v>
      </c>
      <c r="C96" s="666"/>
      <c r="D96" s="667"/>
      <c r="E96" s="667"/>
      <c r="F96" s="668"/>
    </row>
    <row r="97" spans="1:6" ht="18" customHeight="1">
      <c r="A97" s="663"/>
      <c r="B97" s="665"/>
      <c r="C97" s="669"/>
      <c r="D97" s="670"/>
      <c r="E97" s="670"/>
      <c r="F97" s="671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267</v>
      </c>
      <c r="B99" s="95" t="s">
        <v>294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269</v>
      </c>
      <c r="C100" s="117">
        <v>13897</v>
      </c>
      <c r="D100" s="117">
        <v>13575</v>
      </c>
      <c r="E100" s="117">
        <f aca="true" t="shared" si="14" ref="E100:E111">D100-C100</f>
        <v>-322</v>
      </c>
      <c r="F100" s="98">
        <f aca="true" t="shared" si="15" ref="F100:F111">IF(C100=0,0,E100/C100)</f>
        <v>-0.023170468446427287</v>
      </c>
    </row>
    <row r="101" spans="1:6" ht="18" customHeight="1">
      <c r="A101" s="99">
        <v>2</v>
      </c>
      <c r="B101" s="100" t="s">
        <v>270</v>
      </c>
      <c r="C101" s="117">
        <v>1391</v>
      </c>
      <c r="D101" s="117">
        <v>1958</v>
      </c>
      <c r="E101" s="117">
        <f t="shared" si="14"/>
        <v>567</v>
      </c>
      <c r="F101" s="98">
        <f t="shared" si="15"/>
        <v>0.4076204169662114</v>
      </c>
    </row>
    <row r="102" spans="1:6" ht="18" customHeight="1">
      <c r="A102" s="99">
        <v>3</v>
      </c>
      <c r="B102" s="100" t="s">
        <v>271</v>
      </c>
      <c r="C102" s="117">
        <v>3352</v>
      </c>
      <c r="D102" s="117">
        <v>3707</v>
      </c>
      <c r="E102" s="117">
        <f t="shared" si="14"/>
        <v>355</v>
      </c>
      <c r="F102" s="98">
        <f t="shared" si="15"/>
        <v>0.10590692124105013</v>
      </c>
    </row>
    <row r="103" spans="1:6" ht="18" customHeight="1">
      <c r="A103" s="99">
        <v>4</v>
      </c>
      <c r="B103" s="100" t="s">
        <v>272</v>
      </c>
      <c r="C103" s="117">
        <v>2904</v>
      </c>
      <c r="D103" s="117">
        <v>3235</v>
      </c>
      <c r="E103" s="117">
        <f t="shared" si="14"/>
        <v>331</v>
      </c>
      <c r="F103" s="98">
        <f t="shared" si="15"/>
        <v>0.11398071625344353</v>
      </c>
    </row>
    <row r="104" spans="1:6" ht="18" customHeight="1">
      <c r="A104" s="99">
        <v>5</v>
      </c>
      <c r="B104" s="100" t="s">
        <v>273</v>
      </c>
      <c r="C104" s="117">
        <v>160</v>
      </c>
      <c r="D104" s="117">
        <v>186</v>
      </c>
      <c r="E104" s="117">
        <f t="shared" si="14"/>
        <v>26</v>
      </c>
      <c r="F104" s="98">
        <f t="shared" si="15"/>
        <v>0.1625</v>
      </c>
    </row>
    <row r="105" spans="1:6" ht="18" customHeight="1">
      <c r="A105" s="99">
        <v>6</v>
      </c>
      <c r="B105" s="100" t="s">
        <v>274</v>
      </c>
      <c r="C105" s="117">
        <v>368</v>
      </c>
      <c r="D105" s="117">
        <v>345</v>
      </c>
      <c r="E105" s="117">
        <f t="shared" si="14"/>
        <v>-23</v>
      </c>
      <c r="F105" s="98">
        <f t="shared" si="15"/>
        <v>-0.0625</v>
      </c>
    </row>
    <row r="106" spans="1:6" ht="18" customHeight="1">
      <c r="A106" s="99">
        <v>7</v>
      </c>
      <c r="B106" s="100" t="s">
        <v>275</v>
      </c>
      <c r="C106" s="117">
        <v>15186</v>
      </c>
      <c r="D106" s="117">
        <v>15600</v>
      </c>
      <c r="E106" s="117">
        <f t="shared" si="14"/>
        <v>414</v>
      </c>
      <c r="F106" s="98">
        <f t="shared" si="15"/>
        <v>0.027261951797708416</v>
      </c>
    </row>
    <row r="107" spans="1:6" ht="18" customHeight="1">
      <c r="A107" s="99">
        <v>8</v>
      </c>
      <c r="B107" s="100" t="s">
        <v>276</v>
      </c>
      <c r="C107" s="117">
        <v>0</v>
      </c>
      <c r="D107" s="117">
        <v>0</v>
      </c>
      <c r="E107" s="117">
        <f t="shared" si="14"/>
        <v>0</v>
      </c>
      <c r="F107" s="98">
        <f t="shared" si="15"/>
        <v>0</v>
      </c>
    </row>
    <row r="108" spans="1:6" ht="18" customHeight="1">
      <c r="A108" s="99">
        <v>9</v>
      </c>
      <c r="B108" s="100" t="s">
        <v>277</v>
      </c>
      <c r="C108" s="117">
        <v>664</v>
      </c>
      <c r="D108" s="117">
        <v>694</v>
      </c>
      <c r="E108" s="117">
        <f t="shared" si="14"/>
        <v>30</v>
      </c>
      <c r="F108" s="98">
        <f t="shared" si="15"/>
        <v>0.045180722891566265</v>
      </c>
    </row>
    <row r="109" spans="1:6" ht="18" customHeight="1">
      <c r="A109" s="99">
        <v>10</v>
      </c>
      <c r="B109" s="100" t="s">
        <v>278</v>
      </c>
      <c r="C109" s="117">
        <v>1918</v>
      </c>
      <c r="D109" s="117">
        <v>1888</v>
      </c>
      <c r="E109" s="117">
        <f t="shared" si="14"/>
        <v>-30</v>
      </c>
      <c r="F109" s="98">
        <f t="shared" si="15"/>
        <v>-0.01564129301355579</v>
      </c>
    </row>
    <row r="110" spans="1:6" ht="18" customHeight="1">
      <c r="A110" s="99">
        <v>11</v>
      </c>
      <c r="B110" s="100" t="s">
        <v>279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>
      <c r="A111" s="101"/>
      <c r="B111" s="102" t="s">
        <v>295</v>
      </c>
      <c r="C111" s="118">
        <f>SUM(C100:C110)</f>
        <v>39840</v>
      </c>
      <c r="D111" s="118">
        <f>SUM(D100:D110)</f>
        <v>41188</v>
      </c>
      <c r="E111" s="118">
        <f t="shared" si="14"/>
        <v>1348</v>
      </c>
      <c r="F111" s="104">
        <f t="shared" si="15"/>
        <v>0.033835341365461846</v>
      </c>
    </row>
    <row r="112" spans="1:6" ht="18" customHeight="1">
      <c r="A112" s="94" t="s">
        <v>281</v>
      </c>
      <c r="B112" s="95" t="s">
        <v>296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269</v>
      </c>
      <c r="C113" s="117">
        <v>89647</v>
      </c>
      <c r="D113" s="117">
        <v>84415</v>
      </c>
      <c r="E113" s="117">
        <f aca="true" t="shared" si="16" ref="E113:E124">D113-C113</f>
        <v>-5232</v>
      </c>
      <c r="F113" s="98">
        <f aca="true" t="shared" si="17" ref="F113:F124">IF(C113=0,0,E113/C113)</f>
        <v>-0.0583622430198445</v>
      </c>
    </row>
    <row r="114" spans="1:6" ht="18" customHeight="1">
      <c r="A114" s="99">
        <v>2</v>
      </c>
      <c r="B114" s="100" t="s">
        <v>270</v>
      </c>
      <c r="C114" s="117">
        <v>8807</v>
      </c>
      <c r="D114" s="117">
        <v>12351</v>
      </c>
      <c r="E114" s="117">
        <f t="shared" si="16"/>
        <v>3544</v>
      </c>
      <c r="F114" s="98">
        <f t="shared" si="17"/>
        <v>0.40240717610991256</v>
      </c>
    </row>
    <row r="115" spans="1:6" ht="18" customHeight="1">
      <c r="A115" s="99">
        <v>3</v>
      </c>
      <c r="B115" s="100" t="s">
        <v>271</v>
      </c>
      <c r="C115" s="117">
        <v>24584</v>
      </c>
      <c r="D115" s="117">
        <v>26628</v>
      </c>
      <c r="E115" s="117">
        <f t="shared" si="16"/>
        <v>2044</v>
      </c>
      <c r="F115" s="98">
        <f t="shared" si="17"/>
        <v>0.08314350797266515</v>
      </c>
    </row>
    <row r="116" spans="1:6" ht="18" customHeight="1">
      <c r="A116" s="99">
        <v>4</v>
      </c>
      <c r="B116" s="100" t="s">
        <v>272</v>
      </c>
      <c r="C116" s="117">
        <v>8964</v>
      </c>
      <c r="D116" s="117">
        <v>9943</v>
      </c>
      <c r="E116" s="117">
        <f t="shared" si="16"/>
        <v>979</v>
      </c>
      <c r="F116" s="98">
        <f t="shared" si="17"/>
        <v>0.10921463632307006</v>
      </c>
    </row>
    <row r="117" spans="1:6" ht="18" customHeight="1">
      <c r="A117" s="99">
        <v>5</v>
      </c>
      <c r="B117" s="100" t="s">
        <v>273</v>
      </c>
      <c r="C117" s="117">
        <v>859</v>
      </c>
      <c r="D117" s="117">
        <v>1211</v>
      </c>
      <c r="E117" s="117">
        <f t="shared" si="16"/>
        <v>352</v>
      </c>
      <c r="F117" s="98">
        <f t="shared" si="17"/>
        <v>0.409778812572759</v>
      </c>
    </row>
    <row r="118" spans="1:6" ht="18" customHeight="1">
      <c r="A118" s="99">
        <v>6</v>
      </c>
      <c r="B118" s="100" t="s">
        <v>274</v>
      </c>
      <c r="C118" s="117">
        <v>2124</v>
      </c>
      <c r="D118" s="117">
        <v>1623</v>
      </c>
      <c r="E118" s="117">
        <f t="shared" si="16"/>
        <v>-501</v>
      </c>
      <c r="F118" s="98">
        <f t="shared" si="17"/>
        <v>-0.23587570621468926</v>
      </c>
    </row>
    <row r="119" spans="1:6" ht="18" customHeight="1">
      <c r="A119" s="99">
        <v>7</v>
      </c>
      <c r="B119" s="100" t="s">
        <v>275</v>
      </c>
      <c r="C119" s="117">
        <v>63341</v>
      </c>
      <c r="D119" s="117">
        <v>66209</v>
      </c>
      <c r="E119" s="117">
        <f t="shared" si="16"/>
        <v>2868</v>
      </c>
      <c r="F119" s="98">
        <f t="shared" si="17"/>
        <v>0.04527872941696531</v>
      </c>
    </row>
    <row r="120" spans="1:6" ht="18" customHeight="1">
      <c r="A120" s="99">
        <v>8</v>
      </c>
      <c r="B120" s="100" t="s">
        <v>276</v>
      </c>
      <c r="C120" s="117">
        <v>0</v>
      </c>
      <c r="D120" s="117">
        <v>0</v>
      </c>
      <c r="E120" s="117">
        <f t="shared" si="16"/>
        <v>0</v>
      </c>
      <c r="F120" s="98">
        <f t="shared" si="17"/>
        <v>0</v>
      </c>
    </row>
    <row r="121" spans="1:6" ht="18" customHeight="1">
      <c r="A121" s="99">
        <v>9</v>
      </c>
      <c r="B121" s="100" t="s">
        <v>277</v>
      </c>
      <c r="C121" s="117">
        <v>2770</v>
      </c>
      <c r="D121" s="117">
        <v>3053</v>
      </c>
      <c r="E121" s="117">
        <f t="shared" si="16"/>
        <v>283</v>
      </c>
      <c r="F121" s="98">
        <f t="shared" si="17"/>
        <v>0.10216606498194945</v>
      </c>
    </row>
    <row r="122" spans="1:6" ht="18" customHeight="1">
      <c r="A122" s="99">
        <v>10</v>
      </c>
      <c r="B122" s="100" t="s">
        <v>278</v>
      </c>
      <c r="C122" s="117">
        <v>10917</v>
      </c>
      <c r="D122" s="117">
        <v>10525</v>
      </c>
      <c r="E122" s="117">
        <f t="shared" si="16"/>
        <v>-392</v>
      </c>
      <c r="F122" s="98">
        <f t="shared" si="17"/>
        <v>-0.035907300540441514</v>
      </c>
    </row>
    <row r="123" spans="1:6" ht="18" customHeight="1">
      <c r="A123" s="99">
        <v>11</v>
      </c>
      <c r="B123" s="100" t="s">
        <v>279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>
      <c r="A124" s="101"/>
      <c r="B124" s="102" t="s">
        <v>297</v>
      </c>
      <c r="C124" s="118">
        <f>SUM(C113:C123)</f>
        <v>212013</v>
      </c>
      <c r="D124" s="118">
        <f>SUM(D113:D123)</f>
        <v>215958</v>
      </c>
      <c r="E124" s="118">
        <f t="shared" si="16"/>
        <v>3945</v>
      </c>
      <c r="F124" s="104">
        <f t="shared" si="17"/>
        <v>0.018607349549320088</v>
      </c>
    </row>
    <row r="125" spans="1:6" ht="18" customHeight="1">
      <c r="A125" s="94" t="s">
        <v>298</v>
      </c>
      <c r="B125" s="95" t="s">
        <v>299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269</v>
      </c>
      <c r="C126" s="117">
        <v>38197</v>
      </c>
      <c r="D126" s="117">
        <v>47268</v>
      </c>
      <c r="E126" s="117">
        <f aca="true" t="shared" si="18" ref="E126:E137">D126-C126</f>
        <v>9071</v>
      </c>
      <c r="F126" s="98">
        <f aca="true" t="shared" si="19" ref="F126:F137">IF(C126=0,0,E126/C126)</f>
        <v>0.23747938319763331</v>
      </c>
    </row>
    <row r="127" spans="1:6" ht="18" customHeight="1">
      <c r="A127" s="99">
        <v>2</v>
      </c>
      <c r="B127" s="100" t="s">
        <v>270</v>
      </c>
      <c r="C127" s="117">
        <v>1621</v>
      </c>
      <c r="D127" s="117">
        <v>3691</v>
      </c>
      <c r="E127" s="117">
        <f t="shared" si="18"/>
        <v>2070</v>
      </c>
      <c r="F127" s="98">
        <f t="shared" si="19"/>
        <v>1.2769895126465145</v>
      </c>
    </row>
    <row r="128" spans="1:6" ht="18" customHeight="1">
      <c r="A128" s="99">
        <v>3</v>
      </c>
      <c r="B128" s="100" t="s">
        <v>271</v>
      </c>
      <c r="C128" s="117">
        <v>43689</v>
      </c>
      <c r="D128" s="117">
        <v>47909</v>
      </c>
      <c r="E128" s="117">
        <f t="shared" si="18"/>
        <v>4220</v>
      </c>
      <c r="F128" s="98">
        <f t="shared" si="19"/>
        <v>0.09659181945112041</v>
      </c>
    </row>
    <row r="129" spans="1:6" ht="18" customHeight="1">
      <c r="A129" s="99">
        <v>4</v>
      </c>
      <c r="B129" s="100" t="s">
        <v>272</v>
      </c>
      <c r="C129" s="117">
        <v>49344</v>
      </c>
      <c r="D129" s="117">
        <v>49675</v>
      </c>
      <c r="E129" s="117">
        <f t="shared" si="18"/>
        <v>331</v>
      </c>
      <c r="F129" s="98">
        <f t="shared" si="19"/>
        <v>0.006708009079118028</v>
      </c>
    </row>
    <row r="130" spans="1:6" ht="18" customHeight="1">
      <c r="A130" s="99">
        <v>5</v>
      </c>
      <c r="B130" s="100" t="s">
        <v>273</v>
      </c>
      <c r="C130" s="117">
        <v>627</v>
      </c>
      <c r="D130" s="117">
        <v>390</v>
      </c>
      <c r="E130" s="117">
        <f t="shared" si="18"/>
        <v>-237</v>
      </c>
      <c r="F130" s="98">
        <f t="shared" si="19"/>
        <v>-0.37799043062200954</v>
      </c>
    </row>
    <row r="131" spans="1:6" ht="18" customHeight="1">
      <c r="A131" s="99">
        <v>6</v>
      </c>
      <c r="B131" s="100" t="s">
        <v>274</v>
      </c>
      <c r="C131" s="117">
        <v>3108</v>
      </c>
      <c r="D131" s="117">
        <v>2659</v>
      </c>
      <c r="E131" s="117">
        <f t="shared" si="18"/>
        <v>-449</v>
      </c>
      <c r="F131" s="98">
        <f t="shared" si="19"/>
        <v>-0.14446589446589447</v>
      </c>
    </row>
    <row r="132" spans="1:6" ht="18" customHeight="1">
      <c r="A132" s="99">
        <v>7</v>
      </c>
      <c r="B132" s="100" t="s">
        <v>275</v>
      </c>
      <c r="C132" s="117">
        <v>26627</v>
      </c>
      <c r="D132" s="117">
        <v>34637</v>
      </c>
      <c r="E132" s="117">
        <f t="shared" si="18"/>
        <v>8010</v>
      </c>
      <c r="F132" s="98">
        <f t="shared" si="19"/>
        <v>0.30082247342922597</v>
      </c>
    </row>
    <row r="133" spans="1:6" ht="18" customHeight="1">
      <c r="A133" s="99">
        <v>8</v>
      </c>
      <c r="B133" s="100" t="s">
        <v>276</v>
      </c>
      <c r="C133" s="117">
        <v>0</v>
      </c>
      <c r="D133" s="117">
        <v>0</v>
      </c>
      <c r="E133" s="117">
        <f t="shared" si="18"/>
        <v>0</v>
      </c>
      <c r="F133" s="98">
        <f t="shared" si="19"/>
        <v>0</v>
      </c>
    </row>
    <row r="134" spans="1:6" ht="18" customHeight="1">
      <c r="A134" s="99">
        <v>9</v>
      </c>
      <c r="B134" s="100" t="s">
        <v>277</v>
      </c>
      <c r="C134" s="117">
        <v>35690</v>
      </c>
      <c r="D134" s="117">
        <v>28104</v>
      </c>
      <c r="E134" s="117">
        <f t="shared" si="18"/>
        <v>-7586</v>
      </c>
      <c r="F134" s="98">
        <f t="shared" si="19"/>
        <v>-0.21255253572429253</v>
      </c>
    </row>
    <row r="135" spans="1:6" ht="18" customHeight="1">
      <c r="A135" s="99">
        <v>10</v>
      </c>
      <c r="B135" s="100" t="s">
        <v>278</v>
      </c>
      <c r="C135" s="117">
        <v>10796</v>
      </c>
      <c r="D135" s="117">
        <v>14900</v>
      </c>
      <c r="E135" s="117">
        <f t="shared" si="18"/>
        <v>4104</v>
      </c>
      <c r="F135" s="98">
        <f t="shared" si="19"/>
        <v>0.3801407928862542</v>
      </c>
    </row>
    <row r="136" spans="1:6" ht="18" customHeight="1">
      <c r="A136" s="99">
        <v>11</v>
      </c>
      <c r="B136" s="100" t="s">
        <v>279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>
      <c r="A137" s="101"/>
      <c r="B137" s="102" t="s">
        <v>300</v>
      </c>
      <c r="C137" s="118">
        <f>SUM(C126:C136)</f>
        <v>209699</v>
      </c>
      <c r="D137" s="118">
        <f>SUM(D126:D136)</f>
        <v>229233</v>
      </c>
      <c r="E137" s="118">
        <f t="shared" si="18"/>
        <v>19534</v>
      </c>
      <c r="F137" s="104">
        <f t="shared" si="19"/>
        <v>0.09315256629740723</v>
      </c>
    </row>
    <row r="138" spans="1:6" ht="18" customHeight="1">
      <c r="A138" s="662" t="s">
        <v>301</v>
      </c>
      <c r="B138" s="664" t="s">
        <v>302</v>
      </c>
      <c r="C138" s="666"/>
      <c r="D138" s="667"/>
      <c r="E138" s="667"/>
      <c r="F138" s="668"/>
    </row>
    <row r="139" spans="1:6" ht="18" customHeight="1">
      <c r="A139" s="663"/>
      <c r="B139" s="665"/>
      <c r="C139" s="669"/>
      <c r="D139" s="670"/>
      <c r="E139" s="670"/>
      <c r="F139" s="671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267</v>
      </c>
      <c r="B141" s="95" t="s">
        <v>303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269</v>
      </c>
      <c r="C142" s="97">
        <v>21892988</v>
      </c>
      <c r="D142" s="97">
        <v>20967786</v>
      </c>
      <c r="E142" s="97">
        <f aca="true" t="shared" si="20" ref="E142:E153">D142-C142</f>
        <v>-925202</v>
      </c>
      <c r="F142" s="98">
        <f aca="true" t="shared" si="21" ref="F142:F153">IF(C142=0,0,E142/C142)</f>
        <v>-0.0422601976486718</v>
      </c>
    </row>
    <row r="143" spans="1:6" ht="18" customHeight="1">
      <c r="A143" s="99">
        <v>2</v>
      </c>
      <c r="B143" s="100" t="s">
        <v>270</v>
      </c>
      <c r="C143" s="97">
        <v>3002517</v>
      </c>
      <c r="D143" s="97">
        <v>4119951</v>
      </c>
      <c r="E143" s="97">
        <f t="shared" si="20"/>
        <v>1117434</v>
      </c>
      <c r="F143" s="98">
        <f t="shared" si="21"/>
        <v>0.37216575293328896</v>
      </c>
    </row>
    <row r="144" spans="1:6" ht="18" customHeight="1">
      <c r="A144" s="99">
        <v>3</v>
      </c>
      <c r="B144" s="100" t="s">
        <v>271</v>
      </c>
      <c r="C144" s="97">
        <v>10142734</v>
      </c>
      <c r="D144" s="97">
        <v>12750993</v>
      </c>
      <c r="E144" s="97">
        <f t="shared" si="20"/>
        <v>2608259</v>
      </c>
      <c r="F144" s="98">
        <f t="shared" si="21"/>
        <v>0.25715541785873514</v>
      </c>
    </row>
    <row r="145" spans="1:6" ht="18" customHeight="1">
      <c r="A145" s="99">
        <v>4</v>
      </c>
      <c r="B145" s="100" t="s">
        <v>272</v>
      </c>
      <c r="C145" s="97">
        <v>12485448</v>
      </c>
      <c r="D145" s="97">
        <v>16348457</v>
      </c>
      <c r="E145" s="97">
        <f t="shared" si="20"/>
        <v>3863009</v>
      </c>
      <c r="F145" s="98">
        <f t="shared" si="21"/>
        <v>0.30940091216590704</v>
      </c>
    </row>
    <row r="146" spans="1:6" ht="18" customHeight="1">
      <c r="A146" s="99">
        <v>5</v>
      </c>
      <c r="B146" s="100" t="s">
        <v>273</v>
      </c>
      <c r="C146" s="97">
        <v>843472</v>
      </c>
      <c r="D146" s="97">
        <v>560817</v>
      </c>
      <c r="E146" s="97">
        <f t="shared" si="20"/>
        <v>-282655</v>
      </c>
      <c r="F146" s="98">
        <f t="shared" si="21"/>
        <v>-0.33510893070546505</v>
      </c>
    </row>
    <row r="147" spans="1:6" ht="18" customHeight="1">
      <c r="A147" s="99">
        <v>6</v>
      </c>
      <c r="B147" s="100" t="s">
        <v>274</v>
      </c>
      <c r="C147" s="97">
        <v>4253334</v>
      </c>
      <c r="D147" s="97">
        <v>3538765</v>
      </c>
      <c r="E147" s="97">
        <f t="shared" si="20"/>
        <v>-714569</v>
      </c>
      <c r="F147" s="98">
        <f t="shared" si="21"/>
        <v>-0.1680020896548449</v>
      </c>
    </row>
    <row r="148" spans="1:6" ht="18" customHeight="1">
      <c r="A148" s="99">
        <v>7</v>
      </c>
      <c r="B148" s="100" t="s">
        <v>275</v>
      </c>
      <c r="C148" s="97">
        <v>33297502</v>
      </c>
      <c r="D148" s="97">
        <v>36624069</v>
      </c>
      <c r="E148" s="97">
        <f t="shared" si="20"/>
        <v>3326567</v>
      </c>
      <c r="F148" s="98">
        <f t="shared" si="21"/>
        <v>0.09990440123706577</v>
      </c>
    </row>
    <row r="149" spans="1:6" ht="18" customHeight="1">
      <c r="A149" s="99">
        <v>8</v>
      </c>
      <c r="B149" s="100" t="s">
        <v>276</v>
      </c>
      <c r="C149" s="97">
        <v>0</v>
      </c>
      <c r="D149" s="97">
        <v>0</v>
      </c>
      <c r="E149" s="97">
        <f t="shared" si="20"/>
        <v>0</v>
      </c>
      <c r="F149" s="98">
        <f t="shared" si="21"/>
        <v>0</v>
      </c>
    </row>
    <row r="150" spans="1:6" ht="18" customHeight="1">
      <c r="A150" s="99">
        <v>9</v>
      </c>
      <c r="B150" s="100" t="s">
        <v>277</v>
      </c>
      <c r="C150" s="97">
        <v>22123530</v>
      </c>
      <c r="D150" s="97">
        <v>16995384</v>
      </c>
      <c r="E150" s="97">
        <f t="shared" si="20"/>
        <v>-5128146</v>
      </c>
      <c r="F150" s="98">
        <f t="shared" si="21"/>
        <v>-0.23179601085360246</v>
      </c>
    </row>
    <row r="151" spans="1:6" ht="18" customHeight="1">
      <c r="A151" s="99">
        <v>10</v>
      </c>
      <c r="B151" s="100" t="s">
        <v>278</v>
      </c>
      <c r="C151" s="97">
        <v>9916552</v>
      </c>
      <c r="D151" s="97">
        <v>12762621</v>
      </c>
      <c r="E151" s="97">
        <f t="shared" si="20"/>
        <v>2846069</v>
      </c>
      <c r="F151" s="98">
        <f t="shared" si="21"/>
        <v>0.28700187323174425</v>
      </c>
    </row>
    <row r="152" spans="1:6" ht="18" customHeight="1">
      <c r="A152" s="99">
        <v>11</v>
      </c>
      <c r="B152" s="100" t="s">
        <v>279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>
      <c r="A153" s="101"/>
      <c r="B153" s="102" t="s">
        <v>304</v>
      </c>
      <c r="C153" s="103">
        <f>SUM(C142:C152)</f>
        <v>117958077</v>
      </c>
      <c r="D153" s="103">
        <f>SUM(D142:D152)</f>
        <v>124668843</v>
      </c>
      <c r="E153" s="103">
        <f t="shared" si="20"/>
        <v>6710766</v>
      </c>
      <c r="F153" s="104">
        <f t="shared" si="21"/>
        <v>0.05689111055955923</v>
      </c>
    </row>
    <row r="154" spans="1:6" ht="18" customHeight="1">
      <c r="A154" s="94" t="s">
        <v>281</v>
      </c>
      <c r="B154" s="95" t="s">
        <v>305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269</v>
      </c>
      <c r="C155" s="97">
        <v>5206153</v>
      </c>
      <c r="D155" s="97">
        <v>5195674</v>
      </c>
      <c r="E155" s="97">
        <f aca="true" t="shared" si="22" ref="E155:E166">D155-C155</f>
        <v>-10479</v>
      </c>
      <c r="F155" s="98">
        <f aca="true" t="shared" si="23" ref="F155:F166">IF(C155=0,0,E155/C155)</f>
        <v>-0.0020128106108291475</v>
      </c>
    </row>
    <row r="156" spans="1:6" ht="18" customHeight="1">
      <c r="A156" s="99">
        <v>2</v>
      </c>
      <c r="B156" s="100" t="s">
        <v>270</v>
      </c>
      <c r="C156" s="97">
        <v>811881</v>
      </c>
      <c r="D156" s="97">
        <v>1020043</v>
      </c>
      <c r="E156" s="97">
        <f t="shared" si="22"/>
        <v>208162</v>
      </c>
      <c r="F156" s="98">
        <f t="shared" si="23"/>
        <v>0.2563947179451176</v>
      </c>
    </row>
    <row r="157" spans="1:6" ht="18" customHeight="1">
      <c r="A157" s="99">
        <v>3</v>
      </c>
      <c r="B157" s="100" t="s">
        <v>271</v>
      </c>
      <c r="C157" s="97">
        <v>2237487</v>
      </c>
      <c r="D157" s="97">
        <v>2816514</v>
      </c>
      <c r="E157" s="97">
        <f t="shared" si="22"/>
        <v>579027</v>
      </c>
      <c r="F157" s="98">
        <f t="shared" si="23"/>
        <v>0.25878452031229676</v>
      </c>
    </row>
    <row r="158" spans="1:6" ht="18" customHeight="1">
      <c r="A158" s="99">
        <v>4</v>
      </c>
      <c r="B158" s="100" t="s">
        <v>272</v>
      </c>
      <c r="C158" s="97">
        <v>3248714</v>
      </c>
      <c r="D158" s="97">
        <v>3839769</v>
      </c>
      <c r="E158" s="97">
        <f t="shared" si="22"/>
        <v>591055</v>
      </c>
      <c r="F158" s="98">
        <f t="shared" si="23"/>
        <v>0.1819350672296792</v>
      </c>
    </row>
    <row r="159" spans="1:6" ht="18" customHeight="1">
      <c r="A159" s="99">
        <v>5</v>
      </c>
      <c r="B159" s="100" t="s">
        <v>273</v>
      </c>
      <c r="C159" s="97">
        <v>266115</v>
      </c>
      <c r="D159" s="97">
        <v>189550</v>
      </c>
      <c r="E159" s="97">
        <f t="shared" si="22"/>
        <v>-76565</v>
      </c>
      <c r="F159" s="98">
        <f t="shared" si="23"/>
        <v>-0.28771395825113205</v>
      </c>
    </row>
    <row r="160" spans="1:6" ht="18" customHeight="1">
      <c r="A160" s="99">
        <v>6</v>
      </c>
      <c r="B160" s="100" t="s">
        <v>274</v>
      </c>
      <c r="C160" s="97">
        <v>4253334</v>
      </c>
      <c r="D160" s="97">
        <v>3538765</v>
      </c>
      <c r="E160" s="97">
        <f t="shared" si="22"/>
        <v>-714569</v>
      </c>
      <c r="F160" s="98">
        <f t="shared" si="23"/>
        <v>-0.1680020896548449</v>
      </c>
    </row>
    <row r="161" spans="1:6" ht="18" customHeight="1">
      <c r="A161" s="99">
        <v>7</v>
      </c>
      <c r="B161" s="100" t="s">
        <v>275</v>
      </c>
      <c r="C161" s="97">
        <v>13857336</v>
      </c>
      <c r="D161" s="97">
        <v>15747393</v>
      </c>
      <c r="E161" s="97">
        <f t="shared" si="22"/>
        <v>1890057</v>
      </c>
      <c r="F161" s="98">
        <f t="shared" si="23"/>
        <v>0.13639396490061292</v>
      </c>
    </row>
    <row r="162" spans="1:6" ht="18" customHeight="1">
      <c r="A162" s="99">
        <v>8</v>
      </c>
      <c r="B162" s="100" t="s">
        <v>276</v>
      </c>
      <c r="C162" s="97">
        <v>0</v>
      </c>
      <c r="D162" s="97">
        <v>0</v>
      </c>
      <c r="E162" s="97">
        <f t="shared" si="22"/>
        <v>0</v>
      </c>
      <c r="F162" s="98">
        <f t="shared" si="23"/>
        <v>0</v>
      </c>
    </row>
    <row r="163" spans="1:6" ht="18" customHeight="1">
      <c r="A163" s="99">
        <v>9</v>
      </c>
      <c r="B163" s="100" t="s">
        <v>277</v>
      </c>
      <c r="C163" s="97">
        <v>22123530</v>
      </c>
      <c r="D163" s="97">
        <v>15682984</v>
      </c>
      <c r="E163" s="97">
        <f t="shared" si="22"/>
        <v>-6440546</v>
      </c>
      <c r="F163" s="98">
        <f t="shared" si="23"/>
        <v>-0.2911174663356164</v>
      </c>
    </row>
    <row r="164" spans="1:6" ht="18" customHeight="1">
      <c r="A164" s="99">
        <v>10</v>
      </c>
      <c r="B164" s="100" t="s">
        <v>278</v>
      </c>
      <c r="C164" s="97">
        <v>1858362</v>
      </c>
      <c r="D164" s="97">
        <v>2415617</v>
      </c>
      <c r="E164" s="97">
        <f t="shared" si="22"/>
        <v>557255</v>
      </c>
      <c r="F164" s="98">
        <f t="shared" si="23"/>
        <v>0.29986353573738594</v>
      </c>
    </row>
    <row r="165" spans="1:6" ht="18" customHeight="1">
      <c r="A165" s="99">
        <v>11</v>
      </c>
      <c r="B165" s="100" t="s">
        <v>279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>
      <c r="A166" s="101"/>
      <c r="B166" s="102" t="s">
        <v>306</v>
      </c>
      <c r="C166" s="103">
        <f>SUM(C155:C165)</f>
        <v>53862912</v>
      </c>
      <c r="D166" s="103">
        <f>SUM(D155:D165)</f>
        <v>50446309</v>
      </c>
      <c r="E166" s="103">
        <f t="shared" si="22"/>
        <v>-3416603</v>
      </c>
      <c r="F166" s="104">
        <f t="shared" si="23"/>
        <v>-0.06343145725206985</v>
      </c>
    </row>
    <row r="167" spans="1:6" ht="18" customHeight="1">
      <c r="A167" s="94" t="s">
        <v>298</v>
      </c>
      <c r="B167" s="95" t="s">
        <v>307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269</v>
      </c>
      <c r="C168" s="117">
        <v>9419</v>
      </c>
      <c r="D168" s="117">
        <v>9999</v>
      </c>
      <c r="E168" s="117">
        <f aca="true" t="shared" si="24" ref="E168:E179">D168-C168</f>
        <v>580</v>
      </c>
      <c r="F168" s="98">
        <f aca="true" t="shared" si="25" ref="F168:F179">IF(C168=0,0,E168/C168)</f>
        <v>0.061577662172205117</v>
      </c>
    </row>
    <row r="169" spans="1:6" ht="18" customHeight="1">
      <c r="A169" s="99">
        <v>2</v>
      </c>
      <c r="B169" s="100" t="s">
        <v>270</v>
      </c>
      <c r="C169" s="117">
        <v>1296</v>
      </c>
      <c r="D169" s="117">
        <v>1813</v>
      </c>
      <c r="E169" s="117">
        <f t="shared" si="24"/>
        <v>517</v>
      </c>
      <c r="F169" s="98">
        <f t="shared" si="25"/>
        <v>0.39891975308641975</v>
      </c>
    </row>
    <row r="170" spans="1:6" ht="18" customHeight="1">
      <c r="A170" s="99">
        <v>3</v>
      </c>
      <c r="B170" s="100" t="s">
        <v>271</v>
      </c>
      <c r="C170" s="117">
        <v>6241</v>
      </c>
      <c r="D170" s="117">
        <v>8186</v>
      </c>
      <c r="E170" s="117">
        <f t="shared" si="24"/>
        <v>1945</v>
      </c>
      <c r="F170" s="98">
        <f t="shared" si="25"/>
        <v>0.31164877423489823</v>
      </c>
    </row>
    <row r="171" spans="1:6" ht="18" customHeight="1">
      <c r="A171" s="99">
        <v>4</v>
      </c>
      <c r="B171" s="100" t="s">
        <v>272</v>
      </c>
      <c r="C171" s="117">
        <v>9742</v>
      </c>
      <c r="D171" s="117">
        <v>12421</v>
      </c>
      <c r="E171" s="117">
        <f t="shared" si="24"/>
        <v>2679</v>
      </c>
      <c r="F171" s="98">
        <f t="shared" si="25"/>
        <v>0.2749948675836584</v>
      </c>
    </row>
    <row r="172" spans="1:6" ht="18" customHeight="1">
      <c r="A172" s="99">
        <v>5</v>
      </c>
      <c r="B172" s="100" t="s">
        <v>273</v>
      </c>
      <c r="C172" s="117">
        <v>497</v>
      </c>
      <c r="D172" s="117">
        <v>274</v>
      </c>
      <c r="E172" s="117">
        <f t="shared" si="24"/>
        <v>-223</v>
      </c>
      <c r="F172" s="98">
        <f t="shared" si="25"/>
        <v>-0.448692152917505</v>
      </c>
    </row>
    <row r="173" spans="1:6" ht="18" customHeight="1">
      <c r="A173" s="99">
        <v>6</v>
      </c>
      <c r="B173" s="100" t="s">
        <v>274</v>
      </c>
      <c r="C173" s="117">
        <v>2552</v>
      </c>
      <c r="D173" s="117">
        <v>1779</v>
      </c>
      <c r="E173" s="117">
        <f t="shared" si="24"/>
        <v>-773</v>
      </c>
      <c r="F173" s="98">
        <f t="shared" si="25"/>
        <v>-0.3028996865203762</v>
      </c>
    </row>
    <row r="174" spans="1:6" ht="18" customHeight="1">
      <c r="A174" s="99">
        <v>7</v>
      </c>
      <c r="B174" s="100" t="s">
        <v>275</v>
      </c>
      <c r="C174" s="117">
        <v>15476</v>
      </c>
      <c r="D174" s="117">
        <v>18060</v>
      </c>
      <c r="E174" s="117">
        <f t="shared" si="24"/>
        <v>2584</v>
      </c>
      <c r="F174" s="98">
        <f t="shared" si="25"/>
        <v>0.1669682088394934</v>
      </c>
    </row>
    <row r="175" spans="1:6" ht="18" customHeight="1">
      <c r="A175" s="99">
        <v>8</v>
      </c>
      <c r="B175" s="100" t="s">
        <v>276</v>
      </c>
      <c r="C175" s="117">
        <v>0</v>
      </c>
      <c r="D175" s="117">
        <v>0</v>
      </c>
      <c r="E175" s="117">
        <f t="shared" si="24"/>
        <v>0</v>
      </c>
      <c r="F175" s="98">
        <f t="shared" si="25"/>
        <v>0</v>
      </c>
    </row>
    <row r="176" spans="1:6" ht="18" customHeight="1">
      <c r="A176" s="99">
        <v>9</v>
      </c>
      <c r="B176" s="100" t="s">
        <v>277</v>
      </c>
      <c r="C176" s="117">
        <v>13789</v>
      </c>
      <c r="D176" s="117">
        <v>11519</v>
      </c>
      <c r="E176" s="117">
        <f t="shared" si="24"/>
        <v>-2270</v>
      </c>
      <c r="F176" s="98">
        <f t="shared" si="25"/>
        <v>-0.16462397563275075</v>
      </c>
    </row>
    <row r="177" spans="1:6" ht="18" customHeight="1">
      <c r="A177" s="99">
        <v>10</v>
      </c>
      <c r="B177" s="100" t="s">
        <v>278</v>
      </c>
      <c r="C177" s="117">
        <v>7443</v>
      </c>
      <c r="D177" s="117">
        <v>9664</v>
      </c>
      <c r="E177" s="117">
        <f t="shared" si="24"/>
        <v>2221</v>
      </c>
      <c r="F177" s="98">
        <f t="shared" si="25"/>
        <v>0.2984011823189574</v>
      </c>
    </row>
    <row r="178" spans="1:6" ht="18" customHeight="1">
      <c r="A178" s="99">
        <v>11</v>
      </c>
      <c r="B178" s="100" t="s">
        <v>279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>
      <c r="A179" s="101"/>
      <c r="B179" s="102" t="s">
        <v>102</v>
      </c>
      <c r="C179" s="118">
        <f>SUM(C168:C178)</f>
        <v>66455</v>
      </c>
      <c r="D179" s="118">
        <f>SUM(D168:D178)</f>
        <v>73715</v>
      </c>
      <c r="E179" s="118">
        <f t="shared" si="24"/>
        <v>7260</v>
      </c>
      <c r="F179" s="104">
        <f t="shared" si="25"/>
        <v>0.10924685877661576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3" fitToWidth="1" horizontalDpi="1200" verticalDpi="1200" orientation="portrait" paperSize="9" scale="63" r:id="rId1"/>
  <headerFooter alignWithMargins="0">
    <oddHeader>&amp;LOFFICE OF HEALTH CARE ACCESS&amp;CTWELVE MONTHS ACTUAL FILING&amp;RHARTFORD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157</v>
      </c>
      <c r="E2" s="123"/>
      <c r="F2" s="123"/>
      <c r="G2" s="124"/>
    </row>
    <row r="3" spans="1:7" ht="15.75" customHeight="1">
      <c r="A3" s="121"/>
      <c r="C3" s="123" t="s">
        <v>158</v>
      </c>
      <c r="E3" s="123"/>
      <c r="F3" s="123"/>
      <c r="G3" s="124"/>
    </row>
    <row r="4" spans="1:7" ht="15.75" customHeight="1">
      <c r="A4" s="121"/>
      <c r="C4" s="123" t="s">
        <v>159</v>
      </c>
      <c r="E4" s="123"/>
      <c r="F4" s="123"/>
      <c r="G4" s="124"/>
    </row>
    <row r="5" spans="1:7" ht="15.75" customHeight="1">
      <c r="A5" s="121"/>
      <c r="C5" s="123" t="s">
        <v>308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161</v>
      </c>
      <c r="D9" s="127" t="s">
        <v>162</v>
      </c>
      <c r="E9" s="129" t="s">
        <v>163</v>
      </c>
      <c r="F9" s="130" t="s">
        <v>309</v>
      </c>
      <c r="G9" s="124"/>
    </row>
    <row r="10" spans="1:7" ht="15.75" customHeight="1">
      <c r="A10" s="131" t="s">
        <v>310</v>
      </c>
      <c r="B10" s="132" t="s">
        <v>166</v>
      </c>
      <c r="C10" s="133" t="s">
        <v>167</v>
      </c>
      <c r="D10" s="133" t="s">
        <v>167</v>
      </c>
      <c r="E10" s="134" t="s">
        <v>168</v>
      </c>
      <c r="F10" s="133" t="s">
        <v>168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169</v>
      </c>
      <c r="B12" s="139" t="s">
        <v>311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267</v>
      </c>
      <c r="B14" s="145" t="s">
        <v>312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313</v>
      </c>
      <c r="C15" s="146">
        <v>129019458</v>
      </c>
      <c r="D15" s="146">
        <v>121405571</v>
      </c>
      <c r="E15" s="146">
        <f>+D15-C15</f>
        <v>-7613887</v>
      </c>
      <c r="F15" s="150">
        <f>IF(C15=0,0,E15/C15)</f>
        <v>-0.059013478416565665</v>
      </c>
    </row>
    <row r="16" spans="1:6" ht="15" customHeight="1">
      <c r="A16" s="141">
        <v>2</v>
      </c>
      <c r="B16" s="149" t="s">
        <v>314</v>
      </c>
      <c r="C16" s="146">
        <v>34042782</v>
      </c>
      <c r="D16" s="146">
        <v>36421774</v>
      </c>
      <c r="E16" s="146">
        <f>+D16-C16</f>
        <v>2378992</v>
      </c>
      <c r="F16" s="150">
        <f>IF(C16=0,0,E16/C16)</f>
        <v>0.06988242030278254</v>
      </c>
    </row>
    <row r="17" spans="1:6" ht="15" customHeight="1">
      <c r="A17" s="141">
        <v>3</v>
      </c>
      <c r="B17" s="149" t="s">
        <v>315</v>
      </c>
      <c r="C17" s="146">
        <v>184912209</v>
      </c>
      <c r="D17" s="146">
        <v>207582325</v>
      </c>
      <c r="E17" s="146">
        <f>+D17-C17</f>
        <v>22670116</v>
      </c>
      <c r="F17" s="150">
        <f>IF(C17=0,0,E17/C17)</f>
        <v>0.1225993465904677</v>
      </c>
    </row>
    <row r="18" spans="1:7" ht="15.75" customHeight="1">
      <c r="A18" s="141"/>
      <c r="B18" s="151" t="s">
        <v>316</v>
      </c>
      <c r="C18" s="147">
        <f>SUM(C15:C17)</f>
        <v>347974449</v>
      </c>
      <c r="D18" s="147">
        <f>SUM(D15:D17)</f>
        <v>365409670</v>
      </c>
      <c r="E18" s="147">
        <f>+D18-C18</f>
        <v>17435221</v>
      </c>
      <c r="F18" s="148">
        <f>IF(C18=0,0,E18/C18)</f>
        <v>0.0501048885919782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281</v>
      </c>
      <c r="B20" s="145" t="s">
        <v>317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318</v>
      </c>
      <c r="C21" s="146">
        <v>24857654</v>
      </c>
      <c r="D21" s="146">
        <v>26442571</v>
      </c>
      <c r="E21" s="146">
        <f>+D21-C21</f>
        <v>1584917</v>
      </c>
      <c r="F21" s="150">
        <f>IF(C21=0,0,E21/C21)</f>
        <v>0.06375971763063401</v>
      </c>
    </row>
    <row r="22" spans="1:6" ht="15" customHeight="1">
      <c r="A22" s="141">
        <v>2</v>
      </c>
      <c r="B22" s="149" t="s">
        <v>319</v>
      </c>
      <c r="C22" s="146">
        <v>6558884</v>
      </c>
      <c r="D22" s="146">
        <v>7932794</v>
      </c>
      <c r="E22" s="146">
        <f>+D22-C22</f>
        <v>1373910</v>
      </c>
      <c r="F22" s="150">
        <f>IF(C22=0,0,E22/C22)</f>
        <v>0.20947313597862074</v>
      </c>
    </row>
    <row r="23" spans="1:6" ht="15" customHeight="1">
      <c r="A23" s="141">
        <v>3</v>
      </c>
      <c r="B23" s="149" t="s">
        <v>320</v>
      </c>
      <c r="C23" s="146">
        <v>35626283</v>
      </c>
      <c r="D23" s="146">
        <v>42759391</v>
      </c>
      <c r="E23" s="146">
        <f>+D23-C23</f>
        <v>7133108</v>
      </c>
      <c r="F23" s="150">
        <f>IF(C23=0,0,E23/C23)</f>
        <v>0.20022038223858493</v>
      </c>
    </row>
    <row r="24" spans="1:7" ht="15.75" customHeight="1">
      <c r="A24" s="141"/>
      <c r="B24" s="151" t="s">
        <v>321</v>
      </c>
      <c r="C24" s="147">
        <f>SUM(C21:C23)</f>
        <v>67042821</v>
      </c>
      <c r="D24" s="147">
        <f>SUM(D21:D23)</f>
        <v>77134756</v>
      </c>
      <c r="E24" s="147">
        <f>+D24-C24</f>
        <v>10091935</v>
      </c>
      <c r="F24" s="148">
        <f>IF(C24=0,0,E24/C24)</f>
        <v>0.1505296890773734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298</v>
      </c>
      <c r="B26" s="145" t="s">
        <v>322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323</v>
      </c>
      <c r="C27" s="146">
        <v>950698</v>
      </c>
      <c r="D27" s="146">
        <v>387389</v>
      </c>
      <c r="E27" s="146">
        <f>+D27-C27</f>
        <v>-563309</v>
      </c>
      <c r="F27" s="150">
        <f>IF(C27=0,0,E27/C27)</f>
        <v>-0.5925214947333433</v>
      </c>
    </row>
    <row r="28" spans="1:6" ht="15" customHeight="1">
      <c r="A28" s="141">
        <v>2</v>
      </c>
      <c r="B28" s="149" t="s">
        <v>324</v>
      </c>
      <c r="C28" s="146">
        <v>29323777</v>
      </c>
      <c r="D28" s="146">
        <v>32848360</v>
      </c>
      <c r="E28" s="146">
        <f>+D28-C28</f>
        <v>3524583</v>
      </c>
      <c r="F28" s="150">
        <f>IF(C28=0,0,E28/C28)</f>
        <v>0.12019539638430615</v>
      </c>
    </row>
    <row r="29" spans="1:6" ht="15" customHeight="1">
      <c r="A29" s="141">
        <v>3</v>
      </c>
      <c r="B29" s="149" t="s">
        <v>325</v>
      </c>
      <c r="C29" s="146">
        <v>21490585</v>
      </c>
      <c r="D29" s="146">
        <v>23335390</v>
      </c>
      <c r="E29" s="146">
        <f>+D29-C29</f>
        <v>1844805</v>
      </c>
      <c r="F29" s="150">
        <f>IF(C29=0,0,E29/C29)</f>
        <v>0.08584247473951966</v>
      </c>
    </row>
    <row r="30" spans="1:7" ht="15.75" customHeight="1">
      <c r="A30" s="141"/>
      <c r="B30" s="151" t="s">
        <v>326</v>
      </c>
      <c r="C30" s="147">
        <f>SUM(C27:C29)</f>
        <v>51765060</v>
      </c>
      <c r="D30" s="147">
        <f>SUM(D27:D29)</f>
        <v>56571139</v>
      </c>
      <c r="E30" s="147">
        <f>+D30-C30</f>
        <v>4806079</v>
      </c>
      <c r="F30" s="148">
        <f>IF(C30=0,0,E30/C30)</f>
        <v>0.09284407281668369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327</v>
      </c>
      <c r="B32" s="145" t="s">
        <v>328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329</v>
      </c>
      <c r="C33" s="146">
        <v>79021856</v>
      </c>
      <c r="D33" s="146">
        <v>88271164</v>
      </c>
      <c r="E33" s="146">
        <f>+D33-C33</f>
        <v>9249308</v>
      </c>
      <c r="F33" s="150">
        <f>IF(C33=0,0,E33/C33)</f>
        <v>0.11704746595676012</v>
      </c>
    </row>
    <row r="34" spans="1:6" ht="15" customHeight="1">
      <c r="A34" s="141">
        <v>2</v>
      </c>
      <c r="B34" s="149" t="s">
        <v>330</v>
      </c>
      <c r="C34" s="146">
        <v>24320063</v>
      </c>
      <c r="D34" s="146">
        <v>25963761</v>
      </c>
      <c r="E34" s="146">
        <f>+D34-C34</f>
        <v>1643698</v>
      </c>
      <c r="F34" s="150">
        <f>IF(C34=0,0,E34/C34)</f>
        <v>0.0675860913682666</v>
      </c>
    </row>
    <row r="35" spans="1:7" ht="15.75" customHeight="1">
      <c r="A35" s="141"/>
      <c r="B35" s="151" t="s">
        <v>331</v>
      </c>
      <c r="C35" s="147">
        <f>SUM(C33:C34)</f>
        <v>103341919</v>
      </c>
      <c r="D35" s="147">
        <f>SUM(D33:D34)</f>
        <v>114234925</v>
      </c>
      <c r="E35" s="147">
        <f>+D35-C35</f>
        <v>10893006</v>
      </c>
      <c r="F35" s="148">
        <f>IF(C35=0,0,E35/C35)</f>
        <v>0.10540742909951188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332</v>
      </c>
      <c r="B37" s="145" t="s">
        <v>333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334</v>
      </c>
      <c r="C38" s="146">
        <v>18132691</v>
      </c>
      <c r="D38" s="146">
        <v>18063736</v>
      </c>
      <c r="E38" s="146">
        <f>+D38-C38</f>
        <v>-68955</v>
      </c>
      <c r="F38" s="150">
        <f>IF(C38=0,0,E38/C38)</f>
        <v>-0.0038028001469831477</v>
      </c>
    </row>
    <row r="39" spans="1:6" ht="15" customHeight="1">
      <c r="A39" s="141">
        <v>2</v>
      </c>
      <c r="B39" s="149" t="s">
        <v>335</v>
      </c>
      <c r="C39" s="146">
        <v>20855245</v>
      </c>
      <c r="D39" s="146">
        <v>22364637</v>
      </c>
      <c r="E39" s="146">
        <f>+D39-C39</f>
        <v>1509392</v>
      </c>
      <c r="F39" s="150">
        <f>IF(C39=0,0,E39/C39)</f>
        <v>0.07237469519058636</v>
      </c>
    </row>
    <row r="40" spans="1:6" ht="15" customHeight="1">
      <c r="A40" s="141">
        <v>3</v>
      </c>
      <c r="B40" s="149" t="s">
        <v>336</v>
      </c>
      <c r="C40" s="146">
        <v>317273</v>
      </c>
      <c r="D40" s="146">
        <v>258415</v>
      </c>
      <c r="E40" s="146">
        <f>+D40-C40</f>
        <v>-58858</v>
      </c>
      <c r="F40" s="150">
        <f>IF(C40=0,0,E40/C40)</f>
        <v>-0.18551216145086408</v>
      </c>
    </row>
    <row r="41" spans="1:7" ht="15.75" customHeight="1">
      <c r="A41" s="141"/>
      <c r="B41" s="151" t="s">
        <v>337</v>
      </c>
      <c r="C41" s="147">
        <f>SUM(C38:C40)</f>
        <v>39305209</v>
      </c>
      <c r="D41" s="147">
        <f>SUM(D38:D40)</f>
        <v>40686788</v>
      </c>
      <c r="E41" s="147">
        <f>+D41-C41</f>
        <v>1381579</v>
      </c>
      <c r="F41" s="148">
        <f>IF(C41=0,0,E41/C41)</f>
        <v>0.0351500229905914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338</v>
      </c>
      <c r="B43" s="145" t="s">
        <v>339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242</v>
      </c>
      <c r="C44" s="146">
        <v>30682007</v>
      </c>
      <c r="D44" s="146">
        <v>23850530</v>
      </c>
      <c r="E44" s="146">
        <f>+D44-C44</f>
        <v>-6831477</v>
      </c>
      <c r="F44" s="150">
        <f>IF(C44=0,0,E44/C44)</f>
        <v>-0.22265417643637198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340</v>
      </c>
      <c r="B46" s="145" t="s">
        <v>341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342</v>
      </c>
      <c r="C47" s="146">
        <v>1552169</v>
      </c>
      <c r="D47" s="146">
        <v>607197</v>
      </c>
      <c r="E47" s="146">
        <f>+D47-C47</f>
        <v>-944972</v>
      </c>
      <c r="F47" s="150">
        <f>IF(C47=0,0,E47/C47)</f>
        <v>-0.6088074172335616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343</v>
      </c>
      <c r="B49" s="145" t="s">
        <v>344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345</v>
      </c>
      <c r="C50" s="146">
        <v>13027602</v>
      </c>
      <c r="D50" s="146">
        <v>13503692</v>
      </c>
      <c r="E50" s="146">
        <f>+D50-C50</f>
        <v>476090</v>
      </c>
      <c r="F50" s="150">
        <f>IF(C50=0,0,E50/C50)</f>
        <v>0.0365447148293293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346</v>
      </c>
      <c r="B52" s="145" t="s">
        <v>347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348</v>
      </c>
      <c r="C53" s="146">
        <v>501566</v>
      </c>
      <c r="D53" s="146">
        <v>544535</v>
      </c>
      <c r="E53" s="146">
        <f aca="true" t="shared" si="0" ref="E53:E59">+D53-C53</f>
        <v>42969</v>
      </c>
      <c r="F53" s="150">
        <f aca="true" t="shared" si="1" ref="F53:F59">IF(C53=0,0,E53/C53)</f>
        <v>0.08566968255424012</v>
      </c>
    </row>
    <row r="54" spans="1:6" ht="15" customHeight="1">
      <c r="A54" s="141">
        <v>2</v>
      </c>
      <c r="B54" s="149" t="s">
        <v>349</v>
      </c>
      <c r="C54" s="146">
        <v>6540988</v>
      </c>
      <c r="D54" s="146">
        <v>5724195</v>
      </c>
      <c r="E54" s="146">
        <f t="shared" si="0"/>
        <v>-816793</v>
      </c>
      <c r="F54" s="150">
        <f t="shared" si="1"/>
        <v>-0.12487303141360297</v>
      </c>
    </row>
    <row r="55" spans="1:6" ht="15" customHeight="1">
      <c r="A55" s="141">
        <v>3</v>
      </c>
      <c r="B55" s="149" t="s">
        <v>350</v>
      </c>
      <c r="C55" s="146">
        <v>143917</v>
      </c>
      <c r="D55" s="146">
        <v>86451</v>
      </c>
      <c r="E55" s="146">
        <f t="shared" si="0"/>
        <v>-57466</v>
      </c>
      <c r="F55" s="150">
        <f t="shared" si="1"/>
        <v>-0.39929959629508677</v>
      </c>
    </row>
    <row r="56" spans="1:6" ht="15" customHeight="1">
      <c r="A56" s="141">
        <v>4</v>
      </c>
      <c r="B56" s="149" t="s">
        <v>351</v>
      </c>
      <c r="C56" s="146">
        <v>10634047</v>
      </c>
      <c r="D56" s="146">
        <v>10594020</v>
      </c>
      <c r="E56" s="146">
        <f t="shared" si="0"/>
        <v>-40027</v>
      </c>
      <c r="F56" s="150">
        <f t="shared" si="1"/>
        <v>-0.003764042043447805</v>
      </c>
    </row>
    <row r="57" spans="1:6" ht="15" customHeight="1">
      <c r="A57" s="141">
        <v>5</v>
      </c>
      <c r="B57" s="149" t="s">
        <v>352</v>
      </c>
      <c r="C57" s="146">
        <v>2337440</v>
      </c>
      <c r="D57" s="146">
        <v>2411589</v>
      </c>
      <c r="E57" s="146">
        <f t="shared" si="0"/>
        <v>74149</v>
      </c>
      <c r="F57" s="150">
        <f t="shared" si="1"/>
        <v>0.031722311588746666</v>
      </c>
    </row>
    <row r="58" spans="1:6" ht="15" customHeight="1">
      <c r="A58" s="141">
        <v>6</v>
      </c>
      <c r="B58" s="149" t="s">
        <v>353</v>
      </c>
      <c r="C58" s="146">
        <v>969320</v>
      </c>
      <c r="D58" s="146">
        <v>1069761</v>
      </c>
      <c r="E58" s="146">
        <f t="shared" si="0"/>
        <v>100441</v>
      </c>
      <c r="F58" s="150">
        <f t="shared" si="1"/>
        <v>0.10362006354970495</v>
      </c>
    </row>
    <row r="59" spans="1:7" ht="15.75" customHeight="1">
      <c r="A59" s="141"/>
      <c r="B59" s="151" t="s">
        <v>354</v>
      </c>
      <c r="C59" s="147">
        <f>SUM(C53:C58)</f>
        <v>21127278</v>
      </c>
      <c r="D59" s="147">
        <f>SUM(D53:D58)</f>
        <v>20430551</v>
      </c>
      <c r="E59" s="147">
        <f t="shared" si="0"/>
        <v>-696727</v>
      </c>
      <c r="F59" s="148">
        <f t="shared" si="1"/>
        <v>-0.03297760364586484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355</v>
      </c>
      <c r="B61" s="145" t="s">
        <v>356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357</v>
      </c>
      <c r="C62" s="146">
        <v>381596</v>
      </c>
      <c r="D62" s="146">
        <v>443549</v>
      </c>
      <c r="E62" s="146">
        <f aca="true" t="shared" si="2" ref="E62:E78">+D62-C62</f>
        <v>61953</v>
      </c>
      <c r="F62" s="150">
        <f aca="true" t="shared" si="3" ref="F62:F78">IF(C62=0,0,E62/C62)</f>
        <v>0.16235233073721947</v>
      </c>
    </row>
    <row r="63" spans="1:6" ht="15" customHeight="1">
      <c r="A63" s="141">
        <v>2</v>
      </c>
      <c r="B63" s="149" t="s">
        <v>358</v>
      </c>
      <c r="C63" s="146">
        <v>1135639</v>
      </c>
      <c r="D63" s="146">
        <v>1129534</v>
      </c>
      <c r="E63" s="146">
        <f t="shared" si="2"/>
        <v>-6105</v>
      </c>
      <c r="F63" s="150">
        <f t="shared" si="3"/>
        <v>-0.005375828058036048</v>
      </c>
    </row>
    <row r="64" spans="1:6" ht="15" customHeight="1">
      <c r="A64" s="141">
        <v>3</v>
      </c>
      <c r="B64" s="149" t="s">
        <v>359</v>
      </c>
      <c r="C64" s="146">
        <v>7840474</v>
      </c>
      <c r="D64" s="146">
        <v>7465609</v>
      </c>
      <c r="E64" s="146">
        <f t="shared" si="2"/>
        <v>-374865</v>
      </c>
      <c r="F64" s="150">
        <f t="shared" si="3"/>
        <v>-0.04781152261967835</v>
      </c>
    </row>
    <row r="65" spans="1:6" ht="15" customHeight="1">
      <c r="A65" s="141">
        <v>4</v>
      </c>
      <c r="B65" s="149" t="s">
        <v>360</v>
      </c>
      <c r="C65" s="146">
        <v>6497444</v>
      </c>
      <c r="D65" s="146">
        <v>10841346</v>
      </c>
      <c r="E65" s="146">
        <f t="shared" si="2"/>
        <v>4343902</v>
      </c>
      <c r="F65" s="150">
        <f t="shared" si="3"/>
        <v>0.6685555119828659</v>
      </c>
    </row>
    <row r="66" spans="1:6" ht="15" customHeight="1">
      <c r="A66" s="141">
        <v>5</v>
      </c>
      <c r="B66" s="149" t="s">
        <v>361</v>
      </c>
      <c r="C66" s="146">
        <v>15045018</v>
      </c>
      <c r="D66" s="146">
        <v>14973281</v>
      </c>
      <c r="E66" s="146">
        <f t="shared" si="2"/>
        <v>-71737</v>
      </c>
      <c r="F66" s="150">
        <f t="shared" si="3"/>
        <v>-0.004768156475452538</v>
      </c>
    </row>
    <row r="67" spans="1:6" ht="15" customHeight="1">
      <c r="A67" s="141">
        <v>6</v>
      </c>
      <c r="B67" s="149" t="s">
        <v>362</v>
      </c>
      <c r="C67" s="146">
        <v>4850432</v>
      </c>
      <c r="D67" s="146">
        <v>5854711</v>
      </c>
      <c r="E67" s="146">
        <f t="shared" si="2"/>
        <v>1004279</v>
      </c>
      <c r="F67" s="150">
        <f t="shared" si="3"/>
        <v>0.20704939271388612</v>
      </c>
    </row>
    <row r="68" spans="1:6" ht="15" customHeight="1">
      <c r="A68" s="141">
        <v>7</v>
      </c>
      <c r="B68" s="149" t="s">
        <v>363</v>
      </c>
      <c r="C68" s="146">
        <v>12879330</v>
      </c>
      <c r="D68" s="146">
        <v>14520485</v>
      </c>
      <c r="E68" s="146">
        <f t="shared" si="2"/>
        <v>1641155</v>
      </c>
      <c r="F68" s="150">
        <f t="shared" si="3"/>
        <v>0.12742549495975333</v>
      </c>
    </row>
    <row r="69" spans="1:6" ht="15" customHeight="1">
      <c r="A69" s="141">
        <v>8</v>
      </c>
      <c r="B69" s="149" t="s">
        <v>364</v>
      </c>
      <c r="C69" s="146">
        <v>2034451</v>
      </c>
      <c r="D69" s="146">
        <v>2095901</v>
      </c>
      <c r="E69" s="146">
        <f t="shared" si="2"/>
        <v>61450</v>
      </c>
      <c r="F69" s="150">
        <f t="shared" si="3"/>
        <v>0.03020470878875923</v>
      </c>
    </row>
    <row r="70" spans="1:6" ht="15" customHeight="1">
      <c r="A70" s="141">
        <v>9</v>
      </c>
      <c r="B70" s="149" t="s">
        <v>365</v>
      </c>
      <c r="C70" s="146">
        <v>1003804</v>
      </c>
      <c r="D70" s="146">
        <v>1231655</v>
      </c>
      <c r="E70" s="146">
        <f t="shared" si="2"/>
        <v>227851</v>
      </c>
      <c r="F70" s="150">
        <f t="shared" si="3"/>
        <v>0.22698753940012192</v>
      </c>
    </row>
    <row r="71" spans="1:6" ht="15" customHeight="1">
      <c r="A71" s="141">
        <v>10</v>
      </c>
      <c r="B71" s="149" t="s">
        <v>366</v>
      </c>
      <c r="C71" s="146">
        <v>325885</v>
      </c>
      <c r="D71" s="146">
        <v>352291</v>
      </c>
      <c r="E71" s="146">
        <f t="shared" si="2"/>
        <v>26406</v>
      </c>
      <c r="F71" s="150">
        <f t="shared" si="3"/>
        <v>0.08102858370283995</v>
      </c>
    </row>
    <row r="72" spans="1:6" ht="15" customHeight="1">
      <c r="A72" s="141">
        <v>11</v>
      </c>
      <c r="B72" s="149" t="s">
        <v>367</v>
      </c>
      <c r="C72" s="146">
        <v>95904</v>
      </c>
      <c r="D72" s="146">
        <v>151871</v>
      </c>
      <c r="E72" s="146">
        <f t="shared" si="2"/>
        <v>55967</v>
      </c>
      <c r="F72" s="150">
        <f t="shared" si="3"/>
        <v>0.5835731564898231</v>
      </c>
    </row>
    <row r="73" spans="1:6" ht="15" customHeight="1">
      <c r="A73" s="141">
        <v>12</v>
      </c>
      <c r="B73" s="149" t="s">
        <v>368</v>
      </c>
      <c r="C73" s="146">
        <v>5649594</v>
      </c>
      <c r="D73" s="146">
        <v>5751997</v>
      </c>
      <c r="E73" s="146">
        <f t="shared" si="2"/>
        <v>102403</v>
      </c>
      <c r="F73" s="150">
        <f t="shared" si="3"/>
        <v>0.01812572726464946</v>
      </c>
    </row>
    <row r="74" spans="1:6" ht="15" customHeight="1">
      <c r="A74" s="141">
        <v>13</v>
      </c>
      <c r="B74" s="149" t="s">
        <v>369</v>
      </c>
      <c r="C74" s="146">
        <v>531595</v>
      </c>
      <c r="D74" s="146">
        <v>592608</v>
      </c>
      <c r="E74" s="146">
        <f t="shared" si="2"/>
        <v>61013</v>
      </c>
      <c r="F74" s="150">
        <f t="shared" si="3"/>
        <v>0.11477346476170769</v>
      </c>
    </row>
    <row r="75" spans="1:6" ht="15" customHeight="1">
      <c r="A75" s="141">
        <v>14</v>
      </c>
      <c r="B75" s="149" t="s">
        <v>370</v>
      </c>
      <c r="C75" s="146">
        <v>753094</v>
      </c>
      <c r="D75" s="146">
        <v>834451</v>
      </c>
      <c r="E75" s="146">
        <f t="shared" si="2"/>
        <v>81357</v>
      </c>
      <c r="F75" s="150">
        <f t="shared" si="3"/>
        <v>0.10803033884216313</v>
      </c>
    </row>
    <row r="76" spans="1:6" ht="15" customHeight="1">
      <c r="A76" s="141">
        <v>15</v>
      </c>
      <c r="B76" s="149" t="s">
        <v>371</v>
      </c>
      <c r="C76" s="146">
        <v>2600945</v>
      </c>
      <c r="D76" s="146">
        <v>2075173</v>
      </c>
      <c r="E76" s="146">
        <f t="shared" si="2"/>
        <v>-525772</v>
      </c>
      <c r="F76" s="150">
        <f t="shared" si="3"/>
        <v>-0.2021465275121158</v>
      </c>
    </row>
    <row r="77" spans="1:6" ht="15" customHeight="1">
      <c r="A77" s="141">
        <v>16</v>
      </c>
      <c r="B77" s="149" t="s">
        <v>372</v>
      </c>
      <c r="C77" s="146">
        <v>14425810</v>
      </c>
      <c r="D77" s="146">
        <v>16048485</v>
      </c>
      <c r="E77" s="146">
        <f t="shared" si="2"/>
        <v>1622675</v>
      </c>
      <c r="F77" s="150">
        <f t="shared" si="3"/>
        <v>0.11248415166981958</v>
      </c>
    </row>
    <row r="78" spans="1:7" ht="15.75" customHeight="1">
      <c r="A78" s="141"/>
      <c r="B78" s="151" t="s">
        <v>373</v>
      </c>
      <c r="C78" s="147">
        <f>SUM(C62:C77)</f>
        <v>76051015</v>
      </c>
      <c r="D78" s="147">
        <f>SUM(D62:D77)</f>
        <v>84362947</v>
      </c>
      <c r="E78" s="147">
        <f t="shared" si="2"/>
        <v>8311932</v>
      </c>
      <c r="F78" s="148">
        <f t="shared" si="3"/>
        <v>0.10929416260913809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374</v>
      </c>
      <c r="B80" s="145" t="s">
        <v>375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376</v>
      </c>
      <c r="C81" s="146">
        <v>27259899</v>
      </c>
      <c r="D81" s="146">
        <v>27385673</v>
      </c>
      <c r="E81" s="146">
        <f>+D81-C81</f>
        <v>125774</v>
      </c>
      <c r="F81" s="150">
        <f>IF(C81=0,0,E81/C81)</f>
        <v>0.004613883565746153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377</v>
      </c>
      <c r="C83" s="147">
        <f>+C81+C78+C59+C50+C47+C44+C41+C35+C30+C24+C18</f>
        <v>779129428</v>
      </c>
      <c r="D83" s="147">
        <f>+D81+D78+D59+D50+D47+D44+D41+D35+D30+D24+D18</f>
        <v>824177868</v>
      </c>
      <c r="E83" s="147">
        <f>+D83-C83</f>
        <v>45048440</v>
      </c>
      <c r="F83" s="148">
        <f>IF(C83=0,0,E83/C83)</f>
        <v>0.05781894301648686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378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201</v>
      </c>
      <c r="B88" s="142" t="s">
        <v>379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267</v>
      </c>
      <c r="B90" s="145" t="s">
        <v>380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381</v>
      </c>
      <c r="C91" s="146">
        <v>150054136</v>
      </c>
      <c r="D91" s="146">
        <v>162701762</v>
      </c>
      <c r="E91" s="146">
        <f aca="true" t="shared" si="4" ref="E91:E109">D91-C91</f>
        <v>12647626</v>
      </c>
      <c r="F91" s="150">
        <f aca="true" t="shared" si="5" ref="F91:F109">IF(C91=0,0,E91/C91)</f>
        <v>0.08428708689509232</v>
      </c>
      <c r="G91" s="155"/>
    </row>
    <row r="92" spans="1:7" ht="15" customHeight="1">
      <c r="A92" s="141">
        <v>2</v>
      </c>
      <c r="B92" s="161" t="s">
        <v>382</v>
      </c>
      <c r="C92" s="146">
        <v>7375687</v>
      </c>
      <c r="D92" s="146">
        <v>9193973</v>
      </c>
      <c r="E92" s="146">
        <f t="shared" si="4"/>
        <v>1818286</v>
      </c>
      <c r="F92" s="150">
        <f t="shared" si="5"/>
        <v>0.2465242898729298</v>
      </c>
      <c r="G92" s="155"/>
    </row>
    <row r="93" spans="1:7" ht="15" customHeight="1">
      <c r="A93" s="141">
        <v>3</v>
      </c>
      <c r="B93" s="161" t="s">
        <v>383</v>
      </c>
      <c r="C93" s="146">
        <v>13158472</v>
      </c>
      <c r="D93" s="146">
        <v>14342249</v>
      </c>
      <c r="E93" s="146">
        <f t="shared" si="4"/>
        <v>1183777</v>
      </c>
      <c r="F93" s="150">
        <f t="shared" si="5"/>
        <v>0.08996310513865136</v>
      </c>
      <c r="G93" s="155"/>
    </row>
    <row r="94" spans="1:7" ht="15" customHeight="1">
      <c r="A94" s="141">
        <v>4</v>
      </c>
      <c r="B94" s="161" t="s">
        <v>384</v>
      </c>
      <c r="C94" s="146">
        <v>201233</v>
      </c>
      <c r="D94" s="146">
        <v>800423</v>
      </c>
      <c r="E94" s="146">
        <f t="shared" si="4"/>
        <v>599190</v>
      </c>
      <c r="F94" s="150">
        <f t="shared" si="5"/>
        <v>2.9775931383023657</v>
      </c>
      <c r="G94" s="155"/>
    </row>
    <row r="95" spans="1:7" ht="15" customHeight="1">
      <c r="A95" s="141">
        <v>5</v>
      </c>
      <c r="B95" s="161" t="s">
        <v>385</v>
      </c>
      <c r="C95" s="146">
        <v>20424985</v>
      </c>
      <c r="D95" s="146">
        <v>21764505</v>
      </c>
      <c r="E95" s="146">
        <f t="shared" si="4"/>
        <v>1339520</v>
      </c>
      <c r="F95" s="150">
        <f t="shared" si="5"/>
        <v>0.0655824227043496</v>
      </c>
      <c r="G95" s="155"/>
    </row>
    <row r="96" spans="1:7" ht="15" customHeight="1">
      <c r="A96" s="141">
        <v>6</v>
      </c>
      <c r="B96" s="161" t="s">
        <v>386</v>
      </c>
      <c r="C96" s="146">
        <v>4814042</v>
      </c>
      <c r="D96" s="146">
        <v>5020945</v>
      </c>
      <c r="E96" s="146">
        <f t="shared" si="4"/>
        <v>206903</v>
      </c>
      <c r="F96" s="150">
        <f t="shared" si="5"/>
        <v>0.04297906000820101</v>
      </c>
      <c r="G96" s="155"/>
    </row>
    <row r="97" spans="1:7" ht="15" customHeight="1">
      <c r="A97" s="141">
        <v>7</v>
      </c>
      <c r="B97" s="161" t="s">
        <v>387</v>
      </c>
      <c r="C97" s="146">
        <v>7688848</v>
      </c>
      <c r="D97" s="146">
        <v>7413535</v>
      </c>
      <c r="E97" s="146">
        <f t="shared" si="4"/>
        <v>-275313</v>
      </c>
      <c r="F97" s="150">
        <f t="shared" si="5"/>
        <v>-0.03580679446387807</v>
      </c>
      <c r="G97" s="155"/>
    </row>
    <row r="98" spans="1:7" ht="15" customHeight="1">
      <c r="A98" s="141">
        <v>8</v>
      </c>
      <c r="B98" s="161" t="s">
        <v>388</v>
      </c>
      <c r="C98" s="146">
        <v>4432208</v>
      </c>
      <c r="D98" s="146">
        <v>4167656</v>
      </c>
      <c r="E98" s="146">
        <f t="shared" si="4"/>
        <v>-264552</v>
      </c>
      <c r="F98" s="150">
        <f t="shared" si="5"/>
        <v>-0.05968853447311137</v>
      </c>
      <c r="G98" s="155"/>
    </row>
    <row r="99" spans="1:7" ht="15" customHeight="1">
      <c r="A99" s="141">
        <v>9</v>
      </c>
      <c r="B99" s="161" t="s">
        <v>389</v>
      </c>
      <c r="C99" s="146">
        <v>2525326</v>
      </c>
      <c r="D99" s="146">
        <v>2760875</v>
      </c>
      <c r="E99" s="146">
        <f t="shared" si="4"/>
        <v>235549</v>
      </c>
      <c r="F99" s="150">
        <f t="shared" si="5"/>
        <v>0.09327469007961744</v>
      </c>
      <c r="G99" s="155"/>
    </row>
    <row r="100" spans="1:7" ht="15" customHeight="1">
      <c r="A100" s="141">
        <v>10</v>
      </c>
      <c r="B100" s="161" t="s">
        <v>390</v>
      </c>
      <c r="C100" s="146">
        <v>11594686</v>
      </c>
      <c r="D100" s="146">
        <v>11189837</v>
      </c>
      <c r="E100" s="146">
        <f t="shared" si="4"/>
        <v>-404849</v>
      </c>
      <c r="F100" s="150">
        <f t="shared" si="5"/>
        <v>-0.034916771355429546</v>
      </c>
      <c r="G100" s="155"/>
    </row>
    <row r="101" spans="1:7" ht="15" customHeight="1">
      <c r="A101" s="141">
        <v>11</v>
      </c>
      <c r="B101" s="161" t="s">
        <v>391</v>
      </c>
      <c r="C101" s="146">
        <v>9261213</v>
      </c>
      <c r="D101" s="146">
        <v>9850355</v>
      </c>
      <c r="E101" s="146">
        <f t="shared" si="4"/>
        <v>589142</v>
      </c>
      <c r="F101" s="150">
        <f t="shared" si="5"/>
        <v>0.06361391320985707</v>
      </c>
      <c r="G101" s="155"/>
    </row>
    <row r="102" spans="1:7" ht="15" customHeight="1">
      <c r="A102" s="141">
        <v>12</v>
      </c>
      <c r="B102" s="161" t="s">
        <v>392</v>
      </c>
      <c r="C102" s="146">
        <v>3954906</v>
      </c>
      <c r="D102" s="146">
        <v>3836271</v>
      </c>
      <c r="E102" s="146">
        <f t="shared" si="4"/>
        <v>-118635</v>
      </c>
      <c r="F102" s="150">
        <f t="shared" si="5"/>
        <v>-0.029996920280785433</v>
      </c>
      <c r="G102" s="155"/>
    </row>
    <row r="103" spans="1:7" ht="15" customHeight="1">
      <c r="A103" s="141">
        <v>13</v>
      </c>
      <c r="B103" s="161" t="s">
        <v>393</v>
      </c>
      <c r="C103" s="146">
        <v>20538762</v>
      </c>
      <c r="D103" s="146">
        <v>19816221</v>
      </c>
      <c r="E103" s="146">
        <f t="shared" si="4"/>
        <v>-722541</v>
      </c>
      <c r="F103" s="150">
        <f t="shared" si="5"/>
        <v>-0.03517938422968239</v>
      </c>
      <c r="G103" s="155"/>
    </row>
    <row r="104" spans="1:7" ht="15" customHeight="1">
      <c r="A104" s="141">
        <v>14</v>
      </c>
      <c r="B104" s="161" t="s">
        <v>394</v>
      </c>
      <c r="C104" s="146">
        <v>4922614</v>
      </c>
      <c r="D104" s="146">
        <v>5043056</v>
      </c>
      <c r="E104" s="146">
        <f t="shared" si="4"/>
        <v>120442</v>
      </c>
      <c r="F104" s="150">
        <f t="shared" si="5"/>
        <v>0.02446708192029682</v>
      </c>
      <c r="G104" s="155"/>
    </row>
    <row r="105" spans="1:7" ht="15" customHeight="1">
      <c r="A105" s="141">
        <v>15</v>
      </c>
      <c r="B105" s="161" t="s">
        <v>363</v>
      </c>
      <c r="C105" s="146">
        <v>10863156</v>
      </c>
      <c r="D105" s="146">
        <v>12217627</v>
      </c>
      <c r="E105" s="146">
        <f t="shared" si="4"/>
        <v>1354471</v>
      </c>
      <c r="F105" s="150">
        <f t="shared" si="5"/>
        <v>0.12468485217371453</v>
      </c>
      <c r="G105" s="155"/>
    </row>
    <row r="106" spans="1:7" ht="15" customHeight="1">
      <c r="A106" s="141">
        <v>16</v>
      </c>
      <c r="B106" s="161" t="s">
        <v>395</v>
      </c>
      <c r="C106" s="146">
        <v>3369282</v>
      </c>
      <c r="D106" s="146">
        <v>3421267</v>
      </c>
      <c r="E106" s="146">
        <f t="shared" si="4"/>
        <v>51985</v>
      </c>
      <c r="F106" s="150">
        <f t="shared" si="5"/>
        <v>0.0154291032926303</v>
      </c>
      <c r="G106" s="155"/>
    </row>
    <row r="107" spans="1:7" ht="15" customHeight="1">
      <c r="A107" s="141">
        <v>17</v>
      </c>
      <c r="B107" s="161" t="s">
        <v>396</v>
      </c>
      <c r="C107" s="146">
        <v>29120517</v>
      </c>
      <c r="D107" s="146">
        <v>31017068</v>
      </c>
      <c r="E107" s="146">
        <f t="shared" si="4"/>
        <v>1896551</v>
      </c>
      <c r="F107" s="150">
        <f t="shared" si="5"/>
        <v>0.06512765552891799</v>
      </c>
      <c r="G107" s="155"/>
    </row>
    <row r="108" spans="1:7" ht="15" customHeight="1">
      <c r="A108" s="141">
        <v>18</v>
      </c>
      <c r="B108" s="161" t="s">
        <v>397</v>
      </c>
      <c r="C108" s="146">
        <v>40182099</v>
      </c>
      <c r="D108" s="146">
        <v>33389939</v>
      </c>
      <c r="E108" s="146">
        <f t="shared" si="4"/>
        <v>-6792160</v>
      </c>
      <c r="F108" s="150">
        <f t="shared" si="5"/>
        <v>-0.1690344747794285</v>
      </c>
      <c r="G108" s="155"/>
    </row>
    <row r="109" spans="1:7" ht="15.75" customHeight="1">
      <c r="A109" s="141"/>
      <c r="B109" s="154" t="s">
        <v>398</v>
      </c>
      <c r="C109" s="147">
        <f>SUM(C91:C108)</f>
        <v>344482172</v>
      </c>
      <c r="D109" s="147">
        <f>SUM(D91:D108)</f>
        <v>357947564</v>
      </c>
      <c r="E109" s="147">
        <f t="shared" si="4"/>
        <v>13465392</v>
      </c>
      <c r="F109" s="148">
        <f t="shared" si="5"/>
        <v>0.03908879208994304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281</v>
      </c>
      <c r="B111" s="145" t="s">
        <v>399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400</v>
      </c>
      <c r="C112" s="146">
        <v>4791209</v>
      </c>
      <c r="D112" s="146">
        <v>4937421</v>
      </c>
      <c r="E112" s="146">
        <f aca="true" t="shared" si="6" ref="E112:E118">D112-C112</f>
        <v>146212</v>
      </c>
      <c r="F112" s="150">
        <f aca="true" t="shared" si="7" ref="F112:F118">IF(C112=0,0,E112/C112)</f>
        <v>0.030516723440784987</v>
      </c>
      <c r="G112" s="155"/>
    </row>
    <row r="113" spans="1:7" ht="15" customHeight="1">
      <c r="A113" s="141">
        <v>2</v>
      </c>
      <c r="B113" s="161" t="s">
        <v>401</v>
      </c>
      <c r="C113" s="146">
        <v>19266542</v>
      </c>
      <c r="D113" s="146">
        <v>21207694</v>
      </c>
      <c r="E113" s="146">
        <f t="shared" si="6"/>
        <v>1941152</v>
      </c>
      <c r="F113" s="150">
        <f t="shared" si="7"/>
        <v>0.10075248583788414</v>
      </c>
      <c r="G113" s="155"/>
    </row>
    <row r="114" spans="1:7" ht="15" customHeight="1">
      <c r="A114" s="141">
        <v>3</v>
      </c>
      <c r="B114" s="161" t="s">
        <v>402</v>
      </c>
      <c r="C114" s="146">
        <v>12193821</v>
      </c>
      <c r="D114" s="146">
        <v>13078970</v>
      </c>
      <c r="E114" s="146">
        <f t="shared" si="6"/>
        <v>885149</v>
      </c>
      <c r="F114" s="150">
        <f t="shared" si="7"/>
        <v>0.07258996175193977</v>
      </c>
      <c r="G114" s="155"/>
    </row>
    <row r="115" spans="1:7" ht="15" customHeight="1">
      <c r="A115" s="141">
        <v>4</v>
      </c>
      <c r="B115" s="161" t="s">
        <v>403</v>
      </c>
      <c r="C115" s="146">
        <v>5780321</v>
      </c>
      <c r="D115" s="146">
        <v>6889649</v>
      </c>
      <c r="E115" s="146">
        <f t="shared" si="6"/>
        <v>1109328</v>
      </c>
      <c r="F115" s="150">
        <f t="shared" si="7"/>
        <v>0.19191460128252394</v>
      </c>
      <c r="G115" s="155"/>
    </row>
    <row r="116" spans="1:7" ht="15" customHeight="1">
      <c r="A116" s="141">
        <v>5</v>
      </c>
      <c r="B116" s="161" t="s">
        <v>404</v>
      </c>
      <c r="C116" s="146">
        <v>1251272</v>
      </c>
      <c r="D116" s="146">
        <v>1331675</v>
      </c>
      <c r="E116" s="146">
        <f t="shared" si="6"/>
        <v>80403</v>
      </c>
      <c r="F116" s="150">
        <f t="shared" si="7"/>
        <v>0.06425701206452314</v>
      </c>
      <c r="G116" s="155"/>
    </row>
    <row r="117" spans="1:7" ht="15" customHeight="1">
      <c r="A117" s="141">
        <v>6</v>
      </c>
      <c r="B117" s="161" t="s">
        <v>405</v>
      </c>
      <c r="C117" s="146">
        <v>2817924</v>
      </c>
      <c r="D117" s="146">
        <v>3052704</v>
      </c>
      <c r="E117" s="146">
        <f t="shared" si="6"/>
        <v>234780</v>
      </c>
      <c r="F117" s="150">
        <f t="shared" si="7"/>
        <v>0.08331665438812402</v>
      </c>
      <c r="G117" s="155"/>
    </row>
    <row r="118" spans="1:7" ht="15.75" customHeight="1">
      <c r="A118" s="141"/>
      <c r="B118" s="154" t="s">
        <v>406</v>
      </c>
      <c r="C118" s="147">
        <f>SUM(C112:C117)</f>
        <v>46101089</v>
      </c>
      <c r="D118" s="147">
        <f>SUM(D112:D117)</f>
        <v>50498113</v>
      </c>
      <c r="E118" s="147">
        <f t="shared" si="6"/>
        <v>4397024</v>
      </c>
      <c r="F118" s="148">
        <f t="shared" si="7"/>
        <v>0.09537787708225287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298</v>
      </c>
      <c r="B120" s="145" t="s">
        <v>407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408</v>
      </c>
      <c r="C121" s="146">
        <v>52432374</v>
      </c>
      <c r="D121" s="146">
        <v>57785656</v>
      </c>
      <c r="E121" s="146">
        <f aca="true" t="shared" si="8" ref="E121:E155">D121-C121</f>
        <v>5353282</v>
      </c>
      <c r="F121" s="150">
        <f aca="true" t="shared" si="9" ref="F121:F155">IF(C121=0,0,E121/C121)</f>
        <v>0.10209879110184863</v>
      </c>
      <c r="G121" s="155"/>
    </row>
    <row r="122" spans="1:7" ht="15" customHeight="1">
      <c r="A122" s="141">
        <v>2</v>
      </c>
      <c r="B122" s="161" t="s">
        <v>409</v>
      </c>
      <c r="C122" s="146">
        <v>2730658</v>
      </c>
      <c r="D122" s="146">
        <v>2967093</v>
      </c>
      <c r="E122" s="146">
        <f t="shared" si="8"/>
        <v>236435</v>
      </c>
      <c r="F122" s="150">
        <f t="shared" si="9"/>
        <v>0.08658535781485635</v>
      </c>
      <c r="G122" s="155"/>
    </row>
    <row r="123" spans="1:7" ht="15" customHeight="1">
      <c r="A123" s="141">
        <v>3</v>
      </c>
      <c r="B123" s="161" t="s">
        <v>410</v>
      </c>
      <c r="C123" s="146">
        <v>2840012</v>
      </c>
      <c r="D123" s="146">
        <v>3203985</v>
      </c>
      <c r="E123" s="146">
        <f t="shared" si="8"/>
        <v>363973</v>
      </c>
      <c r="F123" s="150">
        <f t="shared" si="9"/>
        <v>0.12815896552549777</v>
      </c>
      <c r="G123" s="155"/>
    </row>
    <row r="124" spans="1:7" ht="15" customHeight="1">
      <c r="A124" s="141">
        <v>4</v>
      </c>
      <c r="B124" s="161" t="s">
        <v>411</v>
      </c>
      <c r="C124" s="146">
        <v>8788860</v>
      </c>
      <c r="D124" s="146">
        <v>9369335</v>
      </c>
      <c r="E124" s="146">
        <f t="shared" si="8"/>
        <v>580475</v>
      </c>
      <c r="F124" s="150">
        <f t="shared" si="9"/>
        <v>0.06604667727099987</v>
      </c>
      <c r="G124" s="155"/>
    </row>
    <row r="125" spans="1:7" ht="15" customHeight="1">
      <c r="A125" s="141">
        <v>5</v>
      </c>
      <c r="B125" s="161" t="s">
        <v>412</v>
      </c>
      <c r="C125" s="146">
        <v>16444502</v>
      </c>
      <c r="D125" s="146">
        <v>16261735</v>
      </c>
      <c r="E125" s="146">
        <f t="shared" si="8"/>
        <v>-182767</v>
      </c>
      <c r="F125" s="150">
        <f t="shared" si="9"/>
        <v>-0.0111141705598625</v>
      </c>
      <c r="G125" s="155"/>
    </row>
    <row r="126" spans="1:7" ht="15" customHeight="1">
      <c r="A126" s="141">
        <v>6</v>
      </c>
      <c r="B126" s="161" t="s">
        <v>413</v>
      </c>
      <c r="C126" s="146">
        <v>765143</v>
      </c>
      <c r="D126" s="146">
        <v>766756</v>
      </c>
      <c r="E126" s="146">
        <f t="shared" si="8"/>
        <v>1613</v>
      </c>
      <c r="F126" s="150">
        <f t="shared" si="9"/>
        <v>0.0021081026683900917</v>
      </c>
      <c r="G126" s="155"/>
    </row>
    <row r="127" spans="1:7" ht="15" customHeight="1">
      <c r="A127" s="141">
        <v>7</v>
      </c>
      <c r="B127" s="161" t="s">
        <v>414</v>
      </c>
      <c r="C127" s="146">
        <v>7582140</v>
      </c>
      <c r="D127" s="146">
        <v>8753534</v>
      </c>
      <c r="E127" s="146">
        <f t="shared" si="8"/>
        <v>1171394</v>
      </c>
      <c r="F127" s="150">
        <f t="shared" si="9"/>
        <v>0.1544938500212341</v>
      </c>
      <c r="G127" s="155"/>
    </row>
    <row r="128" spans="1:7" ht="15" customHeight="1">
      <c r="A128" s="141">
        <v>8</v>
      </c>
      <c r="B128" s="161" t="s">
        <v>415</v>
      </c>
      <c r="C128" s="146">
        <v>3121090</v>
      </c>
      <c r="D128" s="146">
        <v>3264774</v>
      </c>
      <c r="E128" s="146">
        <f t="shared" si="8"/>
        <v>143684</v>
      </c>
      <c r="F128" s="150">
        <f t="shared" si="9"/>
        <v>0.046036480844833055</v>
      </c>
      <c r="G128" s="155"/>
    </row>
    <row r="129" spans="1:7" ht="15" customHeight="1">
      <c r="A129" s="141">
        <v>9</v>
      </c>
      <c r="B129" s="161" t="s">
        <v>416</v>
      </c>
      <c r="C129" s="146">
        <v>2995164</v>
      </c>
      <c r="D129" s="146">
        <v>2776856</v>
      </c>
      <c r="E129" s="146">
        <f t="shared" si="8"/>
        <v>-218308</v>
      </c>
      <c r="F129" s="150">
        <f t="shared" si="9"/>
        <v>-0.07288682689829339</v>
      </c>
      <c r="G129" s="155"/>
    </row>
    <row r="130" spans="1:7" ht="15" customHeight="1">
      <c r="A130" s="141">
        <v>10</v>
      </c>
      <c r="B130" s="161" t="s">
        <v>417</v>
      </c>
      <c r="C130" s="146">
        <v>24676665</v>
      </c>
      <c r="D130" s="146">
        <v>27232999</v>
      </c>
      <c r="E130" s="146">
        <f t="shared" si="8"/>
        <v>2556334</v>
      </c>
      <c r="F130" s="150">
        <f t="shared" si="9"/>
        <v>0.10359317192983736</v>
      </c>
      <c r="G130" s="155"/>
    </row>
    <row r="131" spans="1:7" ht="15" customHeight="1">
      <c r="A131" s="141">
        <v>11</v>
      </c>
      <c r="B131" s="161" t="s">
        <v>418</v>
      </c>
      <c r="C131" s="146">
        <v>8673535</v>
      </c>
      <c r="D131" s="146">
        <v>9778112</v>
      </c>
      <c r="E131" s="146">
        <f t="shared" si="8"/>
        <v>1104577</v>
      </c>
      <c r="F131" s="150">
        <f t="shared" si="9"/>
        <v>0.12735026722091972</v>
      </c>
      <c r="G131" s="155"/>
    </row>
    <row r="132" spans="1:7" ht="15" customHeight="1">
      <c r="A132" s="141">
        <v>12</v>
      </c>
      <c r="B132" s="161" t="s">
        <v>419</v>
      </c>
      <c r="C132" s="146">
        <v>769418</v>
      </c>
      <c r="D132" s="146">
        <v>1080109</v>
      </c>
      <c r="E132" s="146">
        <f t="shared" si="8"/>
        <v>310691</v>
      </c>
      <c r="F132" s="150">
        <f t="shared" si="9"/>
        <v>0.4038000150763304</v>
      </c>
      <c r="G132" s="155"/>
    </row>
    <row r="133" spans="1:7" ht="15" customHeight="1">
      <c r="A133" s="141">
        <v>13</v>
      </c>
      <c r="B133" s="161" t="s">
        <v>420</v>
      </c>
      <c r="C133" s="146">
        <v>1299434</v>
      </c>
      <c r="D133" s="146">
        <v>1345068</v>
      </c>
      <c r="E133" s="146">
        <f t="shared" si="8"/>
        <v>45634</v>
      </c>
      <c r="F133" s="150">
        <f t="shared" si="9"/>
        <v>0.03511836691975122</v>
      </c>
      <c r="G133" s="155"/>
    </row>
    <row r="134" spans="1:7" ht="15" customHeight="1">
      <c r="A134" s="141">
        <v>14</v>
      </c>
      <c r="B134" s="161" t="s">
        <v>421</v>
      </c>
      <c r="C134" s="146">
        <v>1212144</v>
      </c>
      <c r="D134" s="146">
        <v>207375</v>
      </c>
      <c r="E134" s="146">
        <f t="shared" si="8"/>
        <v>-1004769</v>
      </c>
      <c r="F134" s="150">
        <f t="shared" si="9"/>
        <v>-0.8289188413257831</v>
      </c>
      <c r="G134" s="155"/>
    </row>
    <row r="135" spans="1:7" ht="15" customHeight="1">
      <c r="A135" s="141">
        <v>15</v>
      </c>
      <c r="B135" s="161" t="s">
        <v>422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>
      <c r="A136" s="141">
        <v>16</v>
      </c>
      <c r="B136" s="161" t="s">
        <v>423</v>
      </c>
      <c r="C136" s="146">
        <v>474065</v>
      </c>
      <c r="D136" s="146">
        <v>568885</v>
      </c>
      <c r="E136" s="146">
        <f t="shared" si="8"/>
        <v>94820</v>
      </c>
      <c r="F136" s="150">
        <f t="shared" si="9"/>
        <v>0.2000147659076287</v>
      </c>
      <c r="G136" s="155"/>
    </row>
    <row r="137" spans="1:7" ht="15" customHeight="1">
      <c r="A137" s="141">
        <v>17</v>
      </c>
      <c r="B137" s="161" t="s">
        <v>424</v>
      </c>
      <c r="C137" s="146">
        <v>53141</v>
      </c>
      <c r="D137" s="146">
        <v>60761</v>
      </c>
      <c r="E137" s="146">
        <f t="shared" si="8"/>
        <v>7620</v>
      </c>
      <c r="F137" s="150">
        <f t="shared" si="9"/>
        <v>0.14339210778871306</v>
      </c>
      <c r="G137" s="155"/>
    </row>
    <row r="138" spans="1:7" ht="15" customHeight="1">
      <c r="A138" s="141">
        <v>18</v>
      </c>
      <c r="B138" s="161" t="s">
        <v>425</v>
      </c>
      <c r="C138" s="146">
        <v>6688049</v>
      </c>
      <c r="D138" s="146">
        <v>6816176</v>
      </c>
      <c r="E138" s="146">
        <f t="shared" si="8"/>
        <v>128127</v>
      </c>
      <c r="F138" s="150">
        <f t="shared" si="9"/>
        <v>0.0191576048560649</v>
      </c>
      <c r="G138" s="155"/>
    </row>
    <row r="139" spans="1:7" ht="15" customHeight="1">
      <c r="A139" s="141">
        <v>19</v>
      </c>
      <c r="B139" s="161" t="s">
        <v>426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>
      <c r="A140" s="141">
        <v>20</v>
      </c>
      <c r="B140" s="161" t="s">
        <v>427</v>
      </c>
      <c r="C140" s="146">
        <v>1256728</v>
      </c>
      <c r="D140" s="146">
        <v>1282804</v>
      </c>
      <c r="E140" s="146">
        <f t="shared" si="8"/>
        <v>26076</v>
      </c>
      <c r="F140" s="150">
        <f t="shared" si="9"/>
        <v>0.020749119936851888</v>
      </c>
      <c r="G140" s="155"/>
    </row>
    <row r="141" spans="1:7" ht="15" customHeight="1">
      <c r="A141" s="141">
        <v>21</v>
      </c>
      <c r="B141" s="161" t="s">
        <v>428</v>
      </c>
      <c r="C141" s="146">
        <v>501881</v>
      </c>
      <c r="D141" s="146">
        <v>490812</v>
      </c>
      <c r="E141" s="146">
        <f t="shared" si="8"/>
        <v>-11069</v>
      </c>
      <c r="F141" s="150">
        <f t="shared" si="9"/>
        <v>-0.022055028980973578</v>
      </c>
      <c r="G141" s="155"/>
    </row>
    <row r="142" spans="1:7" ht="15" customHeight="1">
      <c r="A142" s="141">
        <v>22</v>
      </c>
      <c r="B142" s="161" t="s">
        <v>429</v>
      </c>
      <c r="C142" s="146">
        <v>14485953</v>
      </c>
      <c r="D142" s="146">
        <v>14769543</v>
      </c>
      <c r="E142" s="146">
        <f t="shared" si="8"/>
        <v>283590</v>
      </c>
      <c r="F142" s="150">
        <f t="shared" si="9"/>
        <v>0.01957689632156062</v>
      </c>
      <c r="G142" s="155"/>
    </row>
    <row r="143" spans="1:7" ht="15" customHeight="1">
      <c r="A143" s="141">
        <v>23</v>
      </c>
      <c r="B143" s="161" t="s">
        <v>430</v>
      </c>
      <c r="C143" s="146">
        <v>6901701</v>
      </c>
      <c r="D143" s="146">
        <v>7059615</v>
      </c>
      <c r="E143" s="146">
        <f t="shared" si="8"/>
        <v>157914</v>
      </c>
      <c r="F143" s="150">
        <f t="shared" si="9"/>
        <v>0.02288044642907596</v>
      </c>
      <c r="G143" s="155"/>
    </row>
    <row r="144" spans="1:7" ht="15" customHeight="1">
      <c r="A144" s="141">
        <v>24</v>
      </c>
      <c r="B144" s="161" t="s">
        <v>431</v>
      </c>
      <c r="C144" s="146">
        <v>21426984</v>
      </c>
      <c r="D144" s="146">
        <v>22851894</v>
      </c>
      <c r="E144" s="146">
        <f t="shared" si="8"/>
        <v>1424910</v>
      </c>
      <c r="F144" s="150">
        <f t="shared" si="9"/>
        <v>0.06650072637380977</v>
      </c>
      <c r="G144" s="155"/>
    </row>
    <row r="145" spans="1:7" ht="15" customHeight="1">
      <c r="A145" s="141">
        <v>25</v>
      </c>
      <c r="B145" s="161" t="s">
        <v>432</v>
      </c>
      <c r="C145" s="146">
        <v>1848867</v>
      </c>
      <c r="D145" s="146">
        <v>2021391</v>
      </c>
      <c r="E145" s="146">
        <f t="shared" si="8"/>
        <v>172524</v>
      </c>
      <c r="F145" s="150">
        <f t="shared" si="9"/>
        <v>0.09331336434692165</v>
      </c>
      <c r="G145" s="155"/>
    </row>
    <row r="146" spans="1:7" ht="15" customHeight="1">
      <c r="A146" s="141">
        <v>26</v>
      </c>
      <c r="B146" s="161" t="s">
        <v>433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>
      <c r="A147" s="141">
        <v>27</v>
      </c>
      <c r="B147" s="161" t="s">
        <v>434</v>
      </c>
      <c r="C147" s="146">
        <v>625233</v>
      </c>
      <c r="D147" s="146">
        <v>472607</v>
      </c>
      <c r="E147" s="146">
        <f t="shared" si="8"/>
        <v>-152626</v>
      </c>
      <c r="F147" s="150">
        <f t="shared" si="9"/>
        <v>-0.24411059556997153</v>
      </c>
      <c r="G147" s="155"/>
    </row>
    <row r="148" spans="1:7" ht="15" customHeight="1">
      <c r="A148" s="141">
        <v>28</v>
      </c>
      <c r="B148" s="161" t="s">
        <v>435</v>
      </c>
      <c r="C148" s="146">
        <v>3658679</v>
      </c>
      <c r="D148" s="146">
        <v>4251665</v>
      </c>
      <c r="E148" s="146">
        <f t="shared" si="8"/>
        <v>592986</v>
      </c>
      <c r="F148" s="150">
        <f t="shared" si="9"/>
        <v>0.16207653090090712</v>
      </c>
      <c r="G148" s="155"/>
    </row>
    <row r="149" spans="1:7" ht="15" customHeight="1">
      <c r="A149" s="141">
        <v>29</v>
      </c>
      <c r="B149" s="161" t="s">
        <v>436</v>
      </c>
      <c r="C149" s="146">
        <v>0</v>
      </c>
      <c r="D149" s="146">
        <v>1787728</v>
      </c>
      <c r="E149" s="146">
        <f t="shared" si="8"/>
        <v>1787728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437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438</v>
      </c>
      <c r="C151" s="146">
        <v>19335828</v>
      </c>
      <c r="D151" s="146">
        <v>18418232</v>
      </c>
      <c r="E151" s="146">
        <f t="shared" si="8"/>
        <v>-917596</v>
      </c>
      <c r="F151" s="150">
        <f t="shared" si="9"/>
        <v>-0.04745573864227588</v>
      </c>
      <c r="G151" s="155"/>
    </row>
    <row r="152" spans="1:7" ht="15" customHeight="1">
      <c r="A152" s="141">
        <v>32</v>
      </c>
      <c r="B152" s="161" t="s">
        <v>439</v>
      </c>
      <c r="C152" s="146">
        <v>4752647</v>
      </c>
      <c r="D152" s="146">
        <v>5694722</v>
      </c>
      <c r="E152" s="146">
        <f t="shared" si="8"/>
        <v>942075</v>
      </c>
      <c r="F152" s="150">
        <f t="shared" si="9"/>
        <v>0.1982211176214013</v>
      </c>
      <c r="G152" s="155"/>
    </row>
    <row r="153" spans="1:7" ht="15" customHeight="1">
      <c r="A153" s="141">
        <v>33</v>
      </c>
      <c r="B153" s="161" t="s">
        <v>440</v>
      </c>
      <c r="C153" s="146">
        <v>854338</v>
      </c>
      <c r="D153" s="146">
        <v>902444</v>
      </c>
      <c r="E153" s="146">
        <f t="shared" si="8"/>
        <v>48106</v>
      </c>
      <c r="F153" s="150">
        <f t="shared" si="9"/>
        <v>0.056307924966465264</v>
      </c>
      <c r="G153" s="155"/>
    </row>
    <row r="154" spans="1:7" ht="15" customHeight="1">
      <c r="A154" s="141">
        <v>34</v>
      </c>
      <c r="B154" s="161" t="s">
        <v>441</v>
      </c>
      <c r="C154" s="146">
        <v>13671606</v>
      </c>
      <c r="D154" s="146">
        <v>14405358</v>
      </c>
      <c r="E154" s="146">
        <f t="shared" si="8"/>
        <v>733752</v>
      </c>
      <c r="F154" s="150">
        <f t="shared" si="9"/>
        <v>0.053669773690084396</v>
      </c>
      <c r="G154" s="155"/>
    </row>
    <row r="155" spans="1:7" ht="15.75" customHeight="1">
      <c r="A155" s="141"/>
      <c r="B155" s="154" t="s">
        <v>442</v>
      </c>
      <c r="C155" s="147">
        <f>SUM(C121:C154)</f>
        <v>230866839</v>
      </c>
      <c r="D155" s="147">
        <f>SUM(D121:D154)</f>
        <v>246648024</v>
      </c>
      <c r="E155" s="147">
        <f t="shared" si="8"/>
        <v>15781185</v>
      </c>
      <c r="F155" s="148">
        <f t="shared" si="9"/>
        <v>0.06835622243695207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327</v>
      </c>
      <c r="B157" s="145" t="s">
        <v>443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444</v>
      </c>
      <c r="C158" s="146">
        <v>75259185</v>
      </c>
      <c r="D158" s="146">
        <v>81145159</v>
      </c>
      <c r="E158" s="146">
        <f aca="true" t="shared" si="10" ref="E158:E171">D158-C158</f>
        <v>5885974</v>
      </c>
      <c r="F158" s="150">
        <f aca="true" t="shared" si="11" ref="F158:F171">IF(C158=0,0,E158/C158)</f>
        <v>0.07820937736702836</v>
      </c>
      <c r="G158" s="155"/>
    </row>
    <row r="159" spans="1:7" ht="15" customHeight="1">
      <c r="A159" s="141">
        <v>2</v>
      </c>
      <c r="B159" s="161" t="s">
        <v>445</v>
      </c>
      <c r="C159" s="146">
        <v>18624163</v>
      </c>
      <c r="D159" s="146">
        <v>19309469</v>
      </c>
      <c r="E159" s="146">
        <f t="shared" si="10"/>
        <v>685306</v>
      </c>
      <c r="F159" s="150">
        <f t="shared" si="11"/>
        <v>0.03679660664481942</v>
      </c>
      <c r="G159" s="155"/>
    </row>
    <row r="160" spans="1:7" ht="15" customHeight="1">
      <c r="A160" s="141">
        <v>3</v>
      </c>
      <c r="B160" s="161" t="s">
        <v>446</v>
      </c>
      <c r="C160" s="146">
        <v>4110081</v>
      </c>
      <c r="D160" s="146">
        <v>4208110</v>
      </c>
      <c r="E160" s="146">
        <f t="shared" si="10"/>
        <v>98029</v>
      </c>
      <c r="F160" s="150">
        <f t="shared" si="11"/>
        <v>0.023850868145907585</v>
      </c>
      <c r="G160" s="155"/>
    </row>
    <row r="161" spans="1:7" ht="15" customHeight="1">
      <c r="A161" s="141">
        <v>4</v>
      </c>
      <c r="B161" s="161" t="s">
        <v>447</v>
      </c>
      <c r="C161" s="146">
        <v>16741986</v>
      </c>
      <c r="D161" s="146">
        <v>17273626</v>
      </c>
      <c r="E161" s="146">
        <f t="shared" si="10"/>
        <v>531640</v>
      </c>
      <c r="F161" s="150">
        <f t="shared" si="11"/>
        <v>0.03175489455074207</v>
      </c>
      <c r="G161" s="155"/>
    </row>
    <row r="162" spans="1:7" ht="15" customHeight="1">
      <c r="A162" s="141">
        <v>5</v>
      </c>
      <c r="B162" s="161" t="s">
        <v>448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449</v>
      </c>
      <c r="C163" s="146">
        <v>6057307</v>
      </c>
      <c r="D163" s="146">
        <v>6040188</v>
      </c>
      <c r="E163" s="146">
        <f t="shared" si="10"/>
        <v>-17119</v>
      </c>
      <c r="F163" s="150">
        <f t="shared" si="11"/>
        <v>-0.002826173413366699</v>
      </c>
      <c r="G163" s="155"/>
    </row>
    <row r="164" spans="1:7" ht="15" customHeight="1">
      <c r="A164" s="141">
        <v>7</v>
      </c>
      <c r="B164" s="161" t="s">
        <v>450</v>
      </c>
      <c r="C164" s="146">
        <v>2912733</v>
      </c>
      <c r="D164" s="146">
        <v>2959887</v>
      </c>
      <c r="E164" s="146">
        <f t="shared" si="10"/>
        <v>47154</v>
      </c>
      <c r="F164" s="150">
        <f t="shared" si="11"/>
        <v>0.016188919478716382</v>
      </c>
      <c r="G164" s="155"/>
    </row>
    <row r="165" spans="1:7" ht="15" customHeight="1">
      <c r="A165" s="141">
        <v>8</v>
      </c>
      <c r="B165" s="161" t="s">
        <v>451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452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453</v>
      </c>
      <c r="C167" s="146">
        <v>4168885</v>
      </c>
      <c r="D167" s="146">
        <v>5239661</v>
      </c>
      <c r="E167" s="146">
        <f t="shared" si="10"/>
        <v>1070776</v>
      </c>
      <c r="F167" s="150">
        <f t="shared" si="11"/>
        <v>0.25684949332975127</v>
      </c>
      <c r="G167" s="155"/>
    </row>
    <row r="168" spans="1:7" ht="15" customHeight="1">
      <c r="A168" s="141">
        <v>11</v>
      </c>
      <c r="B168" s="161" t="s">
        <v>454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455</v>
      </c>
      <c r="C169" s="146">
        <v>8762836</v>
      </c>
      <c r="D169" s="146">
        <v>9979087</v>
      </c>
      <c r="E169" s="146">
        <f t="shared" si="10"/>
        <v>1216251</v>
      </c>
      <c r="F169" s="150">
        <f t="shared" si="11"/>
        <v>0.138796503780283</v>
      </c>
      <c r="G169" s="155"/>
    </row>
    <row r="170" spans="1:7" ht="15" customHeight="1">
      <c r="A170" s="141">
        <v>13</v>
      </c>
      <c r="B170" s="161" t="s">
        <v>456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457</v>
      </c>
      <c r="C171" s="147">
        <f>SUM(C158:C170)</f>
        <v>136637176</v>
      </c>
      <c r="D171" s="147">
        <f>SUM(D158:D170)</f>
        <v>146155187</v>
      </c>
      <c r="E171" s="147">
        <f t="shared" si="10"/>
        <v>9518011</v>
      </c>
      <c r="F171" s="148">
        <f t="shared" si="11"/>
        <v>0.0696590143227199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332</v>
      </c>
      <c r="B173" s="145" t="s">
        <v>458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459</v>
      </c>
      <c r="C174" s="146">
        <v>21042152</v>
      </c>
      <c r="D174" s="146">
        <v>22928980</v>
      </c>
      <c r="E174" s="146">
        <f>D174-C174</f>
        <v>1886828</v>
      </c>
      <c r="F174" s="150">
        <f>IF(C174=0,0,E174/C174)</f>
        <v>0.08966896541760558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460</v>
      </c>
      <c r="C176" s="147">
        <f>+C174+C171+C155+C118+C109</f>
        <v>779129428</v>
      </c>
      <c r="D176" s="147">
        <f>+D174+D171+D155+D118+D109</f>
        <v>824177868</v>
      </c>
      <c r="E176" s="147">
        <f>D176-C176</f>
        <v>45048440</v>
      </c>
      <c r="F176" s="148">
        <f>IF(C176=0,0,E176/C176)</f>
        <v>0.05781894301648686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461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FILING&amp;RHARTFORD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157</v>
      </c>
      <c r="C1" s="3"/>
      <c r="D1" s="3"/>
      <c r="E1" s="4"/>
      <c r="F1" s="5"/>
    </row>
    <row r="2" spans="1:6" ht="24" customHeight="1">
      <c r="A2" s="35"/>
      <c r="B2" s="3" t="s">
        <v>158</v>
      </c>
      <c r="C2" s="3"/>
      <c r="D2" s="3"/>
      <c r="E2" s="4"/>
      <c r="F2" s="5"/>
    </row>
    <row r="3" spans="1:6" ht="24" customHeight="1">
      <c r="A3" s="35"/>
      <c r="B3" s="3" t="s">
        <v>159</v>
      </c>
      <c r="C3" s="3"/>
      <c r="D3" s="3"/>
      <c r="E3" s="4"/>
      <c r="F3" s="5"/>
    </row>
    <row r="4" spans="1:6" ht="24" customHeight="1">
      <c r="A4" s="35"/>
      <c r="B4" s="3" t="s">
        <v>462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167</v>
      </c>
      <c r="D7" s="11" t="s">
        <v>167</v>
      </c>
      <c r="E7" s="11" t="s">
        <v>167</v>
      </c>
      <c r="F7" s="11"/>
    </row>
    <row r="8" spans="1:6" ht="24" customHeight="1">
      <c r="A8" s="13" t="s">
        <v>165</v>
      </c>
      <c r="B8" s="16" t="s">
        <v>166</v>
      </c>
      <c r="C8" s="13" t="s">
        <v>463</v>
      </c>
      <c r="D8" s="13" t="s">
        <v>161</v>
      </c>
      <c r="E8" s="13" t="s">
        <v>162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171</v>
      </c>
      <c r="B10" s="30" t="s">
        <v>464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232</v>
      </c>
      <c r="C11" s="51">
        <v>617507812</v>
      </c>
      <c r="D11" s="164">
        <v>639563211</v>
      </c>
      <c r="E11" s="51">
        <v>701170031</v>
      </c>
      <c r="F11" s="13"/>
    </row>
    <row r="12" spans="1:6" ht="24" customHeight="1">
      <c r="A12" s="44">
        <v>2</v>
      </c>
      <c r="B12" s="165" t="s">
        <v>465</v>
      </c>
      <c r="C12" s="49">
        <v>124479380</v>
      </c>
      <c r="D12" s="49">
        <v>133795519</v>
      </c>
      <c r="E12" s="49">
        <v>128370350</v>
      </c>
      <c r="F12" s="13"/>
    </row>
    <row r="13" spans="1:6" ht="24" customHeight="1">
      <c r="A13" s="44">
        <v>3</v>
      </c>
      <c r="B13" s="48" t="s">
        <v>235</v>
      </c>
      <c r="C13" s="51">
        <f>+C11+C12</f>
        <v>741987192</v>
      </c>
      <c r="D13" s="51">
        <f>+D11+D12</f>
        <v>773358730</v>
      </c>
      <c r="E13" s="51">
        <f>+E11+E12</f>
        <v>829540381</v>
      </c>
      <c r="F13" s="13"/>
    </row>
    <row r="14" spans="1:6" ht="24" customHeight="1">
      <c r="A14" s="44">
        <v>4</v>
      </c>
      <c r="B14" s="166" t="s">
        <v>246</v>
      </c>
      <c r="C14" s="49">
        <v>745010396</v>
      </c>
      <c r="D14" s="49">
        <v>779129428</v>
      </c>
      <c r="E14" s="49">
        <v>824177868</v>
      </c>
      <c r="F14" s="13"/>
    </row>
    <row r="15" spans="1:6" ht="24" customHeight="1">
      <c r="A15" s="44">
        <v>5</v>
      </c>
      <c r="B15" s="48" t="s">
        <v>247</v>
      </c>
      <c r="C15" s="51">
        <f>+C13-C14</f>
        <v>-3023204</v>
      </c>
      <c r="D15" s="51">
        <f>+D13-D14</f>
        <v>-5770698</v>
      </c>
      <c r="E15" s="51">
        <f>+E13-E14</f>
        <v>5362513</v>
      </c>
      <c r="F15" s="13"/>
    </row>
    <row r="16" spans="1:6" ht="24" customHeight="1">
      <c r="A16" s="44">
        <v>6</v>
      </c>
      <c r="B16" s="166" t="s">
        <v>252</v>
      </c>
      <c r="C16" s="49">
        <v>19205014</v>
      </c>
      <c r="D16" s="49">
        <v>-34329921</v>
      </c>
      <c r="E16" s="49">
        <v>-9603320</v>
      </c>
      <c r="F16" s="13"/>
    </row>
    <row r="17" spans="1:6" ht="24" customHeight="1">
      <c r="A17" s="44">
        <v>7</v>
      </c>
      <c r="B17" s="45" t="s">
        <v>466</v>
      </c>
      <c r="C17" s="51">
        <f>C15+C16</f>
        <v>16181810</v>
      </c>
      <c r="D17" s="51">
        <f>D15+D16</f>
        <v>-40100619</v>
      </c>
      <c r="E17" s="51">
        <f>E15+E16</f>
        <v>-4240807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183</v>
      </c>
      <c r="B19" s="30" t="s">
        <v>467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468</v>
      </c>
      <c r="C20" s="169">
        <f>IF(+C27=0,0,+C24/+C27)</f>
        <v>-0.003971669673139034</v>
      </c>
      <c r="D20" s="169">
        <f>IF(+D27=0,0,+D24/+D27)</f>
        <v>-0.007808488559205816</v>
      </c>
      <c r="E20" s="169">
        <f>IF(+E27=0,0,+E24/+E27)</f>
        <v>0.006540151988568303</v>
      </c>
      <c r="F20" s="13"/>
    </row>
    <row r="21" spans="1:6" ht="24" customHeight="1">
      <c r="A21" s="25">
        <v>2</v>
      </c>
      <c r="B21" s="48" t="s">
        <v>469</v>
      </c>
      <c r="C21" s="169">
        <f>IF(C27=0,0,+C26/C27)</f>
        <v>0.025230176883865783</v>
      </c>
      <c r="D21" s="169">
        <f>IF(D27=0,0,+D26/D27)</f>
        <v>-0.04645275066671995</v>
      </c>
      <c r="E21" s="169">
        <f>IF(E27=0,0,+E26/E27)</f>
        <v>-0.011712264827117017</v>
      </c>
      <c r="F21" s="13"/>
    </row>
    <row r="22" spans="1:6" ht="24" customHeight="1">
      <c r="A22" s="25">
        <v>3</v>
      </c>
      <c r="B22" s="48" t="s">
        <v>470</v>
      </c>
      <c r="C22" s="169">
        <f>IF(C27=0,0,+C28/C27)</f>
        <v>0.021258507210726748</v>
      </c>
      <c r="D22" s="169">
        <f>IF(D27=0,0,+D28/D27)</f>
        <v>-0.05426123922592577</v>
      </c>
      <c r="E22" s="169">
        <f>IF(E27=0,0,+E28/E27)</f>
        <v>-0.0051721128385487135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247</v>
      </c>
      <c r="C24" s="51">
        <f>+C15</f>
        <v>-3023204</v>
      </c>
      <c r="D24" s="51">
        <f>+D15</f>
        <v>-5770698</v>
      </c>
      <c r="E24" s="51">
        <f>+E15</f>
        <v>5362513</v>
      </c>
      <c r="F24" s="13"/>
    </row>
    <row r="25" spans="1:6" ht="24" customHeight="1">
      <c r="A25" s="21">
        <v>5</v>
      </c>
      <c r="B25" s="48" t="s">
        <v>235</v>
      </c>
      <c r="C25" s="51">
        <f>+C13</f>
        <v>741987192</v>
      </c>
      <c r="D25" s="51">
        <f>+D13</f>
        <v>773358730</v>
      </c>
      <c r="E25" s="51">
        <f>+E13</f>
        <v>829540381</v>
      </c>
      <c r="F25" s="13"/>
    </row>
    <row r="26" spans="1:6" ht="24" customHeight="1">
      <c r="A26" s="21">
        <v>6</v>
      </c>
      <c r="B26" s="48" t="s">
        <v>252</v>
      </c>
      <c r="C26" s="51">
        <f>+C16</f>
        <v>19205014</v>
      </c>
      <c r="D26" s="51">
        <f>+D16</f>
        <v>-34329921</v>
      </c>
      <c r="E26" s="51">
        <f>+E16</f>
        <v>-9603320</v>
      </c>
      <c r="F26" s="13"/>
    </row>
    <row r="27" spans="1:6" ht="24" customHeight="1">
      <c r="A27" s="21">
        <v>7</v>
      </c>
      <c r="B27" s="48" t="s">
        <v>471</v>
      </c>
      <c r="C27" s="51">
        <f>+C25+C26</f>
        <v>761192206</v>
      </c>
      <c r="D27" s="51">
        <f>+D25+D26</f>
        <v>739028809</v>
      </c>
      <c r="E27" s="51">
        <f>+E25+E26</f>
        <v>819937061</v>
      </c>
      <c r="F27" s="13"/>
    </row>
    <row r="28" spans="1:6" ht="24" customHeight="1">
      <c r="A28" s="21">
        <v>8</v>
      </c>
      <c r="B28" s="45" t="s">
        <v>466</v>
      </c>
      <c r="C28" s="51">
        <f>+C17</f>
        <v>16181810</v>
      </c>
      <c r="D28" s="51">
        <f>+D17</f>
        <v>-40100619</v>
      </c>
      <c r="E28" s="51">
        <f>+E17</f>
        <v>-4240807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193</v>
      </c>
      <c r="B30" s="41" t="s">
        <v>472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473</v>
      </c>
      <c r="C31" s="51">
        <v>556983489</v>
      </c>
      <c r="D31" s="51">
        <v>393127114</v>
      </c>
      <c r="E31" s="51">
        <v>164603489</v>
      </c>
      <c r="F31" s="13"/>
    </row>
    <row r="32" spans="1:6" ht="24" customHeight="1">
      <c r="A32" s="25">
        <v>2</v>
      </c>
      <c r="B32" s="48" t="s">
        <v>474</v>
      </c>
      <c r="C32" s="51">
        <v>884570192</v>
      </c>
      <c r="D32" s="51">
        <v>648135482</v>
      </c>
      <c r="E32" s="51">
        <v>403988398</v>
      </c>
      <c r="F32" s="13"/>
    </row>
    <row r="33" spans="1:6" ht="24" customHeight="1">
      <c r="A33" s="25">
        <v>3</v>
      </c>
      <c r="B33" s="48" t="s">
        <v>475</v>
      </c>
      <c r="C33" s="51">
        <v>884570192</v>
      </c>
      <c r="D33" s="51">
        <f>+D32-C32</f>
        <v>-236434710</v>
      </c>
      <c r="E33" s="51">
        <f>+E32-D32</f>
        <v>-244147084</v>
      </c>
      <c r="F33" s="5"/>
    </row>
    <row r="34" spans="1:6" ht="24" customHeight="1">
      <c r="A34" s="25">
        <v>4</v>
      </c>
      <c r="B34" s="48" t="s">
        <v>476</v>
      </c>
      <c r="C34" s="171">
        <v>0</v>
      </c>
      <c r="D34" s="171">
        <f>IF(C32=0,0,+D33/C32)</f>
        <v>-0.2672876750068015</v>
      </c>
      <c r="E34" s="171">
        <f>IF(D32=0,0,+E33/D32)</f>
        <v>-0.37669143378266706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477</v>
      </c>
      <c r="B36" s="41" t="s">
        <v>478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479</v>
      </c>
      <c r="C38" s="172">
        <f>IF((C40+C41)=0,0,+C39/(C40+C41))</f>
        <v>0.4654217261929791</v>
      </c>
      <c r="D38" s="172">
        <f>IF((D40+D41)=0,0,+D39/(D40+D41))</f>
        <v>0.47872850020083496</v>
      </c>
      <c r="E38" s="172">
        <f>IF((E40+E41)=0,0,+E39/(E40+E41))</f>
        <v>0.44865852433588993</v>
      </c>
      <c r="F38" s="5"/>
    </row>
    <row r="39" spans="1:6" ht="24" customHeight="1">
      <c r="A39" s="21">
        <v>2</v>
      </c>
      <c r="B39" s="48" t="s">
        <v>480</v>
      </c>
      <c r="C39" s="51">
        <v>719784977</v>
      </c>
      <c r="D39" s="51">
        <v>803829428</v>
      </c>
      <c r="E39" s="23">
        <v>824177868</v>
      </c>
      <c r="F39" s="5"/>
    </row>
    <row r="40" spans="1:6" ht="24" customHeight="1">
      <c r="A40" s="21">
        <v>3</v>
      </c>
      <c r="B40" s="48" t="s">
        <v>481</v>
      </c>
      <c r="C40" s="51">
        <v>1452206238</v>
      </c>
      <c r="D40" s="51">
        <v>1555871786</v>
      </c>
      <c r="E40" s="23">
        <v>1714431648</v>
      </c>
      <c r="F40" s="5"/>
    </row>
    <row r="41" spans="1:6" ht="24" customHeight="1">
      <c r="A41" s="21">
        <v>4</v>
      </c>
      <c r="B41" s="48" t="s">
        <v>482</v>
      </c>
      <c r="C41" s="51">
        <v>94315844</v>
      </c>
      <c r="D41" s="51">
        <v>123220701</v>
      </c>
      <c r="E41" s="23">
        <v>122550875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483</v>
      </c>
      <c r="C43" s="173">
        <f>IF(C38=0,0,IF((C46-C47)=0,0,((+C44-C45)/(C46-C47)/C38)))</f>
        <v>1.0132061084527788</v>
      </c>
      <c r="D43" s="173">
        <f>IF(D38=0,0,IF((D46-D47)=0,0,((+D44-D45)/(D46-D47)/D38)))</f>
        <v>1.0156632324237205</v>
      </c>
      <c r="E43" s="173">
        <f>IF(E38=0,0,IF((E46-E47)=0,0,((+E44-E45)/(E46-E47)/E38)))</f>
        <v>1.1412014221935083</v>
      </c>
      <c r="F43" s="5"/>
    </row>
    <row r="44" spans="1:6" ht="24" customHeight="1">
      <c r="A44" s="21">
        <v>6</v>
      </c>
      <c r="B44" s="48" t="s">
        <v>484</v>
      </c>
      <c r="C44" s="51">
        <v>253907296</v>
      </c>
      <c r="D44" s="51">
        <v>272019197</v>
      </c>
      <c r="E44" s="23">
        <v>319383248</v>
      </c>
      <c r="F44" s="5"/>
    </row>
    <row r="45" spans="1:6" ht="24" customHeight="1">
      <c r="A45" s="21">
        <v>7</v>
      </c>
      <c r="B45" s="48" t="s">
        <v>485</v>
      </c>
      <c r="C45" s="51">
        <v>4020691</v>
      </c>
      <c r="D45" s="51">
        <v>3596046</v>
      </c>
      <c r="E45" s="23">
        <v>3031188</v>
      </c>
      <c r="F45" s="5"/>
    </row>
    <row r="46" spans="1:6" ht="24" customHeight="1">
      <c r="A46" s="21">
        <v>8</v>
      </c>
      <c r="B46" s="48" t="s">
        <v>486</v>
      </c>
      <c r="C46" s="51">
        <v>569502301</v>
      </c>
      <c r="D46" s="51">
        <v>597191009</v>
      </c>
      <c r="E46" s="23">
        <v>663586443</v>
      </c>
      <c r="F46" s="5"/>
    </row>
    <row r="47" spans="1:6" ht="24" customHeight="1">
      <c r="A47" s="21">
        <v>9</v>
      </c>
      <c r="B47" s="48" t="s">
        <v>487</v>
      </c>
      <c r="C47" s="51">
        <v>39596682</v>
      </c>
      <c r="D47" s="51">
        <v>45137778</v>
      </c>
      <c r="E47" s="174">
        <v>45723087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488</v>
      </c>
      <c r="C49" s="175">
        <f>IF(C38=0,0,IF(C51=0,0,(C50/C51)/C38))</f>
        <v>0.8881564165037754</v>
      </c>
      <c r="D49" s="175">
        <f>IF(D38=0,0,IF(D51=0,0,(D50/D51)/D38))</f>
        <v>0.8159686878588266</v>
      </c>
      <c r="E49" s="175">
        <f>IF(E38=0,0,IF(E51=0,0,(E50/E51)/E38))</f>
        <v>0.8423323044902853</v>
      </c>
      <c r="F49" s="7"/>
    </row>
    <row r="50" spans="1:6" ht="24" customHeight="1">
      <c r="A50" s="21">
        <v>11</v>
      </c>
      <c r="B50" s="48" t="s">
        <v>489</v>
      </c>
      <c r="C50" s="176">
        <v>268991542</v>
      </c>
      <c r="D50" s="176">
        <v>275088775</v>
      </c>
      <c r="E50" s="176">
        <v>283035628</v>
      </c>
      <c r="F50" s="11"/>
    </row>
    <row r="51" spans="1:6" ht="24" customHeight="1">
      <c r="A51" s="21">
        <v>12</v>
      </c>
      <c r="B51" s="48" t="s">
        <v>490</v>
      </c>
      <c r="C51" s="176">
        <v>650732525</v>
      </c>
      <c r="D51" s="176">
        <v>704222818</v>
      </c>
      <c r="E51" s="176">
        <v>748930861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491</v>
      </c>
      <c r="C53" s="175">
        <f>IF(C38=0,0,IF(C55=0,0,(C54/C55)/C38))</f>
        <v>0.7047426560965777</v>
      </c>
      <c r="D53" s="175">
        <f>IF(D38=0,0,IF(D55=0,0,(D54/D55)/D38))</f>
        <v>0.7589774546271937</v>
      </c>
      <c r="E53" s="175">
        <f>IF(E38=0,0,IF(E55=0,0,(E54/E55)/E38))</f>
        <v>0.7174241031143361</v>
      </c>
      <c r="F53" s="13"/>
    </row>
    <row r="54" spans="1:6" ht="24" customHeight="1">
      <c r="A54" s="21">
        <v>14</v>
      </c>
      <c r="B54" s="48" t="s">
        <v>492</v>
      </c>
      <c r="C54" s="176">
        <v>53468266</v>
      </c>
      <c r="D54" s="176">
        <v>66455454</v>
      </c>
      <c r="E54" s="176">
        <v>71808003</v>
      </c>
      <c r="F54" s="13"/>
    </row>
    <row r="55" spans="1:6" ht="24" customHeight="1">
      <c r="A55" s="21">
        <v>15</v>
      </c>
      <c r="B55" s="48" t="s">
        <v>493</v>
      </c>
      <c r="C55" s="176">
        <v>163011742</v>
      </c>
      <c r="D55" s="176">
        <v>182899480</v>
      </c>
      <c r="E55" s="176">
        <v>223090441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494</v>
      </c>
      <c r="C57" s="53">
        <f>+C60*C38</f>
        <v>22272022.27148108</v>
      </c>
      <c r="D57" s="53">
        <f>+D60*D38</f>
        <v>25355190.059250444</v>
      </c>
      <c r="E57" s="53">
        <f>+E60*E38</f>
        <v>21461664.410751346</v>
      </c>
      <c r="F57" s="13"/>
    </row>
    <row r="58" spans="1:6" ht="24" customHeight="1">
      <c r="A58" s="21">
        <v>17</v>
      </c>
      <c r="B58" s="48" t="s">
        <v>495</v>
      </c>
      <c r="C58" s="51">
        <v>21870985</v>
      </c>
      <c r="D58" s="51">
        <v>22281604</v>
      </c>
      <c r="E58" s="52">
        <v>23984656</v>
      </c>
      <c r="F58" s="28"/>
    </row>
    <row r="59" spans="1:6" ht="24" customHeight="1">
      <c r="A59" s="21">
        <v>18</v>
      </c>
      <c r="B59" s="48" t="s">
        <v>242</v>
      </c>
      <c r="C59" s="51">
        <v>25982437</v>
      </c>
      <c r="D59" s="51">
        <v>30682007</v>
      </c>
      <c r="E59" s="52">
        <v>23850531</v>
      </c>
      <c r="F59" s="28"/>
    </row>
    <row r="60" spans="1:6" ht="24" customHeight="1">
      <c r="A60" s="21">
        <v>19</v>
      </c>
      <c r="B60" s="48" t="s">
        <v>496</v>
      </c>
      <c r="C60" s="51">
        <v>47853422</v>
      </c>
      <c r="D60" s="51">
        <v>52963611</v>
      </c>
      <c r="E60" s="52">
        <v>47835187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497</v>
      </c>
      <c r="C62" s="178">
        <f>IF(C63=0,0,+C57/C63)</f>
        <v>0.030942605060067935</v>
      </c>
      <c r="D62" s="178">
        <f>IF(D63=0,0,+D57/D63)</f>
        <v>0.031542998024265474</v>
      </c>
      <c r="E62" s="178">
        <f>IF(E63=0,0,+E57/E63)</f>
        <v>0.026040088243125873</v>
      </c>
      <c r="F62" s="13"/>
    </row>
    <row r="63" spans="1:6" ht="24" customHeight="1">
      <c r="A63" s="21">
        <v>21</v>
      </c>
      <c r="B63" s="45" t="s">
        <v>480</v>
      </c>
      <c r="C63" s="176">
        <v>719784977</v>
      </c>
      <c r="D63" s="176">
        <v>803829428</v>
      </c>
      <c r="E63" s="176">
        <v>824177868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498</v>
      </c>
      <c r="B65" s="41" t="s">
        <v>499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500</v>
      </c>
      <c r="C67" s="179">
        <f>IF(C69=0,0,C68/C69)</f>
        <v>2.0470124253198514</v>
      </c>
      <c r="D67" s="179">
        <f>IF(D69=0,0,D68/D69)</f>
        <v>1.391175954244541</v>
      </c>
      <c r="E67" s="179">
        <f>IF(E69=0,0,E68/E69)</f>
        <v>1.3534429401210681</v>
      </c>
      <c r="F67" s="28"/>
    </row>
    <row r="68" spans="1:6" ht="24" customHeight="1">
      <c r="A68" s="21">
        <v>2</v>
      </c>
      <c r="B68" s="48" t="s">
        <v>182</v>
      </c>
      <c r="C68" s="180">
        <v>162933217</v>
      </c>
      <c r="D68" s="180">
        <v>162702986</v>
      </c>
      <c r="E68" s="180">
        <v>175407526</v>
      </c>
      <c r="F68" s="28"/>
    </row>
    <row r="69" spans="1:6" ht="24" customHeight="1">
      <c r="A69" s="21">
        <v>3</v>
      </c>
      <c r="B69" s="48" t="s">
        <v>211</v>
      </c>
      <c r="C69" s="180">
        <v>79595617</v>
      </c>
      <c r="D69" s="180">
        <v>116953564</v>
      </c>
      <c r="E69" s="180">
        <v>129600976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501</v>
      </c>
      <c r="C71" s="181">
        <f>IF((C77/365)=0,0,+C74/(C77/365))</f>
        <v>1.1226718670209097</v>
      </c>
      <c r="D71" s="181">
        <f>IF((D77/365)=0,0,+D74/(D77/365))</f>
        <v>5.054368644560418</v>
      </c>
      <c r="E71" s="181">
        <f>IF((E77/365)=0,0,+E74/(E77/365))</f>
        <v>6.502093648596485</v>
      </c>
      <c r="F71" s="28"/>
    </row>
    <row r="72" spans="1:6" ht="24" customHeight="1">
      <c r="A72" s="21">
        <v>5</v>
      </c>
      <c r="B72" s="22" t="s">
        <v>173</v>
      </c>
      <c r="C72" s="182">
        <v>2175179</v>
      </c>
      <c r="D72" s="182">
        <v>10244779</v>
      </c>
      <c r="E72" s="182">
        <v>13957075</v>
      </c>
      <c r="F72" s="28"/>
    </row>
    <row r="73" spans="1:6" ht="24" customHeight="1">
      <c r="A73" s="21">
        <v>6</v>
      </c>
      <c r="B73" s="183" t="s">
        <v>174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502</v>
      </c>
      <c r="C74" s="180">
        <f>+C72+C73</f>
        <v>2175179</v>
      </c>
      <c r="D74" s="180">
        <f>+D72+D73</f>
        <v>10244779</v>
      </c>
      <c r="E74" s="180">
        <f>+E72+E73</f>
        <v>13957075</v>
      </c>
      <c r="F74" s="28"/>
    </row>
    <row r="75" spans="1:6" ht="24" customHeight="1">
      <c r="A75" s="21">
        <v>8</v>
      </c>
      <c r="B75" s="48" t="s">
        <v>480</v>
      </c>
      <c r="C75" s="180">
        <f>+C14</f>
        <v>745010396</v>
      </c>
      <c r="D75" s="180">
        <f>+D14</f>
        <v>779129428</v>
      </c>
      <c r="E75" s="180">
        <f>+E14</f>
        <v>824177868</v>
      </c>
      <c r="F75" s="28"/>
    </row>
    <row r="76" spans="1:6" ht="24" customHeight="1">
      <c r="A76" s="21">
        <v>9</v>
      </c>
      <c r="B76" s="45" t="s">
        <v>503</v>
      </c>
      <c r="C76" s="180">
        <v>37822162</v>
      </c>
      <c r="D76" s="180">
        <v>39305209</v>
      </c>
      <c r="E76" s="180">
        <v>40686788</v>
      </c>
      <c r="F76" s="28"/>
    </row>
    <row r="77" spans="1:6" ht="24" customHeight="1">
      <c r="A77" s="21">
        <v>10</v>
      </c>
      <c r="B77" s="45" t="s">
        <v>504</v>
      </c>
      <c r="C77" s="180">
        <f>+C75-C76</f>
        <v>707188234</v>
      </c>
      <c r="D77" s="180">
        <f>+D75-D76</f>
        <v>739824219</v>
      </c>
      <c r="E77" s="180">
        <f>+E75-E76</f>
        <v>783491080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505</v>
      </c>
      <c r="C79" s="179">
        <f>IF((C84/365)=0,0,+C83/(C84/365))</f>
        <v>70.42874058409484</v>
      </c>
      <c r="D79" s="179">
        <f>IF((D84/365)=0,0,+D83/(D84/365))</f>
        <v>66.4120997025265</v>
      </c>
      <c r="E79" s="179">
        <f>IF((E84/365)=0,0,+E83/(E84/365))</f>
        <v>63.51612728867472</v>
      </c>
      <c r="F79" s="28"/>
    </row>
    <row r="80" spans="1:6" ht="24" customHeight="1">
      <c r="A80" s="21">
        <v>12</v>
      </c>
      <c r="B80" s="188" t="s">
        <v>506</v>
      </c>
      <c r="C80" s="189">
        <v>109603419</v>
      </c>
      <c r="D80" s="189">
        <v>105442656</v>
      </c>
      <c r="E80" s="189">
        <v>115042880</v>
      </c>
      <c r="F80" s="28"/>
    </row>
    <row r="81" spans="1:6" ht="24" customHeight="1">
      <c r="A81" s="21">
        <v>13</v>
      </c>
      <c r="B81" s="188" t="s">
        <v>178</v>
      </c>
      <c r="C81" s="190">
        <v>9548081</v>
      </c>
      <c r="D81" s="190">
        <v>10926483</v>
      </c>
      <c r="E81" s="190">
        <v>6972476</v>
      </c>
      <c r="F81" s="28"/>
    </row>
    <row r="82" spans="1:6" ht="24" customHeight="1">
      <c r="A82" s="21">
        <v>14</v>
      </c>
      <c r="B82" s="188" t="s">
        <v>206</v>
      </c>
      <c r="C82" s="190">
        <v>0</v>
      </c>
      <c r="D82" s="190">
        <v>0</v>
      </c>
      <c r="E82" s="190">
        <v>0</v>
      </c>
      <c r="F82" s="28"/>
    </row>
    <row r="83" spans="1:6" ht="33.75" customHeight="1">
      <c r="A83" s="21">
        <v>15</v>
      </c>
      <c r="B83" s="45" t="s">
        <v>507</v>
      </c>
      <c r="C83" s="191">
        <f>+C80+C81-C82</f>
        <v>119151500</v>
      </c>
      <c r="D83" s="191">
        <f>+D80+D81-D82</f>
        <v>116369139</v>
      </c>
      <c r="E83" s="191">
        <f>+E80+E81-E82</f>
        <v>122015356</v>
      </c>
      <c r="F83" s="28"/>
    </row>
    <row r="84" spans="1:6" ht="24" customHeight="1">
      <c r="A84" s="21">
        <v>16</v>
      </c>
      <c r="B84" s="48" t="s">
        <v>232</v>
      </c>
      <c r="C84" s="180">
        <f>+C11</f>
        <v>617507812</v>
      </c>
      <c r="D84" s="191">
        <f>+D11</f>
        <v>639563211</v>
      </c>
      <c r="E84" s="191">
        <f>+E11</f>
        <v>701170031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508</v>
      </c>
      <c r="C86" s="179">
        <f>IF((C90/365)=0,0,+C87/(C90/365))</f>
        <v>41.0815661350497</v>
      </c>
      <c r="D86" s="179">
        <f>IF((D90/365)=0,0,+D87/(D90/365))</f>
        <v>57.70026144548263</v>
      </c>
      <c r="E86" s="179">
        <f>IF((E90/365)=0,0,+E87/(E90/365))</f>
        <v>60.37638136224857</v>
      </c>
      <c r="F86" s="13"/>
    </row>
    <row r="87" spans="1:6" ht="24" customHeight="1">
      <c r="A87" s="21">
        <v>18</v>
      </c>
      <c r="B87" s="48" t="s">
        <v>211</v>
      </c>
      <c r="C87" s="51">
        <f>+C69</f>
        <v>79595617</v>
      </c>
      <c r="D87" s="51">
        <f>+D69</f>
        <v>116953564</v>
      </c>
      <c r="E87" s="51">
        <f>+E69</f>
        <v>129600976</v>
      </c>
      <c r="F87" s="28"/>
    </row>
    <row r="88" spans="1:6" ht="24" customHeight="1">
      <c r="A88" s="21">
        <v>19</v>
      </c>
      <c r="B88" s="48" t="s">
        <v>480</v>
      </c>
      <c r="C88" s="51">
        <f aca="true" t="shared" si="0" ref="C88:E89">+C75</f>
        <v>745010396</v>
      </c>
      <c r="D88" s="51">
        <f t="shared" si="0"/>
        <v>779129428</v>
      </c>
      <c r="E88" s="51">
        <f t="shared" si="0"/>
        <v>824177868</v>
      </c>
      <c r="F88" s="28"/>
    </row>
    <row r="89" spans="1:6" ht="24" customHeight="1">
      <c r="A89" s="21">
        <v>20</v>
      </c>
      <c r="B89" s="48" t="s">
        <v>503</v>
      </c>
      <c r="C89" s="52">
        <f t="shared" si="0"/>
        <v>37822162</v>
      </c>
      <c r="D89" s="52">
        <f t="shared" si="0"/>
        <v>39305209</v>
      </c>
      <c r="E89" s="52">
        <f t="shared" si="0"/>
        <v>40686788</v>
      </c>
      <c r="F89" s="28"/>
    </row>
    <row r="90" spans="1:6" ht="24" customHeight="1">
      <c r="A90" s="21">
        <v>21</v>
      </c>
      <c r="B90" s="48" t="s">
        <v>509</v>
      </c>
      <c r="C90" s="51">
        <f>+C88-C89</f>
        <v>707188234</v>
      </c>
      <c r="D90" s="51">
        <f>+D88-D89</f>
        <v>739824219</v>
      </c>
      <c r="E90" s="51">
        <f>+E88-E89</f>
        <v>783491080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510</v>
      </c>
      <c r="B92" s="41" t="s">
        <v>511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512</v>
      </c>
      <c r="C94" s="192">
        <f>IF(C96=0,0,(C95/C96)*100)</f>
        <v>80.85266994982894</v>
      </c>
      <c r="D94" s="192">
        <f>IF(D96=0,0,(D95/D96)*100)</f>
        <v>73.1394768747254</v>
      </c>
      <c r="E94" s="192">
        <f>IF(E96=0,0,(E95/E96)*100)</f>
        <v>49.277458817080856</v>
      </c>
      <c r="F94" s="28"/>
    </row>
    <row r="95" spans="1:6" ht="24" customHeight="1">
      <c r="A95" s="21">
        <v>2</v>
      </c>
      <c r="B95" s="48" t="s">
        <v>224</v>
      </c>
      <c r="C95" s="51">
        <f>+C32</f>
        <v>884570192</v>
      </c>
      <c r="D95" s="51">
        <f>+D32</f>
        <v>648135482</v>
      </c>
      <c r="E95" s="51">
        <f>+E32</f>
        <v>403988398</v>
      </c>
      <c r="F95" s="28"/>
    </row>
    <row r="96" spans="1:6" ht="24" customHeight="1">
      <c r="A96" s="21">
        <v>3</v>
      </c>
      <c r="B96" s="48" t="s">
        <v>200</v>
      </c>
      <c r="C96" s="51">
        <v>1094051925</v>
      </c>
      <c r="D96" s="51">
        <v>886163683</v>
      </c>
      <c r="E96" s="51">
        <v>819823927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513</v>
      </c>
      <c r="C98" s="192">
        <f>IF(C104=0,0,(C101/C104)*100)</f>
        <v>43.018844604077586</v>
      </c>
      <c r="D98" s="192">
        <f>IF(D104=0,0,(D101/D104)*100)</f>
        <v>-0.48830044629633124</v>
      </c>
      <c r="E98" s="192">
        <f>IF(E104=0,0,(E101/E104)*100)</f>
        <v>20.762093176467243</v>
      </c>
      <c r="F98" s="28"/>
    </row>
    <row r="99" spans="1:6" ht="24" customHeight="1">
      <c r="A99" s="21">
        <v>5</v>
      </c>
      <c r="B99" s="48" t="s">
        <v>514</v>
      </c>
      <c r="C99" s="51">
        <f>+C28</f>
        <v>16181810</v>
      </c>
      <c r="D99" s="51">
        <f>+D28</f>
        <v>-40100619</v>
      </c>
      <c r="E99" s="51">
        <f>+E28</f>
        <v>-4240807</v>
      </c>
      <c r="F99" s="28"/>
    </row>
    <row r="100" spans="1:6" ht="24" customHeight="1">
      <c r="A100" s="21">
        <v>6</v>
      </c>
      <c r="B100" s="48" t="s">
        <v>503</v>
      </c>
      <c r="C100" s="52">
        <f>+C76</f>
        <v>37822162</v>
      </c>
      <c r="D100" s="52">
        <f>+D76</f>
        <v>39305209</v>
      </c>
      <c r="E100" s="52">
        <f>+E76</f>
        <v>40686788</v>
      </c>
      <c r="F100" s="28"/>
    </row>
    <row r="101" spans="1:6" ht="24" customHeight="1">
      <c r="A101" s="21">
        <v>7</v>
      </c>
      <c r="B101" s="48" t="s">
        <v>515</v>
      </c>
      <c r="C101" s="51">
        <f>+C99+C100</f>
        <v>54003972</v>
      </c>
      <c r="D101" s="51">
        <f>+D99+D100</f>
        <v>-795410</v>
      </c>
      <c r="E101" s="51">
        <f>+E99+E100</f>
        <v>36445981</v>
      </c>
      <c r="F101" s="28"/>
    </row>
    <row r="102" spans="1:6" ht="24" customHeight="1">
      <c r="A102" s="21">
        <v>8</v>
      </c>
      <c r="B102" s="48" t="s">
        <v>211</v>
      </c>
      <c r="C102" s="180">
        <f>+C69</f>
        <v>79595617</v>
      </c>
      <c r="D102" s="180">
        <f>+D69</f>
        <v>116953564</v>
      </c>
      <c r="E102" s="180">
        <f>+E69</f>
        <v>129600976</v>
      </c>
      <c r="F102" s="28"/>
    </row>
    <row r="103" spans="1:6" ht="24" customHeight="1">
      <c r="A103" s="21">
        <v>9</v>
      </c>
      <c r="B103" s="48" t="s">
        <v>215</v>
      </c>
      <c r="C103" s="194">
        <v>45940000</v>
      </c>
      <c r="D103" s="194">
        <v>45940000</v>
      </c>
      <c r="E103" s="194">
        <v>45940000</v>
      </c>
      <c r="F103" s="28"/>
    </row>
    <row r="104" spans="1:6" ht="24" customHeight="1">
      <c r="A104" s="21">
        <v>10</v>
      </c>
      <c r="B104" s="195" t="s">
        <v>516</v>
      </c>
      <c r="C104" s="180">
        <f>+C102+C103</f>
        <v>125535617</v>
      </c>
      <c r="D104" s="180">
        <f>+D102+D103</f>
        <v>162893564</v>
      </c>
      <c r="E104" s="180">
        <f>+E102+E103</f>
        <v>175540976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517</v>
      </c>
      <c r="C106" s="197">
        <f>IF(C109=0,0,(C107/C109)*100)</f>
        <v>4.937076497921906</v>
      </c>
      <c r="D106" s="197">
        <f>IF(D109=0,0,(D107/D109)*100)</f>
        <v>6.618876648347016</v>
      </c>
      <c r="E106" s="197">
        <f>IF(E109=0,0,(E107/E109)*100)</f>
        <v>10.210513540423381</v>
      </c>
      <c r="F106" s="28"/>
    </row>
    <row r="107" spans="1:6" ht="24" customHeight="1">
      <c r="A107" s="17">
        <v>12</v>
      </c>
      <c r="B107" s="48" t="s">
        <v>215</v>
      </c>
      <c r="C107" s="180">
        <f>+C103</f>
        <v>45940000</v>
      </c>
      <c r="D107" s="180">
        <f>+D103</f>
        <v>45940000</v>
      </c>
      <c r="E107" s="180">
        <f>+E103</f>
        <v>45940000</v>
      </c>
      <c r="F107" s="28"/>
    </row>
    <row r="108" spans="1:6" ht="24" customHeight="1">
      <c r="A108" s="17">
        <v>13</v>
      </c>
      <c r="B108" s="48" t="s">
        <v>224</v>
      </c>
      <c r="C108" s="180">
        <f>+C32</f>
        <v>884570192</v>
      </c>
      <c r="D108" s="180">
        <f>+D32</f>
        <v>648135482</v>
      </c>
      <c r="E108" s="180">
        <f>+E32</f>
        <v>403988398</v>
      </c>
      <c r="F108" s="28"/>
    </row>
    <row r="109" spans="1:6" ht="24" customHeight="1">
      <c r="A109" s="17">
        <v>14</v>
      </c>
      <c r="B109" s="48" t="s">
        <v>518</v>
      </c>
      <c r="C109" s="180">
        <f>+C107+C108</f>
        <v>930510192</v>
      </c>
      <c r="D109" s="180">
        <f>+D107+D108</f>
        <v>694075482</v>
      </c>
      <c r="E109" s="180">
        <f>+E107+E108</f>
        <v>449928398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519</v>
      </c>
      <c r="C111" s="197">
        <f>IF((+C113+C115)=0,0,((+C112+C113+C114)/(+C113+C115)))</f>
        <v>26.040222303725756</v>
      </c>
      <c r="D111" s="197">
        <f>IF((+D113+D115)=0,0,((+D112+D113+D114)/(+D113+D115)))</f>
        <v>0.48754935834950963</v>
      </c>
      <c r="E111" s="197">
        <f>IF((+E113+E115)=0,0,((+E112+E113+E114)/(+E113+E115)))</f>
        <v>12.474570051412368</v>
      </c>
    </row>
    <row r="112" spans="1:6" ht="24" customHeight="1">
      <c r="A112" s="17">
        <v>16</v>
      </c>
      <c r="B112" s="48" t="s">
        <v>520</v>
      </c>
      <c r="C112" s="180">
        <f>+C17</f>
        <v>16181810</v>
      </c>
      <c r="D112" s="180">
        <f>+D17</f>
        <v>-40100619</v>
      </c>
      <c r="E112" s="180">
        <f>+E17</f>
        <v>-4240807</v>
      </c>
      <c r="F112" s="28"/>
    </row>
    <row r="113" spans="1:6" ht="24" customHeight="1">
      <c r="A113" s="17">
        <v>17</v>
      </c>
      <c r="B113" s="48" t="s">
        <v>342</v>
      </c>
      <c r="C113" s="180">
        <v>2156689</v>
      </c>
      <c r="D113" s="180">
        <v>1552169</v>
      </c>
      <c r="E113" s="180">
        <v>607197</v>
      </c>
      <c r="F113" s="28"/>
    </row>
    <row r="114" spans="1:6" ht="24" customHeight="1">
      <c r="A114" s="17">
        <v>18</v>
      </c>
      <c r="B114" s="48" t="s">
        <v>521</v>
      </c>
      <c r="C114" s="180">
        <v>37822162</v>
      </c>
      <c r="D114" s="180">
        <v>39305209</v>
      </c>
      <c r="E114" s="180">
        <v>40686788</v>
      </c>
      <c r="F114" s="28"/>
    </row>
    <row r="115" spans="1:6" ht="24" customHeight="1">
      <c r="A115" s="17">
        <v>19</v>
      </c>
      <c r="B115" s="48" t="s">
        <v>259</v>
      </c>
      <c r="C115" s="180">
        <v>0</v>
      </c>
      <c r="D115" s="180">
        <v>0</v>
      </c>
      <c r="E115" s="180">
        <v>2363100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522</v>
      </c>
      <c r="B117" s="30" t="s">
        <v>523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524</v>
      </c>
      <c r="C119" s="197">
        <f>IF(+C121=0,0,(+C120)/(+C121))</f>
        <v>11.48672915630788</v>
      </c>
      <c r="D119" s="197">
        <f>IF(+D121=0,0,(+D120)/(+D121))</f>
        <v>12.027388481765865</v>
      </c>
      <c r="E119" s="197">
        <f>IF(+E121=0,0,(+E120)/(+E121))</f>
        <v>12.591850135724648</v>
      </c>
    </row>
    <row r="120" spans="1:6" ht="24" customHeight="1">
      <c r="A120" s="17">
        <v>21</v>
      </c>
      <c r="B120" s="48" t="s">
        <v>525</v>
      </c>
      <c r="C120" s="180">
        <v>434452931</v>
      </c>
      <c r="D120" s="180">
        <v>472739018</v>
      </c>
      <c r="E120" s="180">
        <v>512321937</v>
      </c>
      <c r="F120" s="28"/>
    </row>
    <row r="121" spans="1:6" ht="24" customHeight="1">
      <c r="A121" s="17">
        <v>22</v>
      </c>
      <c r="B121" s="48" t="s">
        <v>521</v>
      </c>
      <c r="C121" s="180">
        <v>37822162</v>
      </c>
      <c r="D121" s="180">
        <v>39305209</v>
      </c>
      <c r="E121" s="180">
        <v>40686788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526</v>
      </c>
      <c r="B123" s="30" t="s">
        <v>527</v>
      </c>
      <c r="C123" s="27"/>
      <c r="D123" s="27"/>
      <c r="E123" s="53"/>
    </row>
    <row r="124" spans="1:5" ht="24" customHeight="1">
      <c r="A124" s="44">
        <v>1</v>
      </c>
      <c r="B124" s="48" t="s">
        <v>528</v>
      </c>
      <c r="C124" s="198">
        <v>211887</v>
      </c>
      <c r="D124" s="198">
        <v>212013</v>
      </c>
      <c r="E124" s="198">
        <v>215958</v>
      </c>
    </row>
    <row r="125" spans="1:5" ht="24" customHeight="1">
      <c r="A125" s="44">
        <v>2</v>
      </c>
      <c r="B125" s="48" t="s">
        <v>529</v>
      </c>
      <c r="C125" s="198">
        <v>39621</v>
      </c>
      <c r="D125" s="198">
        <v>39840</v>
      </c>
      <c r="E125" s="198">
        <v>41188</v>
      </c>
    </row>
    <row r="126" spans="1:5" ht="24" customHeight="1">
      <c r="A126" s="44">
        <v>3</v>
      </c>
      <c r="B126" s="48" t="s">
        <v>530</v>
      </c>
      <c r="C126" s="199">
        <f>IF(C125=0,0,C124/C125)</f>
        <v>5.347845839327629</v>
      </c>
      <c r="D126" s="199">
        <f>IF(D125=0,0,D124/D125)</f>
        <v>5.321611445783133</v>
      </c>
      <c r="E126" s="199">
        <f>IF(E125=0,0,E124/E125)</f>
        <v>5.243226182383219</v>
      </c>
    </row>
    <row r="127" spans="1:5" ht="24" customHeight="1">
      <c r="A127" s="44">
        <v>4</v>
      </c>
      <c r="B127" s="48" t="s">
        <v>531</v>
      </c>
      <c r="C127" s="198">
        <v>749</v>
      </c>
      <c r="D127" s="198">
        <v>583</v>
      </c>
      <c r="E127" s="198">
        <v>595</v>
      </c>
    </row>
    <row r="128" spans="1:8" ht="24" customHeight="1">
      <c r="A128" s="44">
        <v>5</v>
      </c>
      <c r="B128" s="48" t="s">
        <v>532</v>
      </c>
      <c r="C128" s="198">
        <v>0</v>
      </c>
      <c r="D128" s="198">
        <v>0</v>
      </c>
      <c r="E128" s="198">
        <v>752</v>
      </c>
      <c r="G128" s="6"/>
      <c r="H128" s="12"/>
    </row>
    <row r="129" spans="1:8" ht="24" customHeight="1">
      <c r="A129" s="44">
        <v>6</v>
      </c>
      <c r="B129" s="48" t="s">
        <v>533</v>
      </c>
      <c r="C129" s="198">
        <v>867</v>
      </c>
      <c r="D129" s="198">
        <v>749</v>
      </c>
      <c r="E129" s="198">
        <v>867</v>
      </c>
      <c r="G129" s="6"/>
      <c r="H129" s="12"/>
    </row>
    <row r="130" spans="1:5" ht="24" customHeight="1">
      <c r="A130" s="44">
        <v>6</v>
      </c>
      <c r="B130" s="48" t="s">
        <v>534</v>
      </c>
      <c r="C130" s="171">
        <v>0.775</v>
      </c>
      <c r="D130" s="171">
        <v>0.9963</v>
      </c>
      <c r="E130" s="171">
        <v>0.9943</v>
      </c>
    </row>
    <row r="131" spans="1:5" ht="24" customHeight="1">
      <c r="A131" s="44">
        <v>7</v>
      </c>
      <c r="B131" s="48" t="s">
        <v>535</v>
      </c>
      <c r="C131" s="171">
        <v>0.6695</v>
      </c>
      <c r="D131" s="171">
        <v>0.7755</v>
      </c>
      <c r="E131" s="171">
        <v>0.7867</v>
      </c>
    </row>
    <row r="132" spans="1:5" ht="24" customHeight="1">
      <c r="A132" s="44">
        <v>8</v>
      </c>
      <c r="B132" s="48" t="s">
        <v>536</v>
      </c>
      <c r="C132" s="199">
        <v>5207</v>
      </c>
      <c r="D132" s="199">
        <v>5331.3</v>
      </c>
      <c r="E132" s="199">
        <v>5396.3</v>
      </c>
    </row>
    <row r="133" ht="24" customHeight="1">
      <c r="B133" s="55"/>
    </row>
    <row r="134" spans="1:6" ht="19.5" customHeight="1">
      <c r="A134" s="200" t="s">
        <v>169</v>
      </c>
      <c r="B134" s="30" t="s">
        <v>537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538</v>
      </c>
      <c r="C135" s="203">
        <f>IF(C149=0,0,C143/C149)</f>
        <v>0.36489694447931437</v>
      </c>
      <c r="D135" s="203">
        <f>IF(D149=0,0,D143/D149)</f>
        <v>0.3548192312293784</v>
      </c>
      <c r="E135" s="203">
        <f>IF(E149=0,0,E143/E149)</f>
        <v>0.36038961175313067</v>
      </c>
      <c r="G135" s="6"/>
    </row>
    <row r="136" spans="1:5" ht="19.5" customHeight="1">
      <c r="A136" s="202">
        <v>2</v>
      </c>
      <c r="B136" s="195" t="s">
        <v>539</v>
      </c>
      <c r="C136" s="203">
        <f>IF(C149=0,0,C144/C149)</f>
        <v>0.4480992492472684</v>
      </c>
      <c r="D136" s="203">
        <f>IF(D149=0,0,D144/D149)</f>
        <v>0.45262265460220896</v>
      </c>
      <c r="E136" s="203">
        <f>IF(E149=0,0,E144/E149)</f>
        <v>0.4368391483403134</v>
      </c>
    </row>
    <row r="137" spans="1:7" ht="19.5" customHeight="1">
      <c r="A137" s="202">
        <v>3</v>
      </c>
      <c r="B137" s="195" t="s">
        <v>540</v>
      </c>
      <c r="C137" s="203">
        <f>IF(C149=0,0,C145/C149)</f>
        <v>0.11225109611462776</v>
      </c>
      <c r="D137" s="203">
        <f>IF(D149=0,0,D145/D149)</f>
        <v>0.11755433940364543</v>
      </c>
      <c r="E137" s="203">
        <f>IF(E149=0,0,E145/E149)</f>
        <v>0.13012501330120102</v>
      </c>
      <c r="G137" s="6"/>
    </row>
    <row r="138" spans="1:7" ht="19.5" customHeight="1">
      <c r="A138" s="202">
        <v>4</v>
      </c>
      <c r="B138" s="195" t="s">
        <v>541</v>
      </c>
      <c r="C138" s="203">
        <f>IF(C149=0,0,C146/C149)</f>
        <v>0.0435795483754147</v>
      </c>
      <c r="D138" s="203">
        <f>IF(D149=0,0,D146/D149)</f>
        <v>0.04229568566776491</v>
      </c>
      <c r="E138" s="203">
        <f>IF(E149=0,0,E146/E149)</f>
        <v>0.0411553701089867</v>
      </c>
      <c r="G138" s="6"/>
    </row>
    <row r="139" spans="1:5" ht="19.5" customHeight="1">
      <c r="A139" s="202">
        <v>5</v>
      </c>
      <c r="B139" s="195" t="s">
        <v>542</v>
      </c>
      <c r="C139" s="203">
        <f>IF(C149=0,0,C147/C149)</f>
        <v>0.02726656928187634</v>
      </c>
      <c r="D139" s="203">
        <f>IF(D149=0,0,D147/D149)</f>
        <v>0.029011245274936814</v>
      </c>
      <c r="E139" s="203">
        <f>IF(E149=0,0,E147/E149)</f>
        <v>0.026669530426213877</v>
      </c>
    </row>
    <row r="140" spans="1:5" ht="19.5" customHeight="1">
      <c r="A140" s="202">
        <v>6</v>
      </c>
      <c r="B140" s="195" t="s">
        <v>543</v>
      </c>
      <c r="C140" s="203">
        <f>IF(C149=0,0,C148/C149)</f>
        <v>0.0039065925014984</v>
      </c>
      <c r="D140" s="203">
        <f>IF(D149=0,0,D148/D149)</f>
        <v>0.0036968438220654257</v>
      </c>
      <c r="E140" s="203">
        <f>IF(E149=0,0,E148/E149)</f>
        <v>0.0048213260701543</v>
      </c>
    </row>
    <row r="141" spans="1:5" ht="19.5" customHeight="1">
      <c r="A141" s="202">
        <v>7</v>
      </c>
      <c r="B141" s="195" t="s">
        <v>544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545</v>
      </c>
      <c r="C143" s="204">
        <f>+C46-C147</f>
        <v>529905619</v>
      </c>
      <c r="D143" s="205">
        <f>+D46-D147</f>
        <v>552053231</v>
      </c>
      <c r="E143" s="205">
        <f>+E46-E147</f>
        <v>617863356</v>
      </c>
    </row>
    <row r="144" spans="1:5" ht="19.5" customHeight="1">
      <c r="A144" s="202">
        <v>9</v>
      </c>
      <c r="B144" s="201" t="s">
        <v>546</v>
      </c>
      <c r="C144" s="206">
        <f>+C51</f>
        <v>650732525</v>
      </c>
      <c r="D144" s="205">
        <f>+D51</f>
        <v>704222818</v>
      </c>
      <c r="E144" s="205">
        <f>+E51</f>
        <v>748930861</v>
      </c>
    </row>
    <row r="145" spans="1:5" ht="19.5" customHeight="1">
      <c r="A145" s="202">
        <v>10</v>
      </c>
      <c r="B145" s="201" t="s">
        <v>547</v>
      </c>
      <c r="C145" s="206">
        <f>+C55</f>
        <v>163011742</v>
      </c>
      <c r="D145" s="205">
        <f>+D55</f>
        <v>182899480</v>
      </c>
      <c r="E145" s="205">
        <f>+E55</f>
        <v>223090441</v>
      </c>
    </row>
    <row r="146" spans="1:5" ht="19.5" customHeight="1">
      <c r="A146" s="202">
        <v>11</v>
      </c>
      <c r="B146" s="201" t="s">
        <v>548</v>
      </c>
      <c r="C146" s="204">
        <v>63286492</v>
      </c>
      <c r="D146" s="205">
        <v>65806664</v>
      </c>
      <c r="E146" s="205">
        <v>70558069</v>
      </c>
    </row>
    <row r="147" spans="1:5" ht="19.5" customHeight="1">
      <c r="A147" s="202">
        <v>12</v>
      </c>
      <c r="B147" s="201" t="s">
        <v>549</v>
      </c>
      <c r="C147" s="206">
        <f>+C47</f>
        <v>39596682</v>
      </c>
      <c r="D147" s="205">
        <f>+D47</f>
        <v>45137778</v>
      </c>
      <c r="E147" s="205">
        <f>+E47</f>
        <v>45723087</v>
      </c>
    </row>
    <row r="148" spans="1:5" ht="19.5" customHeight="1">
      <c r="A148" s="202">
        <v>13</v>
      </c>
      <c r="B148" s="201" t="s">
        <v>550</v>
      </c>
      <c r="C148" s="206">
        <v>5673178</v>
      </c>
      <c r="D148" s="205">
        <v>5751815</v>
      </c>
      <c r="E148" s="205">
        <v>8265834</v>
      </c>
    </row>
    <row r="149" spans="1:5" ht="19.5" customHeight="1">
      <c r="A149" s="202">
        <v>14</v>
      </c>
      <c r="B149" s="201" t="s">
        <v>551</v>
      </c>
      <c r="C149" s="204">
        <f>SUM(C143:C148)</f>
        <v>1452206238</v>
      </c>
      <c r="D149" s="205">
        <f>SUM(D143:D148)</f>
        <v>1555871786</v>
      </c>
      <c r="E149" s="205">
        <f>SUM(E143:E148)</f>
        <v>1714431648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552</v>
      </c>
      <c r="B151" s="30" t="s">
        <v>553</v>
      </c>
      <c r="C151" s="201"/>
      <c r="D151" s="201"/>
      <c r="E151" s="201"/>
    </row>
    <row r="152" spans="1:5" ht="19.5" customHeight="1">
      <c r="A152" s="202">
        <v>1</v>
      </c>
      <c r="B152" s="195" t="s">
        <v>554</v>
      </c>
      <c r="C152" s="203">
        <f>IF(C166=0,0,C160/C166)</f>
        <v>0.4194163133020694</v>
      </c>
      <c r="D152" s="203">
        <f>IF(D166=0,0,D160/D166)</f>
        <v>0.42668069104267603</v>
      </c>
      <c r="E152" s="203">
        <f>IF(E166=0,0,E160/E166)</f>
        <v>0.45946738524428715</v>
      </c>
    </row>
    <row r="153" spans="1:5" ht="19.5" customHeight="1">
      <c r="A153" s="202">
        <v>2</v>
      </c>
      <c r="B153" s="195" t="s">
        <v>555</v>
      </c>
      <c r="C153" s="203">
        <f>IF(C166=0,0,C161/C166)</f>
        <v>0.4514825468739261</v>
      </c>
      <c r="D153" s="203">
        <f>IF(D166=0,0,D161/D166)</f>
        <v>0.4372762490038843</v>
      </c>
      <c r="E153" s="203">
        <f>IF(E166=0,0,E161/E166)</f>
        <v>0.4110788465487936</v>
      </c>
    </row>
    <row r="154" spans="1:5" ht="19.5" customHeight="1">
      <c r="A154" s="202">
        <v>3</v>
      </c>
      <c r="B154" s="195" t="s">
        <v>556</v>
      </c>
      <c r="C154" s="203">
        <f>IF(C166=0,0,C162/C166)</f>
        <v>0.08974255744670422</v>
      </c>
      <c r="D154" s="203">
        <f>IF(D166=0,0,D162/D166)</f>
        <v>0.10563641373941986</v>
      </c>
      <c r="E154" s="203">
        <f>IF(E166=0,0,E162/E166)</f>
        <v>0.10429341088540384</v>
      </c>
    </row>
    <row r="155" spans="1:7" ht="19.5" customHeight="1">
      <c r="A155" s="202">
        <v>4</v>
      </c>
      <c r="B155" s="195" t="s">
        <v>557</v>
      </c>
      <c r="C155" s="203">
        <f>IF(C166=0,0,C163/C166)</f>
        <v>0.025221403638486035</v>
      </c>
      <c r="D155" s="203">
        <f>IF(D166=0,0,D163/D166)</f>
        <v>0.02002654500715838</v>
      </c>
      <c r="E155" s="203">
        <f>IF(E166=0,0,E163/E166)</f>
        <v>0.017214809866481013</v>
      </c>
      <c r="G155" s="6"/>
    </row>
    <row r="156" spans="1:5" ht="19.5" customHeight="1">
      <c r="A156" s="202">
        <v>5</v>
      </c>
      <c r="B156" s="195" t="s">
        <v>558</v>
      </c>
      <c r="C156" s="203">
        <f>IF(C166=0,0,C164/C166)</f>
        <v>0.00674843453952568</v>
      </c>
      <c r="D156" s="203">
        <f>IF(D166=0,0,D164/D166)</f>
        <v>0.005716211089039973</v>
      </c>
      <c r="E156" s="203">
        <f>IF(E166=0,0,E164/E166)</f>
        <v>0.004402474965846153</v>
      </c>
    </row>
    <row r="157" spans="1:5" ht="19.5" customHeight="1">
      <c r="A157" s="202">
        <v>6</v>
      </c>
      <c r="B157" s="195" t="s">
        <v>559</v>
      </c>
      <c r="C157" s="203">
        <f>IF(C166=0,0,C165/C166)</f>
        <v>0.007388744199288594</v>
      </c>
      <c r="D157" s="203">
        <f>IF(D166=0,0,D165/D166)</f>
        <v>0.004663890117821462</v>
      </c>
      <c r="E157" s="203">
        <f>IF(E166=0,0,E165/E166)</f>
        <v>0.0035430724891882697</v>
      </c>
    </row>
    <row r="158" spans="1:5" ht="19.5" customHeight="1">
      <c r="A158" s="202">
        <v>7</v>
      </c>
      <c r="B158" s="195" t="s">
        <v>560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561</v>
      </c>
      <c r="C160" s="207">
        <f>+C44-C164</f>
        <v>249886605</v>
      </c>
      <c r="D160" s="208">
        <f>+D44-D164</f>
        <v>268423151</v>
      </c>
      <c r="E160" s="208">
        <f>+E44-E164</f>
        <v>316352060</v>
      </c>
    </row>
    <row r="161" spans="1:5" ht="19.5" customHeight="1">
      <c r="A161" s="202">
        <v>9</v>
      </c>
      <c r="B161" s="201" t="s">
        <v>562</v>
      </c>
      <c r="C161" s="209">
        <f>+C50</f>
        <v>268991542</v>
      </c>
      <c r="D161" s="208">
        <f>+D50</f>
        <v>275088775</v>
      </c>
      <c r="E161" s="208">
        <f>+E50</f>
        <v>283035628</v>
      </c>
    </row>
    <row r="162" spans="1:5" ht="19.5" customHeight="1">
      <c r="A162" s="202">
        <v>10</v>
      </c>
      <c r="B162" s="201" t="s">
        <v>563</v>
      </c>
      <c r="C162" s="209">
        <f>+C54</f>
        <v>53468266</v>
      </c>
      <c r="D162" s="208">
        <f>+D54</f>
        <v>66455454</v>
      </c>
      <c r="E162" s="208">
        <f>+E54</f>
        <v>71808003</v>
      </c>
    </row>
    <row r="163" spans="1:5" ht="19.5" customHeight="1">
      <c r="A163" s="202">
        <v>11</v>
      </c>
      <c r="B163" s="201" t="s">
        <v>564</v>
      </c>
      <c r="C163" s="207">
        <v>15026814</v>
      </c>
      <c r="D163" s="208">
        <v>12598621</v>
      </c>
      <c r="E163" s="208">
        <v>11852725</v>
      </c>
    </row>
    <row r="164" spans="1:5" ht="19.5" customHeight="1">
      <c r="A164" s="202">
        <v>12</v>
      </c>
      <c r="B164" s="201" t="s">
        <v>565</v>
      </c>
      <c r="C164" s="209">
        <f>+C45</f>
        <v>4020691</v>
      </c>
      <c r="D164" s="208">
        <f>+D45</f>
        <v>3596046</v>
      </c>
      <c r="E164" s="208">
        <f>+E45</f>
        <v>3031188</v>
      </c>
    </row>
    <row r="165" spans="1:5" ht="19.5" customHeight="1">
      <c r="A165" s="202">
        <v>13</v>
      </c>
      <c r="B165" s="201" t="s">
        <v>566</v>
      </c>
      <c r="C165" s="209">
        <v>4402185</v>
      </c>
      <c r="D165" s="208">
        <v>2934035</v>
      </c>
      <c r="E165" s="208">
        <v>2439473</v>
      </c>
    </row>
    <row r="166" spans="1:5" ht="19.5" customHeight="1">
      <c r="A166" s="202">
        <v>14</v>
      </c>
      <c r="B166" s="201" t="s">
        <v>567</v>
      </c>
      <c r="C166" s="207">
        <f>SUM(C160:C165)</f>
        <v>595796103</v>
      </c>
      <c r="D166" s="208">
        <f>SUM(D160:D165)</f>
        <v>629096082</v>
      </c>
      <c r="E166" s="208">
        <f>SUM(E160:E165)</f>
        <v>688519077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568</v>
      </c>
      <c r="B168" s="30" t="s">
        <v>529</v>
      </c>
      <c r="C168" s="201"/>
      <c r="D168" s="201"/>
      <c r="E168" s="201"/>
    </row>
    <row r="169" spans="1:5" ht="19.5" customHeight="1">
      <c r="A169" s="202">
        <v>1</v>
      </c>
      <c r="B169" s="201" t="s">
        <v>569</v>
      </c>
      <c r="C169" s="198">
        <v>16407</v>
      </c>
      <c r="D169" s="198">
        <v>16218</v>
      </c>
      <c r="E169" s="198">
        <v>16639</v>
      </c>
    </row>
    <row r="170" spans="1:5" ht="19.5" customHeight="1">
      <c r="A170" s="202">
        <v>2</v>
      </c>
      <c r="B170" s="201" t="s">
        <v>570</v>
      </c>
      <c r="C170" s="198">
        <v>15219</v>
      </c>
      <c r="D170" s="198">
        <v>15288</v>
      </c>
      <c r="E170" s="198">
        <v>15533</v>
      </c>
    </row>
    <row r="171" spans="1:5" ht="19.5" customHeight="1">
      <c r="A171" s="202">
        <v>3</v>
      </c>
      <c r="B171" s="201" t="s">
        <v>571</v>
      </c>
      <c r="C171" s="198">
        <v>7859</v>
      </c>
      <c r="D171" s="198">
        <v>8174</v>
      </c>
      <c r="E171" s="198">
        <v>8830</v>
      </c>
    </row>
    <row r="172" spans="1:5" ht="19.5" customHeight="1">
      <c r="A172" s="202">
        <v>4</v>
      </c>
      <c r="B172" s="201" t="s">
        <v>572</v>
      </c>
      <c r="C172" s="198">
        <v>5940</v>
      </c>
      <c r="D172" s="198">
        <v>6256</v>
      </c>
      <c r="E172" s="198">
        <v>6942</v>
      </c>
    </row>
    <row r="173" spans="1:5" ht="19.5" customHeight="1">
      <c r="A173" s="202">
        <v>5</v>
      </c>
      <c r="B173" s="201" t="s">
        <v>573</v>
      </c>
      <c r="C173" s="198">
        <v>1919</v>
      </c>
      <c r="D173" s="198">
        <v>1918</v>
      </c>
      <c r="E173" s="198">
        <v>1888</v>
      </c>
    </row>
    <row r="174" spans="1:5" ht="19.5" customHeight="1">
      <c r="A174" s="202">
        <v>6</v>
      </c>
      <c r="B174" s="201" t="s">
        <v>574</v>
      </c>
      <c r="C174" s="198">
        <v>136</v>
      </c>
      <c r="D174" s="198">
        <v>160</v>
      </c>
      <c r="E174" s="198">
        <v>186</v>
      </c>
    </row>
    <row r="175" spans="1:5" ht="19.5" customHeight="1">
      <c r="A175" s="202">
        <v>7</v>
      </c>
      <c r="B175" s="201" t="s">
        <v>575</v>
      </c>
      <c r="C175" s="198">
        <v>500</v>
      </c>
      <c r="D175" s="198">
        <v>664</v>
      </c>
      <c r="E175" s="198">
        <v>694</v>
      </c>
    </row>
    <row r="176" spans="1:5" ht="19.5" customHeight="1">
      <c r="A176" s="202">
        <v>8</v>
      </c>
      <c r="B176" s="201" t="s">
        <v>576</v>
      </c>
      <c r="C176" s="198">
        <f>+C169+C170+C171+C174</f>
        <v>39621</v>
      </c>
      <c r="D176" s="198">
        <f>+D169+D170+D171+D174</f>
        <v>39840</v>
      </c>
      <c r="E176" s="198">
        <f>+E169+E170+E171+E174</f>
        <v>41188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577</v>
      </c>
      <c r="B178" s="30" t="s">
        <v>578</v>
      </c>
      <c r="C178" s="201"/>
      <c r="D178" s="201"/>
      <c r="E178" s="201"/>
    </row>
    <row r="179" spans="1:5" ht="19.5" customHeight="1">
      <c r="A179" s="202">
        <v>1</v>
      </c>
      <c r="B179" s="201" t="s">
        <v>569</v>
      </c>
      <c r="C179" s="210">
        <v>1.3179</v>
      </c>
      <c r="D179" s="210">
        <v>1.3011</v>
      </c>
      <c r="E179" s="210">
        <v>1.3378</v>
      </c>
    </row>
    <row r="180" spans="1:5" ht="19.5" customHeight="1">
      <c r="A180" s="202">
        <v>2</v>
      </c>
      <c r="B180" s="201" t="s">
        <v>570</v>
      </c>
      <c r="C180" s="210">
        <v>1.6559</v>
      </c>
      <c r="D180" s="210">
        <v>1.6816</v>
      </c>
      <c r="E180" s="210">
        <v>1.6591</v>
      </c>
    </row>
    <row r="181" spans="1:5" ht="19.5" customHeight="1">
      <c r="A181" s="202">
        <v>3</v>
      </c>
      <c r="B181" s="201" t="s">
        <v>571</v>
      </c>
      <c r="C181" s="210">
        <v>1.031489</v>
      </c>
      <c r="D181" s="210">
        <v>1.054799</v>
      </c>
      <c r="E181" s="210">
        <v>1.107894</v>
      </c>
    </row>
    <row r="182" spans="1:5" ht="19.5" customHeight="1">
      <c r="A182" s="202">
        <v>4</v>
      </c>
      <c r="B182" s="201" t="s">
        <v>572</v>
      </c>
      <c r="C182" s="210">
        <v>0.965</v>
      </c>
      <c r="D182" s="210">
        <v>1.0204</v>
      </c>
      <c r="E182" s="210">
        <v>1.0792</v>
      </c>
    </row>
    <row r="183" spans="1:5" ht="19.5" customHeight="1">
      <c r="A183" s="202">
        <v>5</v>
      </c>
      <c r="B183" s="201" t="s">
        <v>573</v>
      </c>
      <c r="C183" s="210">
        <v>1.2373</v>
      </c>
      <c r="D183" s="210">
        <v>1.167</v>
      </c>
      <c r="E183" s="210">
        <v>1.2134</v>
      </c>
    </row>
    <row r="184" spans="1:5" ht="19.5" customHeight="1">
      <c r="A184" s="202">
        <v>6</v>
      </c>
      <c r="B184" s="201" t="s">
        <v>574</v>
      </c>
      <c r="C184" s="210">
        <v>1.0937</v>
      </c>
      <c r="D184" s="210">
        <v>1.3011</v>
      </c>
      <c r="E184" s="210">
        <v>1.24</v>
      </c>
    </row>
    <row r="185" spans="1:5" ht="19.5" customHeight="1">
      <c r="A185" s="202">
        <v>7</v>
      </c>
      <c r="B185" s="201" t="s">
        <v>575</v>
      </c>
      <c r="C185" s="210">
        <v>1.3768</v>
      </c>
      <c r="D185" s="210">
        <v>1.3676</v>
      </c>
      <c r="E185" s="210">
        <v>1.3109</v>
      </c>
    </row>
    <row r="186" spans="1:5" ht="19.5" customHeight="1">
      <c r="A186" s="202">
        <v>8</v>
      </c>
      <c r="B186" s="201" t="s">
        <v>579</v>
      </c>
      <c r="C186" s="210">
        <v>1.39015</v>
      </c>
      <c r="D186" s="210">
        <v>1.396577</v>
      </c>
      <c r="E186" s="210">
        <v>1.40924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580</v>
      </c>
      <c r="B188" s="30" t="s">
        <v>581</v>
      </c>
      <c r="C188" s="201"/>
      <c r="D188" s="201"/>
      <c r="E188" s="201"/>
    </row>
    <row r="189" spans="1:5" ht="19.5" customHeight="1">
      <c r="A189" s="202">
        <v>1</v>
      </c>
      <c r="B189" s="201" t="s">
        <v>582</v>
      </c>
      <c r="C189" s="198">
        <v>15141</v>
      </c>
      <c r="D189" s="198">
        <v>15872</v>
      </c>
      <c r="E189" s="198">
        <v>16393</v>
      </c>
    </row>
    <row r="190" spans="1:5" ht="19.5" customHeight="1">
      <c r="A190" s="202">
        <v>2</v>
      </c>
      <c r="B190" s="201" t="s">
        <v>583</v>
      </c>
      <c r="C190" s="198">
        <v>65128</v>
      </c>
      <c r="D190" s="198">
        <v>66455</v>
      </c>
      <c r="E190" s="198">
        <v>73715</v>
      </c>
    </row>
    <row r="191" spans="1:5" ht="19.5" customHeight="1">
      <c r="A191" s="202">
        <v>3</v>
      </c>
      <c r="B191" s="201" t="s">
        <v>584</v>
      </c>
      <c r="C191" s="198">
        <f>+C190+C189</f>
        <v>80269</v>
      </c>
      <c r="D191" s="198">
        <f>+D190+D189</f>
        <v>82327</v>
      </c>
      <c r="E191" s="198">
        <f>+E190+E189</f>
        <v>90108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FILING&amp;RHARTFORD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4" width="21.140625" style="211" customWidth="1"/>
    <col min="5" max="5" width="21.710937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157</v>
      </c>
      <c r="B2" s="660"/>
      <c r="C2" s="660"/>
      <c r="D2" s="660"/>
      <c r="E2" s="660"/>
      <c r="F2" s="660"/>
    </row>
    <row r="3" spans="1:6" ht="20.25" customHeight="1">
      <c r="A3" s="660" t="s">
        <v>158</v>
      </c>
      <c r="B3" s="660"/>
      <c r="C3" s="660"/>
      <c r="D3" s="660"/>
      <c r="E3" s="660"/>
      <c r="F3" s="660"/>
    </row>
    <row r="4" spans="1:6" ht="20.25" customHeight="1">
      <c r="A4" s="660" t="s">
        <v>159</v>
      </c>
      <c r="B4" s="660"/>
      <c r="C4" s="660"/>
      <c r="D4" s="660"/>
      <c r="E4" s="660"/>
      <c r="F4" s="660"/>
    </row>
    <row r="5" spans="1:6" ht="20.25" customHeight="1">
      <c r="A5" s="660" t="s">
        <v>585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310</v>
      </c>
      <c r="B8" s="221" t="s">
        <v>166</v>
      </c>
      <c r="C8" s="222" t="s">
        <v>586</v>
      </c>
      <c r="D8" s="223" t="s">
        <v>587</v>
      </c>
      <c r="E8" s="223" t="s">
        <v>588</v>
      </c>
      <c r="F8" s="224" t="s">
        <v>265</v>
      </c>
      <c r="G8" s="212"/>
    </row>
    <row r="9" spans="1:7" ht="20.25" customHeight="1">
      <c r="A9" s="225"/>
      <c r="B9" s="226"/>
      <c r="C9" s="661"/>
      <c r="D9" s="687"/>
      <c r="E9" s="687"/>
      <c r="F9" s="688"/>
      <c r="G9" s="212"/>
    </row>
    <row r="10" spans="1:6" ht="20.25" customHeight="1">
      <c r="A10" s="689" t="s">
        <v>169</v>
      </c>
      <c r="B10" s="690" t="s">
        <v>270</v>
      </c>
      <c r="C10" s="692"/>
      <c r="D10" s="693"/>
      <c r="E10" s="693"/>
      <c r="F10" s="694"/>
    </row>
    <row r="11" spans="1:6" ht="20.25" customHeight="1">
      <c r="A11" s="677"/>
      <c r="B11" s="691"/>
      <c r="C11" s="683"/>
      <c r="D11" s="684"/>
      <c r="E11" s="684"/>
      <c r="F11" s="685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267</v>
      </c>
      <c r="B13" s="231" t="s">
        <v>589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590</v>
      </c>
      <c r="C14" s="237">
        <v>2404397</v>
      </c>
      <c r="D14" s="237">
        <v>4306199</v>
      </c>
      <c r="E14" s="237">
        <f aca="true" t="shared" si="0" ref="E14:E24">D14-C14</f>
        <v>1901802</v>
      </c>
      <c r="F14" s="238">
        <f aca="true" t="shared" si="1" ref="F14:F24">IF(C14=0,0,E14/C14)</f>
        <v>0.7909683800137831</v>
      </c>
    </row>
    <row r="15" spans="1:6" ht="20.25" customHeight="1">
      <c r="A15" s="235">
        <v>2</v>
      </c>
      <c r="B15" s="236" t="s">
        <v>591</v>
      </c>
      <c r="C15" s="237">
        <v>1150681</v>
      </c>
      <c r="D15" s="237">
        <v>1369631</v>
      </c>
      <c r="E15" s="237">
        <f t="shared" si="0"/>
        <v>218950</v>
      </c>
      <c r="F15" s="238">
        <f t="shared" si="1"/>
        <v>0.19027862630911607</v>
      </c>
    </row>
    <row r="16" spans="1:6" ht="20.25" customHeight="1">
      <c r="A16" s="235">
        <v>3</v>
      </c>
      <c r="B16" s="236" t="s">
        <v>592</v>
      </c>
      <c r="C16" s="237">
        <v>632032</v>
      </c>
      <c r="D16" s="237">
        <v>961453</v>
      </c>
      <c r="E16" s="237">
        <f t="shared" si="0"/>
        <v>329421</v>
      </c>
      <c r="F16" s="238">
        <f t="shared" si="1"/>
        <v>0.521209369145866</v>
      </c>
    </row>
    <row r="17" spans="1:6" ht="20.25" customHeight="1">
      <c r="A17" s="235">
        <v>4</v>
      </c>
      <c r="B17" s="236" t="s">
        <v>593</v>
      </c>
      <c r="C17" s="237">
        <v>247441</v>
      </c>
      <c r="D17" s="237">
        <v>317229</v>
      </c>
      <c r="E17" s="237">
        <f t="shared" si="0"/>
        <v>69788</v>
      </c>
      <c r="F17" s="238">
        <f t="shared" si="1"/>
        <v>0.28203895069935864</v>
      </c>
    </row>
    <row r="18" spans="1:6" ht="20.25" customHeight="1">
      <c r="A18" s="235">
        <v>5</v>
      </c>
      <c r="B18" s="236" t="s">
        <v>529</v>
      </c>
      <c r="C18" s="239">
        <v>58</v>
      </c>
      <c r="D18" s="239">
        <v>91</v>
      </c>
      <c r="E18" s="239">
        <f t="shared" si="0"/>
        <v>33</v>
      </c>
      <c r="F18" s="238">
        <f t="shared" si="1"/>
        <v>0.5689655172413793</v>
      </c>
    </row>
    <row r="19" spans="1:6" ht="20.25" customHeight="1">
      <c r="A19" s="235">
        <v>6</v>
      </c>
      <c r="B19" s="236" t="s">
        <v>528</v>
      </c>
      <c r="C19" s="239">
        <v>396</v>
      </c>
      <c r="D19" s="239">
        <v>631</v>
      </c>
      <c r="E19" s="239">
        <f t="shared" si="0"/>
        <v>235</v>
      </c>
      <c r="F19" s="238">
        <f t="shared" si="1"/>
        <v>0.5934343434343434</v>
      </c>
    </row>
    <row r="20" spans="1:6" ht="20.25" customHeight="1">
      <c r="A20" s="235">
        <v>7</v>
      </c>
      <c r="B20" s="236" t="s">
        <v>594</v>
      </c>
      <c r="C20" s="239">
        <v>6</v>
      </c>
      <c r="D20" s="239">
        <v>54</v>
      </c>
      <c r="E20" s="239">
        <f t="shared" si="0"/>
        <v>48</v>
      </c>
      <c r="F20" s="238">
        <f t="shared" si="1"/>
        <v>8</v>
      </c>
    </row>
    <row r="21" spans="1:6" ht="20.25" customHeight="1">
      <c r="A21" s="235">
        <v>8</v>
      </c>
      <c r="B21" s="236" t="s">
        <v>595</v>
      </c>
      <c r="C21" s="239">
        <v>29</v>
      </c>
      <c r="D21" s="239">
        <v>41</v>
      </c>
      <c r="E21" s="239">
        <f t="shared" si="0"/>
        <v>12</v>
      </c>
      <c r="F21" s="238">
        <f t="shared" si="1"/>
        <v>0.41379310344827586</v>
      </c>
    </row>
    <row r="22" spans="1:6" ht="20.25" customHeight="1">
      <c r="A22" s="235">
        <v>9</v>
      </c>
      <c r="B22" s="236" t="s">
        <v>596</v>
      </c>
      <c r="C22" s="239">
        <v>27</v>
      </c>
      <c r="D22" s="239">
        <v>39</v>
      </c>
      <c r="E22" s="239">
        <f t="shared" si="0"/>
        <v>12</v>
      </c>
      <c r="F22" s="238">
        <f t="shared" si="1"/>
        <v>0.4444444444444444</v>
      </c>
    </row>
    <row r="23" spans="1:6" s="240" customFormat="1" ht="20.25" customHeight="1">
      <c r="A23" s="241"/>
      <c r="B23" s="242" t="s">
        <v>597</v>
      </c>
      <c r="C23" s="243">
        <f>+C14+C16</f>
        <v>3036429</v>
      </c>
      <c r="D23" s="243">
        <f>+D14+D16</f>
        <v>5267652</v>
      </c>
      <c r="E23" s="243">
        <f t="shared" si="0"/>
        <v>2231223</v>
      </c>
      <c r="F23" s="244">
        <f t="shared" si="1"/>
        <v>0.7348181037659698</v>
      </c>
    </row>
    <row r="24" spans="1:6" s="240" customFormat="1" ht="20.25" customHeight="1">
      <c r="A24" s="241"/>
      <c r="B24" s="242" t="s">
        <v>598</v>
      </c>
      <c r="C24" s="243">
        <f>+C15+C17</f>
        <v>1398122</v>
      </c>
      <c r="D24" s="243">
        <f>+D15+D17</f>
        <v>1686860</v>
      </c>
      <c r="E24" s="243">
        <f t="shared" si="0"/>
        <v>288738</v>
      </c>
      <c r="F24" s="244">
        <f t="shared" si="1"/>
        <v>0.20651845833196245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281</v>
      </c>
      <c r="B26" s="231" t="s">
        <v>599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590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591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592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593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529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528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594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595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596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597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598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298</v>
      </c>
      <c r="B39" s="231" t="s">
        <v>600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590</v>
      </c>
      <c r="C40" s="237">
        <v>1889779</v>
      </c>
      <c r="D40" s="237">
        <v>13031309</v>
      </c>
      <c r="E40" s="237">
        <f aca="true" t="shared" si="4" ref="E40:E50">D40-C40</f>
        <v>11141530</v>
      </c>
      <c r="F40" s="238">
        <f aca="true" t="shared" si="5" ref="F40:F50">IF(C40=0,0,E40/C40)</f>
        <v>5.895678806886943</v>
      </c>
    </row>
    <row r="41" spans="1:6" ht="20.25" customHeight="1">
      <c r="A41" s="235">
        <v>2</v>
      </c>
      <c r="B41" s="236" t="s">
        <v>591</v>
      </c>
      <c r="C41" s="237">
        <v>764873</v>
      </c>
      <c r="D41" s="237">
        <v>5429118</v>
      </c>
      <c r="E41" s="237">
        <f t="shared" si="4"/>
        <v>4664245</v>
      </c>
      <c r="F41" s="238">
        <f t="shared" si="5"/>
        <v>6.098064646026203</v>
      </c>
    </row>
    <row r="42" spans="1:6" ht="20.25" customHeight="1">
      <c r="A42" s="235">
        <v>3</v>
      </c>
      <c r="B42" s="236" t="s">
        <v>592</v>
      </c>
      <c r="C42" s="237">
        <v>639042</v>
      </c>
      <c r="D42" s="237">
        <v>3363135</v>
      </c>
      <c r="E42" s="237">
        <f t="shared" si="4"/>
        <v>2724093</v>
      </c>
      <c r="F42" s="238">
        <f t="shared" si="5"/>
        <v>4.262776155557851</v>
      </c>
    </row>
    <row r="43" spans="1:6" ht="20.25" customHeight="1">
      <c r="A43" s="235">
        <v>4</v>
      </c>
      <c r="B43" s="236" t="s">
        <v>593</v>
      </c>
      <c r="C43" s="237">
        <v>261094</v>
      </c>
      <c r="D43" s="237">
        <v>1694641</v>
      </c>
      <c r="E43" s="237">
        <f t="shared" si="4"/>
        <v>1433547</v>
      </c>
      <c r="F43" s="238">
        <f t="shared" si="5"/>
        <v>5.49053980558726</v>
      </c>
    </row>
    <row r="44" spans="1:6" ht="20.25" customHeight="1">
      <c r="A44" s="235">
        <v>5</v>
      </c>
      <c r="B44" s="236" t="s">
        <v>529</v>
      </c>
      <c r="C44" s="239">
        <v>47</v>
      </c>
      <c r="D44" s="239">
        <v>321</v>
      </c>
      <c r="E44" s="239">
        <f t="shared" si="4"/>
        <v>274</v>
      </c>
      <c r="F44" s="238">
        <f t="shared" si="5"/>
        <v>5.829787234042553</v>
      </c>
    </row>
    <row r="45" spans="1:6" ht="20.25" customHeight="1">
      <c r="A45" s="235">
        <v>6</v>
      </c>
      <c r="B45" s="236" t="s">
        <v>528</v>
      </c>
      <c r="C45" s="239">
        <v>265</v>
      </c>
      <c r="D45" s="239">
        <v>1774</v>
      </c>
      <c r="E45" s="239">
        <f t="shared" si="4"/>
        <v>1509</v>
      </c>
      <c r="F45" s="238">
        <f t="shared" si="5"/>
        <v>5.694339622641509</v>
      </c>
    </row>
    <row r="46" spans="1:6" ht="20.25" customHeight="1">
      <c r="A46" s="235">
        <v>7</v>
      </c>
      <c r="B46" s="236" t="s">
        <v>594</v>
      </c>
      <c r="C46" s="239">
        <v>12</v>
      </c>
      <c r="D46" s="239">
        <v>261</v>
      </c>
      <c r="E46" s="239">
        <f t="shared" si="4"/>
        <v>249</v>
      </c>
      <c r="F46" s="238">
        <f t="shared" si="5"/>
        <v>20.75</v>
      </c>
    </row>
    <row r="47" spans="1:6" ht="20.25" customHeight="1">
      <c r="A47" s="235">
        <v>8</v>
      </c>
      <c r="B47" s="236" t="s">
        <v>595</v>
      </c>
      <c r="C47" s="239">
        <v>27</v>
      </c>
      <c r="D47" s="239">
        <v>149</v>
      </c>
      <c r="E47" s="239">
        <f t="shared" si="4"/>
        <v>122</v>
      </c>
      <c r="F47" s="238">
        <f t="shared" si="5"/>
        <v>4.518518518518518</v>
      </c>
    </row>
    <row r="48" spans="1:6" ht="20.25" customHeight="1">
      <c r="A48" s="235">
        <v>9</v>
      </c>
      <c r="B48" s="236" t="s">
        <v>596</v>
      </c>
      <c r="C48" s="239">
        <v>26</v>
      </c>
      <c r="D48" s="239">
        <v>153</v>
      </c>
      <c r="E48" s="239">
        <f t="shared" si="4"/>
        <v>127</v>
      </c>
      <c r="F48" s="238">
        <f t="shared" si="5"/>
        <v>4.884615384615385</v>
      </c>
    </row>
    <row r="49" spans="1:6" s="240" customFormat="1" ht="20.25" customHeight="1">
      <c r="A49" s="241"/>
      <c r="B49" s="242" t="s">
        <v>597</v>
      </c>
      <c r="C49" s="243">
        <f>+C40+C42</f>
        <v>2528821</v>
      </c>
      <c r="D49" s="243">
        <f>+D40+D42</f>
        <v>16394444</v>
      </c>
      <c r="E49" s="243">
        <f t="shared" si="4"/>
        <v>13865623</v>
      </c>
      <c r="F49" s="244">
        <f t="shared" si="5"/>
        <v>5.483038538512611</v>
      </c>
    </row>
    <row r="50" spans="1:6" s="240" customFormat="1" ht="20.25" customHeight="1">
      <c r="A50" s="241"/>
      <c r="B50" s="242" t="s">
        <v>598</v>
      </c>
      <c r="C50" s="243">
        <f>+C41+C43</f>
        <v>1025967</v>
      </c>
      <c r="D50" s="243">
        <f>+D41+D43</f>
        <v>7123759</v>
      </c>
      <c r="E50" s="243">
        <f t="shared" si="4"/>
        <v>6097792</v>
      </c>
      <c r="F50" s="244">
        <f t="shared" si="5"/>
        <v>5.943458220391104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327</v>
      </c>
      <c r="B52" s="231" t="s">
        <v>601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590</v>
      </c>
      <c r="C53" s="237">
        <v>24565771</v>
      </c>
      <c r="D53" s="237">
        <v>28523373</v>
      </c>
      <c r="E53" s="237">
        <f aca="true" t="shared" si="6" ref="E53:E63">D53-C53</f>
        <v>3957602</v>
      </c>
      <c r="F53" s="238">
        <f aca="true" t="shared" si="7" ref="F53:F63">IF(C53=0,0,E53/C53)</f>
        <v>0.1611022914770312</v>
      </c>
    </row>
    <row r="54" spans="1:6" ht="20.25" customHeight="1">
      <c r="A54" s="235">
        <v>2</v>
      </c>
      <c r="B54" s="236" t="s">
        <v>591</v>
      </c>
      <c r="C54" s="237">
        <v>8745949</v>
      </c>
      <c r="D54" s="237">
        <v>11248079</v>
      </c>
      <c r="E54" s="237">
        <f t="shared" si="6"/>
        <v>2502130</v>
      </c>
      <c r="F54" s="238">
        <f t="shared" si="7"/>
        <v>0.28609016585850205</v>
      </c>
    </row>
    <row r="55" spans="1:6" ht="20.25" customHeight="1">
      <c r="A55" s="235">
        <v>3</v>
      </c>
      <c r="B55" s="236" t="s">
        <v>592</v>
      </c>
      <c r="C55" s="237">
        <v>5497775</v>
      </c>
      <c r="D55" s="237">
        <v>6761528</v>
      </c>
      <c r="E55" s="237">
        <f t="shared" si="6"/>
        <v>1263753</v>
      </c>
      <c r="F55" s="238">
        <f t="shared" si="7"/>
        <v>0.22986626407955946</v>
      </c>
    </row>
    <row r="56" spans="1:6" ht="20.25" customHeight="1">
      <c r="A56" s="235">
        <v>4</v>
      </c>
      <c r="B56" s="236" t="s">
        <v>593</v>
      </c>
      <c r="C56" s="237">
        <v>1392330</v>
      </c>
      <c r="D56" s="237">
        <v>1931938</v>
      </c>
      <c r="E56" s="237">
        <f t="shared" si="6"/>
        <v>539608</v>
      </c>
      <c r="F56" s="238">
        <f t="shared" si="7"/>
        <v>0.38755754742051096</v>
      </c>
    </row>
    <row r="57" spans="1:6" ht="20.25" customHeight="1">
      <c r="A57" s="235">
        <v>5</v>
      </c>
      <c r="B57" s="236" t="s">
        <v>529</v>
      </c>
      <c r="C57" s="239">
        <v>581</v>
      </c>
      <c r="D57" s="239">
        <v>626</v>
      </c>
      <c r="E57" s="239">
        <f t="shared" si="6"/>
        <v>45</v>
      </c>
      <c r="F57" s="238">
        <f t="shared" si="7"/>
        <v>0.0774526678141136</v>
      </c>
    </row>
    <row r="58" spans="1:6" ht="20.25" customHeight="1">
      <c r="A58" s="235">
        <v>6</v>
      </c>
      <c r="B58" s="236" t="s">
        <v>528</v>
      </c>
      <c r="C58" s="239">
        <v>3665</v>
      </c>
      <c r="D58" s="239">
        <v>4216</v>
      </c>
      <c r="E58" s="239">
        <f t="shared" si="6"/>
        <v>551</v>
      </c>
      <c r="F58" s="238">
        <f t="shared" si="7"/>
        <v>0.15034106412005457</v>
      </c>
    </row>
    <row r="59" spans="1:6" ht="20.25" customHeight="1">
      <c r="A59" s="235">
        <v>7</v>
      </c>
      <c r="B59" s="236" t="s">
        <v>594</v>
      </c>
      <c r="C59" s="239">
        <v>92</v>
      </c>
      <c r="D59" s="239">
        <v>148</v>
      </c>
      <c r="E59" s="239">
        <f t="shared" si="6"/>
        <v>56</v>
      </c>
      <c r="F59" s="238">
        <f t="shared" si="7"/>
        <v>0.6086956521739131</v>
      </c>
    </row>
    <row r="60" spans="1:6" ht="20.25" customHeight="1">
      <c r="A60" s="235">
        <v>8</v>
      </c>
      <c r="B60" s="236" t="s">
        <v>595</v>
      </c>
      <c r="C60" s="239">
        <v>259</v>
      </c>
      <c r="D60" s="239">
        <v>284</v>
      </c>
      <c r="E60" s="239">
        <f t="shared" si="6"/>
        <v>25</v>
      </c>
      <c r="F60" s="238">
        <f t="shared" si="7"/>
        <v>0.09652509652509653</v>
      </c>
    </row>
    <row r="61" spans="1:6" ht="20.25" customHeight="1">
      <c r="A61" s="235">
        <v>9</v>
      </c>
      <c r="B61" s="236" t="s">
        <v>596</v>
      </c>
      <c r="C61" s="239">
        <v>248</v>
      </c>
      <c r="D61" s="239">
        <v>309</v>
      </c>
      <c r="E61" s="239">
        <f t="shared" si="6"/>
        <v>61</v>
      </c>
      <c r="F61" s="238">
        <f t="shared" si="7"/>
        <v>0.24596774193548387</v>
      </c>
    </row>
    <row r="62" spans="1:6" s="240" customFormat="1" ht="20.25" customHeight="1">
      <c r="A62" s="241"/>
      <c r="B62" s="242" t="s">
        <v>597</v>
      </c>
      <c r="C62" s="243">
        <f>+C53+C55</f>
        <v>30063546</v>
      </c>
      <c r="D62" s="243">
        <f>+D53+D55</f>
        <v>35284901</v>
      </c>
      <c r="E62" s="243">
        <f t="shared" si="6"/>
        <v>5221355</v>
      </c>
      <c r="F62" s="244">
        <f t="shared" si="7"/>
        <v>0.17367728344487374</v>
      </c>
    </row>
    <row r="63" spans="1:6" s="240" customFormat="1" ht="20.25" customHeight="1">
      <c r="A63" s="241"/>
      <c r="B63" s="242" t="s">
        <v>598</v>
      </c>
      <c r="C63" s="243">
        <f>+C54+C56</f>
        <v>10138279</v>
      </c>
      <c r="D63" s="243">
        <f>+D54+D56</f>
        <v>13180017</v>
      </c>
      <c r="E63" s="243">
        <f t="shared" si="6"/>
        <v>3041738</v>
      </c>
      <c r="F63" s="244">
        <f t="shared" si="7"/>
        <v>0.3000250831526732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332</v>
      </c>
      <c r="B65" s="231" t="s">
        <v>602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590</v>
      </c>
      <c r="C66" s="237">
        <v>7263409</v>
      </c>
      <c r="D66" s="237">
        <v>10670460</v>
      </c>
      <c r="E66" s="237">
        <f aca="true" t="shared" si="8" ref="E66:E76">D66-C66</f>
        <v>3407051</v>
      </c>
      <c r="F66" s="238">
        <f aca="true" t="shared" si="9" ref="F66:F76">IF(C66=0,0,E66/C66)</f>
        <v>0.4690705149606748</v>
      </c>
    </row>
    <row r="67" spans="1:6" ht="20.25" customHeight="1">
      <c r="A67" s="235">
        <v>2</v>
      </c>
      <c r="B67" s="236" t="s">
        <v>591</v>
      </c>
      <c r="C67" s="237">
        <v>2714009</v>
      </c>
      <c r="D67" s="237">
        <v>3370964</v>
      </c>
      <c r="E67" s="237">
        <f t="shared" si="8"/>
        <v>656955</v>
      </c>
      <c r="F67" s="238">
        <f t="shared" si="9"/>
        <v>0.24206073008600928</v>
      </c>
    </row>
    <row r="68" spans="1:6" ht="20.25" customHeight="1">
      <c r="A68" s="235">
        <v>3</v>
      </c>
      <c r="B68" s="236" t="s">
        <v>592</v>
      </c>
      <c r="C68" s="237">
        <v>1956146</v>
      </c>
      <c r="D68" s="237">
        <v>1807120</v>
      </c>
      <c r="E68" s="237">
        <f t="shared" si="8"/>
        <v>-149026</v>
      </c>
      <c r="F68" s="238">
        <f t="shared" si="9"/>
        <v>-0.07618347505758773</v>
      </c>
    </row>
    <row r="69" spans="1:6" ht="20.25" customHeight="1">
      <c r="A69" s="235">
        <v>4</v>
      </c>
      <c r="B69" s="236" t="s">
        <v>593</v>
      </c>
      <c r="C69" s="237">
        <v>626140</v>
      </c>
      <c r="D69" s="237">
        <v>256360</v>
      </c>
      <c r="E69" s="237">
        <f t="shared" si="8"/>
        <v>-369780</v>
      </c>
      <c r="F69" s="238">
        <f t="shared" si="9"/>
        <v>-0.5905707988628741</v>
      </c>
    </row>
    <row r="70" spans="1:6" ht="20.25" customHeight="1">
      <c r="A70" s="235">
        <v>5</v>
      </c>
      <c r="B70" s="236" t="s">
        <v>529</v>
      </c>
      <c r="C70" s="239">
        <v>189</v>
      </c>
      <c r="D70" s="239">
        <v>200</v>
      </c>
      <c r="E70" s="239">
        <f t="shared" si="8"/>
        <v>11</v>
      </c>
      <c r="F70" s="238">
        <f t="shared" si="9"/>
        <v>0.0582010582010582</v>
      </c>
    </row>
    <row r="71" spans="1:6" ht="20.25" customHeight="1">
      <c r="A71" s="235">
        <v>6</v>
      </c>
      <c r="B71" s="236" t="s">
        <v>528</v>
      </c>
      <c r="C71" s="239">
        <v>1330</v>
      </c>
      <c r="D71" s="239">
        <v>1744</v>
      </c>
      <c r="E71" s="239">
        <f t="shared" si="8"/>
        <v>414</v>
      </c>
      <c r="F71" s="238">
        <f t="shared" si="9"/>
        <v>0.3112781954887218</v>
      </c>
    </row>
    <row r="72" spans="1:6" ht="20.25" customHeight="1">
      <c r="A72" s="235">
        <v>7</v>
      </c>
      <c r="B72" s="236" t="s">
        <v>594</v>
      </c>
      <c r="C72" s="239">
        <v>53</v>
      </c>
      <c r="D72" s="239">
        <v>120</v>
      </c>
      <c r="E72" s="239">
        <f t="shared" si="8"/>
        <v>67</v>
      </c>
      <c r="F72" s="238">
        <f t="shared" si="9"/>
        <v>1.2641509433962264</v>
      </c>
    </row>
    <row r="73" spans="1:6" ht="20.25" customHeight="1">
      <c r="A73" s="235">
        <v>8</v>
      </c>
      <c r="B73" s="236" t="s">
        <v>595</v>
      </c>
      <c r="C73" s="239">
        <v>542</v>
      </c>
      <c r="D73" s="239">
        <v>424</v>
      </c>
      <c r="E73" s="239">
        <f t="shared" si="8"/>
        <v>-118</v>
      </c>
      <c r="F73" s="238">
        <f t="shared" si="9"/>
        <v>-0.2177121771217712</v>
      </c>
    </row>
    <row r="74" spans="1:6" ht="20.25" customHeight="1">
      <c r="A74" s="235">
        <v>9</v>
      </c>
      <c r="B74" s="236" t="s">
        <v>596</v>
      </c>
      <c r="C74" s="239">
        <v>151</v>
      </c>
      <c r="D74" s="239">
        <v>148</v>
      </c>
      <c r="E74" s="239">
        <f t="shared" si="8"/>
        <v>-3</v>
      </c>
      <c r="F74" s="238">
        <f t="shared" si="9"/>
        <v>-0.019867549668874173</v>
      </c>
    </row>
    <row r="75" spans="1:6" s="240" customFormat="1" ht="20.25" customHeight="1">
      <c r="A75" s="241"/>
      <c r="B75" s="242" t="s">
        <v>597</v>
      </c>
      <c r="C75" s="243">
        <f>+C66+C68</f>
        <v>9219555</v>
      </c>
      <c r="D75" s="243">
        <f>+D66+D68</f>
        <v>12477580</v>
      </c>
      <c r="E75" s="243">
        <f t="shared" si="8"/>
        <v>3258025</v>
      </c>
      <c r="F75" s="244">
        <f t="shared" si="9"/>
        <v>0.3533820233189129</v>
      </c>
    </row>
    <row r="76" spans="1:6" s="240" customFormat="1" ht="20.25" customHeight="1">
      <c r="A76" s="241"/>
      <c r="B76" s="242" t="s">
        <v>598</v>
      </c>
      <c r="C76" s="243">
        <f>+C67+C69</f>
        <v>3340149</v>
      </c>
      <c r="D76" s="243">
        <f>+D67+D69</f>
        <v>3627324</v>
      </c>
      <c r="E76" s="243">
        <f t="shared" si="8"/>
        <v>287175</v>
      </c>
      <c r="F76" s="244">
        <f t="shared" si="9"/>
        <v>0.0859767034344875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338</v>
      </c>
      <c r="B78" s="231" t="s">
        <v>603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590</v>
      </c>
      <c r="C79" s="237">
        <v>0</v>
      </c>
      <c r="D79" s="237">
        <v>0</v>
      </c>
      <c r="E79" s="237">
        <f aca="true" t="shared" si="10" ref="E79:E89">D79-C79</f>
        <v>0</v>
      </c>
      <c r="F79" s="238">
        <f aca="true" t="shared" si="11" ref="F79:F89">IF(C79=0,0,E79/C79)</f>
        <v>0</v>
      </c>
    </row>
    <row r="80" spans="1:6" ht="20.25" customHeight="1">
      <c r="A80" s="235">
        <v>2</v>
      </c>
      <c r="B80" s="236" t="s">
        <v>591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>
      <c r="A81" s="235">
        <v>3</v>
      </c>
      <c r="B81" s="236" t="s">
        <v>592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>
      <c r="A82" s="235">
        <v>4</v>
      </c>
      <c r="B82" s="236" t="s">
        <v>593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>
      <c r="A83" s="235">
        <v>5</v>
      </c>
      <c r="B83" s="236" t="s">
        <v>529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>
      <c r="A84" s="235">
        <v>6</v>
      </c>
      <c r="B84" s="236" t="s">
        <v>528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>
      <c r="A85" s="235">
        <v>7</v>
      </c>
      <c r="B85" s="236" t="s">
        <v>594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>
      <c r="A86" s="235">
        <v>8</v>
      </c>
      <c r="B86" s="236" t="s">
        <v>595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>
      <c r="A87" s="235">
        <v>9</v>
      </c>
      <c r="B87" s="236" t="s">
        <v>596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597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>
      <c r="A89" s="241"/>
      <c r="B89" s="242" t="s">
        <v>598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340</v>
      </c>
      <c r="B91" s="231" t="s">
        <v>604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590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591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592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593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529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528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594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595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596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597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598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343</v>
      </c>
      <c r="B104" s="231" t="s">
        <v>605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590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591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592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593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529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528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594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595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596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597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598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346</v>
      </c>
      <c r="B117" s="231" t="s">
        <v>606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590</v>
      </c>
      <c r="C118" s="237">
        <v>9299704</v>
      </c>
      <c r="D118" s="237">
        <v>11563008</v>
      </c>
      <c r="E118" s="237">
        <f aca="true" t="shared" si="16" ref="E118:E128">D118-C118</f>
        <v>2263304</v>
      </c>
      <c r="F118" s="238">
        <f aca="true" t="shared" si="17" ref="F118:F128">IF(C118=0,0,E118/C118)</f>
        <v>0.24337376759518367</v>
      </c>
    </row>
    <row r="119" spans="1:6" ht="20.25" customHeight="1">
      <c r="A119" s="235">
        <v>2</v>
      </c>
      <c r="B119" s="236" t="s">
        <v>591</v>
      </c>
      <c r="C119" s="237">
        <v>2787172</v>
      </c>
      <c r="D119" s="237">
        <v>3853748</v>
      </c>
      <c r="E119" s="237">
        <f t="shared" si="16"/>
        <v>1066576</v>
      </c>
      <c r="F119" s="238">
        <f t="shared" si="17"/>
        <v>0.3826731898856619</v>
      </c>
    </row>
    <row r="120" spans="1:6" ht="20.25" customHeight="1">
      <c r="A120" s="235">
        <v>3</v>
      </c>
      <c r="B120" s="236" t="s">
        <v>592</v>
      </c>
      <c r="C120" s="237">
        <v>2184093</v>
      </c>
      <c r="D120" s="237">
        <v>3373932</v>
      </c>
      <c r="E120" s="237">
        <f t="shared" si="16"/>
        <v>1189839</v>
      </c>
      <c r="F120" s="238">
        <f t="shared" si="17"/>
        <v>0.544774879091687</v>
      </c>
    </row>
    <row r="121" spans="1:6" ht="20.25" customHeight="1">
      <c r="A121" s="235">
        <v>4</v>
      </c>
      <c r="B121" s="236" t="s">
        <v>593</v>
      </c>
      <c r="C121" s="237">
        <v>550837</v>
      </c>
      <c r="D121" s="237">
        <v>1058347</v>
      </c>
      <c r="E121" s="237">
        <f t="shared" si="16"/>
        <v>507510</v>
      </c>
      <c r="F121" s="238">
        <f t="shared" si="17"/>
        <v>0.9213433375027458</v>
      </c>
    </row>
    <row r="122" spans="1:6" ht="20.25" customHeight="1">
      <c r="A122" s="235">
        <v>5</v>
      </c>
      <c r="B122" s="236" t="s">
        <v>529</v>
      </c>
      <c r="C122" s="239">
        <v>250</v>
      </c>
      <c r="D122" s="239">
        <v>327</v>
      </c>
      <c r="E122" s="239">
        <f t="shared" si="16"/>
        <v>77</v>
      </c>
      <c r="F122" s="238">
        <f t="shared" si="17"/>
        <v>0.308</v>
      </c>
    </row>
    <row r="123" spans="1:6" ht="20.25" customHeight="1">
      <c r="A123" s="235">
        <v>6</v>
      </c>
      <c r="B123" s="236" t="s">
        <v>528</v>
      </c>
      <c r="C123" s="239">
        <v>1535</v>
      </c>
      <c r="D123" s="239">
        <v>1828</v>
      </c>
      <c r="E123" s="239">
        <f t="shared" si="16"/>
        <v>293</v>
      </c>
      <c r="F123" s="238">
        <f t="shared" si="17"/>
        <v>0.19087947882736156</v>
      </c>
    </row>
    <row r="124" spans="1:6" ht="20.25" customHeight="1">
      <c r="A124" s="235">
        <v>7</v>
      </c>
      <c r="B124" s="236" t="s">
        <v>594</v>
      </c>
      <c r="C124" s="239">
        <v>94</v>
      </c>
      <c r="D124" s="239">
        <v>210</v>
      </c>
      <c r="E124" s="239">
        <f t="shared" si="16"/>
        <v>116</v>
      </c>
      <c r="F124" s="238">
        <f t="shared" si="17"/>
        <v>1.2340425531914894</v>
      </c>
    </row>
    <row r="125" spans="1:6" ht="20.25" customHeight="1">
      <c r="A125" s="235">
        <v>8</v>
      </c>
      <c r="B125" s="236" t="s">
        <v>595</v>
      </c>
      <c r="C125" s="239">
        <v>135</v>
      </c>
      <c r="D125" s="239">
        <v>202</v>
      </c>
      <c r="E125" s="239">
        <f t="shared" si="16"/>
        <v>67</v>
      </c>
      <c r="F125" s="238">
        <f t="shared" si="17"/>
        <v>0.4962962962962963</v>
      </c>
    </row>
    <row r="126" spans="1:6" ht="20.25" customHeight="1">
      <c r="A126" s="235">
        <v>9</v>
      </c>
      <c r="B126" s="236" t="s">
        <v>596</v>
      </c>
      <c r="C126" s="239">
        <v>155</v>
      </c>
      <c r="D126" s="239">
        <v>211</v>
      </c>
      <c r="E126" s="239">
        <f t="shared" si="16"/>
        <v>56</v>
      </c>
      <c r="F126" s="238">
        <f t="shared" si="17"/>
        <v>0.36129032258064514</v>
      </c>
    </row>
    <row r="127" spans="1:6" s="240" customFormat="1" ht="20.25" customHeight="1">
      <c r="A127" s="241"/>
      <c r="B127" s="242" t="s">
        <v>597</v>
      </c>
      <c r="C127" s="243">
        <f>+C118+C120</f>
        <v>11483797</v>
      </c>
      <c r="D127" s="243">
        <f>+D118+D120</f>
        <v>14936940</v>
      </c>
      <c r="E127" s="243">
        <f t="shared" si="16"/>
        <v>3453143</v>
      </c>
      <c r="F127" s="244">
        <f t="shared" si="17"/>
        <v>0.3006969733094376</v>
      </c>
    </row>
    <row r="128" spans="1:6" s="240" customFormat="1" ht="20.25" customHeight="1">
      <c r="A128" s="241"/>
      <c r="B128" s="242" t="s">
        <v>598</v>
      </c>
      <c r="C128" s="243">
        <f>+C119+C121</f>
        <v>3338009</v>
      </c>
      <c r="D128" s="243">
        <f>+D119+D121</f>
        <v>4912095</v>
      </c>
      <c r="E128" s="243">
        <f t="shared" si="16"/>
        <v>1574086</v>
      </c>
      <c r="F128" s="244">
        <f t="shared" si="17"/>
        <v>0.47156433670490405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355</v>
      </c>
      <c r="B130" s="231" t="s">
        <v>607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590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591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592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593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529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528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594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595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596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597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598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374</v>
      </c>
      <c r="B143" s="231" t="s">
        <v>608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590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591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592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593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529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528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594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595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596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597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598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609</v>
      </c>
      <c r="B156" s="231" t="s">
        <v>610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590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591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592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593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529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528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594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595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596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597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598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611</v>
      </c>
      <c r="B169" s="231" t="s">
        <v>612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590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591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592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593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529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528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594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595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596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597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598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613</v>
      </c>
      <c r="B182" s="231" t="s">
        <v>614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590</v>
      </c>
      <c r="C183" s="237">
        <v>8921912</v>
      </c>
      <c r="D183" s="237">
        <v>13928651</v>
      </c>
      <c r="E183" s="237">
        <f aca="true" t="shared" si="26" ref="E183:E193">D183-C183</f>
        <v>5006739</v>
      </c>
      <c r="F183" s="238">
        <f aca="true" t="shared" si="27" ref="F183:F193">IF(C183=0,0,E183/C183)</f>
        <v>0.5611733224896188</v>
      </c>
    </row>
    <row r="184" spans="1:6" ht="20.25" customHeight="1">
      <c r="A184" s="235">
        <v>2</v>
      </c>
      <c r="B184" s="236" t="s">
        <v>591</v>
      </c>
      <c r="C184" s="237">
        <v>3363531</v>
      </c>
      <c r="D184" s="237">
        <v>5193189</v>
      </c>
      <c r="E184" s="237">
        <f t="shared" si="26"/>
        <v>1829658</v>
      </c>
      <c r="F184" s="238">
        <f t="shared" si="27"/>
        <v>0.5439694178528457</v>
      </c>
    </row>
    <row r="185" spans="1:6" ht="20.25" customHeight="1">
      <c r="A185" s="235">
        <v>3</v>
      </c>
      <c r="B185" s="236" t="s">
        <v>592</v>
      </c>
      <c r="C185" s="237">
        <v>2947053</v>
      </c>
      <c r="D185" s="237">
        <v>3956476</v>
      </c>
      <c r="E185" s="237">
        <f t="shared" si="26"/>
        <v>1009423</v>
      </c>
      <c r="F185" s="238">
        <f t="shared" si="27"/>
        <v>0.3425194592699894</v>
      </c>
    </row>
    <row r="186" spans="1:6" ht="20.25" customHeight="1">
      <c r="A186" s="235">
        <v>4</v>
      </c>
      <c r="B186" s="236" t="s">
        <v>593</v>
      </c>
      <c r="C186" s="237">
        <v>962261</v>
      </c>
      <c r="D186" s="237">
        <v>997560</v>
      </c>
      <c r="E186" s="237">
        <f t="shared" si="26"/>
        <v>35299</v>
      </c>
      <c r="F186" s="238">
        <f t="shared" si="27"/>
        <v>0.036683394629939275</v>
      </c>
    </row>
    <row r="187" spans="1:6" ht="20.25" customHeight="1">
      <c r="A187" s="235">
        <v>5</v>
      </c>
      <c r="B187" s="236" t="s">
        <v>529</v>
      </c>
      <c r="C187" s="239">
        <v>266</v>
      </c>
      <c r="D187" s="239">
        <v>393</v>
      </c>
      <c r="E187" s="239">
        <f t="shared" si="26"/>
        <v>127</v>
      </c>
      <c r="F187" s="238">
        <f t="shared" si="27"/>
        <v>0.4774436090225564</v>
      </c>
    </row>
    <row r="188" spans="1:6" ht="20.25" customHeight="1">
      <c r="A188" s="235">
        <v>6</v>
      </c>
      <c r="B188" s="236" t="s">
        <v>528</v>
      </c>
      <c r="C188" s="239">
        <v>1616</v>
      </c>
      <c r="D188" s="239">
        <v>2158</v>
      </c>
      <c r="E188" s="239">
        <f t="shared" si="26"/>
        <v>542</v>
      </c>
      <c r="F188" s="238">
        <f t="shared" si="27"/>
        <v>0.3353960396039604</v>
      </c>
    </row>
    <row r="189" spans="1:6" ht="20.25" customHeight="1">
      <c r="A189" s="235">
        <v>7</v>
      </c>
      <c r="B189" s="236" t="s">
        <v>594</v>
      </c>
      <c r="C189" s="239">
        <v>68</v>
      </c>
      <c r="D189" s="239">
        <v>1085</v>
      </c>
      <c r="E189" s="239">
        <f t="shared" si="26"/>
        <v>1017</v>
      </c>
      <c r="F189" s="238">
        <f t="shared" si="27"/>
        <v>14.955882352941176</v>
      </c>
    </row>
    <row r="190" spans="1:6" ht="20.25" customHeight="1">
      <c r="A190" s="235">
        <v>8</v>
      </c>
      <c r="B190" s="236" t="s">
        <v>595</v>
      </c>
      <c r="C190" s="239">
        <v>304</v>
      </c>
      <c r="D190" s="239">
        <v>713</v>
      </c>
      <c r="E190" s="239">
        <f t="shared" si="26"/>
        <v>409</v>
      </c>
      <c r="F190" s="238">
        <f t="shared" si="27"/>
        <v>1.3453947368421053</v>
      </c>
    </row>
    <row r="191" spans="1:6" ht="20.25" customHeight="1">
      <c r="A191" s="235">
        <v>9</v>
      </c>
      <c r="B191" s="236" t="s">
        <v>596</v>
      </c>
      <c r="C191" s="239">
        <v>140</v>
      </c>
      <c r="D191" s="239">
        <v>250</v>
      </c>
      <c r="E191" s="239">
        <f t="shared" si="26"/>
        <v>110</v>
      </c>
      <c r="F191" s="238">
        <f t="shared" si="27"/>
        <v>0.7857142857142857</v>
      </c>
    </row>
    <row r="192" spans="1:6" s="240" customFormat="1" ht="20.25" customHeight="1">
      <c r="A192" s="241"/>
      <c r="B192" s="242" t="s">
        <v>597</v>
      </c>
      <c r="C192" s="243">
        <f>+C183+C185</f>
        <v>11868965</v>
      </c>
      <c r="D192" s="243">
        <f>+D183+D185</f>
        <v>17885127</v>
      </c>
      <c r="E192" s="243">
        <f t="shared" si="26"/>
        <v>6016162</v>
      </c>
      <c r="F192" s="244">
        <f t="shared" si="27"/>
        <v>0.5068817710727094</v>
      </c>
    </row>
    <row r="193" spans="1:6" s="240" customFormat="1" ht="20.25" customHeight="1">
      <c r="A193" s="241"/>
      <c r="B193" s="242" t="s">
        <v>598</v>
      </c>
      <c r="C193" s="243">
        <f>+C184+C186</f>
        <v>4325792</v>
      </c>
      <c r="D193" s="243">
        <f>+D184+D186</f>
        <v>6190749</v>
      </c>
      <c r="E193" s="243">
        <f t="shared" si="26"/>
        <v>1864957</v>
      </c>
      <c r="F193" s="244">
        <f t="shared" si="27"/>
        <v>0.4311249824309629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76" t="s">
        <v>201</v>
      </c>
      <c r="B195" s="678" t="s">
        <v>615</v>
      </c>
      <c r="C195" s="680"/>
      <c r="D195" s="681"/>
      <c r="E195" s="681"/>
      <c r="F195" s="682"/>
      <c r="G195" s="686"/>
      <c r="H195" s="686"/>
      <c r="I195" s="686"/>
    </row>
    <row r="196" spans="1:9" ht="20.25" customHeight="1">
      <c r="A196" s="677"/>
      <c r="B196" s="679"/>
      <c r="C196" s="683"/>
      <c r="D196" s="684"/>
      <c r="E196" s="684"/>
      <c r="F196" s="685"/>
      <c r="G196" s="686"/>
      <c r="H196" s="686"/>
      <c r="I196" s="686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616</v>
      </c>
      <c r="C198" s="243">
        <f aca="true" t="shared" si="28" ref="C198:D206">+C183+C170+C157+C144+C131+C118+C105+C92+C79+C66+C53+C40+C27+C14</f>
        <v>54344972</v>
      </c>
      <c r="D198" s="243">
        <f t="shared" si="28"/>
        <v>82023000</v>
      </c>
      <c r="E198" s="243">
        <f aca="true" t="shared" si="29" ref="E198:E208">D198-C198</f>
        <v>27678028</v>
      </c>
      <c r="F198" s="251">
        <f aca="true" t="shared" si="30" ref="F198:F208">IF(C198=0,0,E198/C198)</f>
        <v>0.5093024613206167</v>
      </c>
    </row>
    <row r="199" spans="1:6" ht="20.25" customHeight="1">
      <c r="A199" s="249"/>
      <c r="B199" s="250" t="s">
        <v>617</v>
      </c>
      <c r="C199" s="243">
        <f t="shared" si="28"/>
        <v>19526215</v>
      </c>
      <c r="D199" s="243">
        <f t="shared" si="28"/>
        <v>30464729</v>
      </c>
      <c r="E199" s="243">
        <f t="shared" si="29"/>
        <v>10938514</v>
      </c>
      <c r="F199" s="251">
        <f t="shared" si="30"/>
        <v>0.5601963309325437</v>
      </c>
    </row>
    <row r="200" spans="1:6" ht="20.25" customHeight="1">
      <c r="A200" s="249"/>
      <c r="B200" s="250" t="s">
        <v>618</v>
      </c>
      <c r="C200" s="243">
        <f t="shared" si="28"/>
        <v>13856141</v>
      </c>
      <c r="D200" s="243">
        <f t="shared" si="28"/>
        <v>20223644</v>
      </c>
      <c r="E200" s="243">
        <f t="shared" si="29"/>
        <v>6367503</v>
      </c>
      <c r="F200" s="251">
        <f t="shared" si="30"/>
        <v>0.45954375031258704</v>
      </c>
    </row>
    <row r="201" spans="1:6" ht="20.25" customHeight="1">
      <c r="A201" s="249"/>
      <c r="B201" s="250" t="s">
        <v>619</v>
      </c>
      <c r="C201" s="243">
        <f t="shared" si="28"/>
        <v>4040103</v>
      </c>
      <c r="D201" s="243">
        <f t="shared" si="28"/>
        <v>6256075</v>
      </c>
      <c r="E201" s="243">
        <f t="shared" si="29"/>
        <v>2215972</v>
      </c>
      <c r="F201" s="251">
        <f t="shared" si="30"/>
        <v>0.5484939369120044</v>
      </c>
    </row>
    <row r="202" spans="1:6" ht="20.25" customHeight="1">
      <c r="A202" s="249"/>
      <c r="B202" s="250" t="s">
        <v>620</v>
      </c>
      <c r="C202" s="252">
        <f t="shared" si="28"/>
        <v>1391</v>
      </c>
      <c r="D202" s="252">
        <f t="shared" si="28"/>
        <v>1958</v>
      </c>
      <c r="E202" s="252">
        <f t="shared" si="29"/>
        <v>567</v>
      </c>
      <c r="F202" s="251">
        <f t="shared" si="30"/>
        <v>0.4076204169662114</v>
      </c>
    </row>
    <row r="203" spans="1:6" ht="20.25" customHeight="1">
      <c r="A203" s="249"/>
      <c r="B203" s="250" t="s">
        <v>621</v>
      </c>
      <c r="C203" s="252">
        <f t="shared" si="28"/>
        <v>8807</v>
      </c>
      <c r="D203" s="252">
        <f t="shared" si="28"/>
        <v>12351</v>
      </c>
      <c r="E203" s="252">
        <f t="shared" si="29"/>
        <v>3544</v>
      </c>
      <c r="F203" s="251">
        <f t="shared" si="30"/>
        <v>0.40240717610991256</v>
      </c>
    </row>
    <row r="204" spans="1:6" ht="39.75" customHeight="1">
      <c r="A204" s="249"/>
      <c r="B204" s="250" t="s">
        <v>622</v>
      </c>
      <c r="C204" s="252">
        <f t="shared" si="28"/>
        <v>325</v>
      </c>
      <c r="D204" s="252">
        <f t="shared" si="28"/>
        <v>1878</v>
      </c>
      <c r="E204" s="252">
        <f t="shared" si="29"/>
        <v>1553</v>
      </c>
      <c r="F204" s="251">
        <f t="shared" si="30"/>
        <v>4.7784615384615385</v>
      </c>
    </row>
    <row r="205" spans="1:6" ht="39.75" customHeight="1">
      <c r="A205" s="249"/>
      <c r="B205" s="250" t="s">
        <v>623</v>
      </c>
      <c r="C205" s="252">
        <f t="shared" si="28"/>
        <v>1296</v>
      </c>
      <c r="D205" s="252">
        <f t="shared" si="28"/>
        <v>1813</v>
      </c>
      <c r="E205" s="252">
        <f t="shared" si="29"/>
        <v>517</v>
      </c>
      <c r="F205" s="251">
        <f t="shared" si="30"/>
        <v>0.39891975308641975</v>
      </c>
    </row>
    <row r="206" spans="1:6" ht="39.75" customHeight="1">
      <c r="A206" s="249"/>
      <c r="B206" s="250" t="s">
        <v>624</v>
      </c>
      <c r="C206" s="252">
        <f t="shared" si="28"/>
        <v>747</v>
      </c>
      <c r="D206" s="252">
        <f t="shared" si="28"/>
        <v>1110</v>
      </c>
      <c r="E206" s="252">
        <f t="shared" si="29"/>
        <v>363</v>
      </c>
      <c r="F206" s="251">
        <f t="shared" si="30"/>
        <v>0.4859437751004016</v>
      </c>
    </row>
    <row r="207" spans="1:6" ht="20.25" customHeight="1">
      <c r="A207" s="249"/>
      <c r="B207" s="242" t="s">
        <v>625</v>
      </c>
      <c r="C207" s="243">
        <f>+C198+C200</f>
        <v>68201113</v>
      </c>
      <c r="D207" s="243">
        <f>+D198+D200</f>
        <v>102246644</v>
      </c>
      <c r="E207" s="243">
        <f t="shared" si="29"/>
        <v>34045531</v>
      </c>
      <c r="F207" s="251">
        <f t="shared" si="30"/>
        <v>0.4991931876536971</v>
      </c>
    </row>
    <row r="208" spans="1:6" ht="20.25" customHeight="1">
      <c r="A208" s="249"/>
      <c r="B208" s="242" t="s">
        <v>626</v>
      </c>
      <c r="C208" s="243">
        <f>+C199+C201</f>
        <v>23566318</v>
      </c>
      <c r="D208" s="243">
        <f>+D199+D201</f>
        <v>36720804</v>
      </c>
      <c r="E208" s="243">
        <f t="shared" si="29"/>
        <v>13154486</v>
      </c>
      <c r="F208" s="251">
        <f t="shared" si="30"/>
        <v>0.558190125415434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FILING&amp;RHARTFORD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60" t="s">
        <v>157</v>
      </c>
      <c r="B2" s="660"/>
      <c r="C2" s="660"/>
      <c r="D2" s="660"/>
      <c r="E2" s="660"/>
      <c r="F2" s="660"/>
    </row>
    <row r="3" spans="1:6" ht="20.25" customHeight="1">
      <c r="A3" s="660" t="s">
        <v>158</v>
      </c>
      <c r="B3" s="660"/>
      <c r="C3" s="660"/>
      <c r="D3" s="660"/>
      <c r="E3" s="660"/>
      <c r="F3" s="660"/>
    </row>
    <row r="4" spans="1:6" ht="20.25" customHeight="1">
      <c r="A4" s="660" t="s">
        <v>159</v>
      </c>
      <c r="B4" s="660"/>
      <c r="C4" s="660"/>
      <c r="D4" s="660"/>
      <c r="E4" s="660"/>
      <c r="F4" s="660"/>
    </row>
    <row r="5" spans="1:6" ht="20.25" customHeight="1">
      <c r="A5" s="660" t="s">
        <v>627</v>
      </c>
      <c r="B5" s="660"/>
      <c r="C5" s="660"/>
      <c r="D5" s="660"/>
      <c r="E5" s="660"/>
      <c r="F5" s="660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586</v>
      </c>
      <c r="D8" s="223" t="s">
        <v>587</v>
      </c>
      <c r="E8" s="223" t="s">
        <v>588</v>
      </c>
      <c r="F8" s="224" t="s">
        <v>265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76" t="s">
        <v>169</v>
      </c>
      <c r="B10" s="678" t="s">
        <v>272</v>
      </c>
      <c r="C10" s="680"/>
      <c r="D10" s="681"/>
      <c r="E10" s="681"/>
      <c r="F10" s="682"/>
    </row>
    <row r="11" spans="1:6" ht="20.25" customHeight="1">
      <c r="A11" s="677"/>
      <c r="B11" s="679"/>
      <c r="C11" s="683"/>
      <c r="D11" s="684"/>
      <c r="E11" s="684"/>
      <c r="F11" s="685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267</v>
      </c>
      <c r="B13" s="261" t="s">
        <v>628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590</v>
      </c>
      <c r="C14" s="237">
        <v>20836219</v>
      </c>
      <c r="D14" s="237">
        <v>6416648</v>
      </c>
      <c r="E14" s="237">
        <f aca="true" t="shared" si="0" ref="E14:E24">D14-C14</f>
        <v>-14419571</v>
      </c>
      <c r="F14" s="238">
        <f aca="true" t="shared" si="1" ref="F14:F24">IF(C14=0,0,E14/C14)</f>
        <v>-0.692043551663572</v>
      </c>
    </row>
    <row r="15" spans="1:6" ht="20.25" customHeight="1">
      <c r="A15" s="235">
        <v>2</v>
      </c>
      <c r="B15" s="236" t="s">
        <v>591</v>
      </c>
      <c r="C15" s="237">
        <v>8447582</v>
      </c>
      <c r="D15" s="237">
        <v>1930649</v>
      </c>
      <c r="E15" s="237">
        <f t="shared" si="0"/>
        <v>-6516933</v>
      </c>
      <c r="F15" s="238">
        <f t="shared" si="1"/>
        <v>-0.7714554294944992</v>
      </c>
    </row>
    <row r="16" spans="1:6" ht="20.25" customHeight="1">
      <c r="A16" s="235">
        <v>3</v>
      </c>
      <c r="B16" s="236" t="s">
        <v>592</v>
      </c>
      <c r="C16" s="237">
        <v>18580333</v>
      </c>
      <c r="D16" s="237">
        <v>5451481</v>
      </c>
      <c r="E16" s="237">
        <f t="shared" si="0"/>
        <v>-13128852</v>
      </c>
      <c r="F16" s="238">
        <f t="shared" si="1"/>
        <v>-0.7065993919484651</v>
      </c>
    </row>
    <row r="17" spans="1:6" ht="20.25" customHeight="1">
      <c r="A17" s="235">
        <v>4</v>
      </c>
      <c r="B17" s="236" t="s">
        <v>593</v>
      </c>
      <c r="C17" s="237">
        <v>5461382</v>
      </c>
      <c r="D17" s="237">
        <v>1057016</v>
      </c>
      <c r="E17" s="237">
        <f t="shared" si="0"/>
        <v>-4404366</v>
      </c>
      <c r="F17" s="238">
        <f t="shared" si="1"/>
        <v>-0.8064563145372362</v>
      </c>
    </row>
    <row r="18" spans="1:6" ht="20.25" customHeight="1">
      <c r="A18" s="235">
        <v>5</v>
      </c>
      <c r="B18" s="236" t="s">
        <v>529</v>
      </c>
      <c r="C18" s="239">
        <v>1929</v>
      </c>
      <c r="D18" s="239">
        <v>503</v>
      </c>
      <c r="E18" s="239">
        <f t="shared" si="0"/>
        <v>-1426</v>
      </c>
      <c r="F18" s="238">
        <f t="shared" si="1"/>
        <v>-0.7392431311560393</v>
      </c>
    </row>
    <row r="19" spans="1:6" ht="20.25" customHeight="1">
      <c r="A19" s="235">
        <v>6</v>
      </c>
      <c r="B19" s="236" t="s">
        <v>528</v>
      </c>
      <c r="C19" s="239">
        <v>5939</v>
      </c>
      <c r="D19" s="239">
        <v>1593</v>
      </c>
      <c r="E19" s="239">
        <f t="shared" si="0"/>
        <v>-4346</v>
      </c>
      <c r="F19" s="238">
        <f t="shared" si="1"/>
        <v>-0.7317730257619128</v>
      </c>
    </row>
    <row r="20" spans="1:6" ht="20.25" customHeight="1">
      <c r="A20" s="235">
        <v>7</v>
      </c>
      <c r="B20" s="236" t="s">
        <v>594</v>
      </c>
      <c r="C20" s="239">
        <v>23388</v>
      </c>
      <c r="D20" s="239">
        <v>5572</v>
      </c>
      <c r="E20" s="239">
        <f t="shared" si="0"/>
        <v>-17816</v>
      </c>
      <c r="F20" s="238">
        <f t="shared" si="1"/>
        <v>-0.7617581665811527</v>
      </c>
    </row>
    <row r="21" spans="1:6" ht="20.25" customHeight="1">
      <c r="A21" s="235">
        <v>8</v>
      </c>
      <c r="B21" s="236" t="s">
        <v>595</v>
      </c>
      <c r="C21" s="239">
        <v>6811</v>
      </c>
      <c r="D21" s="239">
        <v>2045</v>
      </c>
      <c r="E21" s="239">
        <f t="shared" si="0"/>
        <v>-4766</v>
      </c>
      <c r="F21" s="238">
        <f t="shared" si="1"/>
        <v>-0.6997504037586257</v>
      </c>
    </row>
    <row r="22" spans="1:6" ht="20.25" customHeight="1">
      <c r="A22" s="235">
        <v>9</v>
      </c>
      <c r="B22" s="236" t="s">
        <v>596</v>
      </c>
      <c r="C22" s="239">
        <v>268</v>
      </c>
      <c r="D22" s="239">
        <v>81</v>
      </c>
      <c r="E22" s="239">
        <f t="shared" si="0"/>
        <v>-187</v>
      </c>
      <c r="F22" s="238">
        <f t="shared" si="1"/>
        <v>-0.6977611940298507</v>
      </c>
    </row>
    <row r="23" spans="1:6" s="240" customFormat="1" ht="39.75" customHeight="1">
      <c r="A23" s="245"/>
      <c r="B23" s="242" t="s">
        <v>597</v>
      </c>
      <c r="C23" s="243">
        <f>+C14+C16</f>
        <v>39416552</v>
      </c>
      <c r="D23" s="243">
        <f>+D14+D16</f>
        <v>11868129</v>
      </c>
      <c r="E23" s="243">
        <f t="shared" si="0"/>
        <v>-27548423</v>
      </c>
      <c r="F23" s="244">
        <f t="shared" si="1"/>
        <v>-0.698904942268923</v>
      </c>
    </row>
    <row r="24" spans="1:6" s="240" customFormat="1" ht="39.75" customHeight="1">
      <c r="A24" s="245"/>
      <c r="B24" s="242" t="s">
        <v>626</v>
      </c>
      <c r="C24" s="243">
        <f>+C15+C17</f>
        <v>13908964</v>
      </c>
      <c r="D24" s="243">
        <f>+D15+D17</f>
        <v>2987665</v>
      </c>
      <c r="E24" s="243">
        <f t="shared" si="0"/>
        <v>-10921299</v>
      </c>
      <c r="F24" s="244">
        <f t="shared" si="1"/>
        <v>-0.7851985956682324</v>
      </c>
    </row>
    <row r="25" spans="1:6" ht="42" customHeight="1">
      <c r="A25" s="227" t="s">
        <v>281</v>
      </c>
      <c r="B25" s="261" t="s">
        <v>629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590</v>
      </c>
      <c r="C26" s="237">
        <v>6855791</v>
      </c>
      <c r="D26" s="237">
        <v>16549469</v>
      </c>
      <c r="E26" s="237">
        <f aca="true" t="shared" si="2" ref="E26:E36">D26-C26</f>
        <v>9693678</v>
      </c>
      <c r="F26" s="238">
        <f aca="true" t="shared" si="3" ref="F26:F36">IF(C26=0,0,E26/C26)</f>
        <v>1.4139401274047005</v>
      </c>
    </row>
    <row r="27" spans="1:6" ht="20.25" customHeight="1">
      <c r="A27" s="235">
        <v>2</v>
      </c>
      <c r="B27" s="236" t="s">
        <v>591</v>
      </c>
      <c r="C27" s="237">
        <v>2186066</v>
      </c>
      <c r="D27" s="237">
        <v>6224540</v>
      </c>
      <c r="E27" s="237">
        <f t="shared" si="2"/>
        <v>4038474</v>
      </c>
      <c r="F27" s="238">
        <f t="shared" si="3"/>
        <v>1.8473705734410582</v>
      </c>
    </row>
    <row r="28" spans="1:6" ht="20.25" customHeight="1">
      <c r="A28" s="235">
        <v>3</v>
      </c>
      <c r="B28" s="236" t="s">
        <v>592</v>
      </c>
      <c r="C28" s="237">
        <v>5717631</v>
      </c>
      <c r="D28" s="237">
        <v>15608615</v>
      </c>
      <c r="E28" s="237">
        <f t="shared" si="2"/>
        <v>9890984</v>
      </c>
      <c r="F28" s="238">
        <f t="shared" si="3"/>
        <v>1.7299094677498426</v>
      </c>
    </row>
    <row r="29" spans="1:6" ht="20.25" customHeight="1">
      <c r="A29" s="235">
        <v>4</v>
      </c>
      <c r="B29" s="236" t="s">
        <v>593</v>
      </c>
      <c r="C29" s="237">
        <v>2064211</v>
      </c>
      <c r="D29" s="237">
        <v>4975169</v>
      </c>
      <c r="E29" s="237">
        <f t="shared" si="2"/>
        <v>2910958</v>
      </c>
      <c r="F29" s="238">
        <f t="shared" si="3"/>
        <v>1.4102037049507052</v>
      </c>
    </row>
    <row r="30" spans="1:6" ht="20.25" customHeight="1">
      <c r="A30" s="235">
        <v>5</v>
      </c>
      <c r="B30" s="236" t="s">
        <v>529</v>
      </c>
      <c r="C30" s="239">
        <v>583</v>
      </c>
      <c r="D30" s="239">
        <v>1342</v>
      </c>
      <c r="E30" s="239">
        <f t="shared" si="2"/>
        <v>759</v>
      </c>
      <c r="F30" s="238">
        <f t="shared" si="3"/>
        <v>1.3018867924528301</v>
      </c>
    </row>
    <row r="31" spans="1:6" ht="20.25" customHeight="1">
      <c r="A31" s="235">
        <v>6</v>
      </c>
      <c r="B31" s="236" t="s">
        <v>528</v>
      </c>
      <c r="C31" s="239">
        <v>1896</v>
      </c>
      <c r="D31" s="239">
        <v>4200</v>
      </c>
      <c r="E31" s="239">
        <f t="shared" si="2"/>
        <v>2304</v>
      </c>
      <c r="F31" s="238">
        <f t="shared" si="3"/>
        <v>1.2151898734177216</v>
      </c>
    </row>
    <row r="32" spans="1:6" ht="20.25" customHeight="1">
      <c r="A32" s="235">
        <v>7</v>
      </c>
      <c r="B32" s="236" t="s">
        <v>594</v>
      </c>
      <c r="C32" s="239">
        <v>12586</v>
      </c>
      <c r="D32" s="239">
        <v>19666</v>
      </c>
      <c r="E32" s="239">
        <f t="shared" si="2"/>
        <v>7080</v>
      </c>
      <c r="F32" s="238">
        <f t="shared" si="3"/>
        <v>0.562529795010329</v>
      </c>
    </row>
    <row r="33" spans="1:6" ht="20.25" customHeight="1">
      <c r="A33" s="235">
        <v>8</v>
      </c>
      <c r="B33" s="236" t="s">
        <v>595</v>
      </c>
      <c r="C33" s="239">
        <v>1641</v>
      </c>
      <c r="D33" s="239">
        <v>5362</v>
      </c>
      <c r="E33" s="239">
        <f t="shared" si="2"/>
        <v>3721</v>
      </c>
      <c r="F33" s="238">
        <f t="shared" si="3"/>
        <v>2.267519804996953</v>
      </c>
    </row>
    <row r="34" spans="1:6" ht="20.25" customHeight="1">
      <c r="A34" s="235">
        <v>9</v>
      </c>
      <c r="B34" s="236" t="s">
        <v>596</v>
      </c>
      <c r="C34" s="239">
        <v>73</v>
      </c>
      <c r="D34" s="239">
        <v>233</v>
      </c>
      <c r="E34" s="239">
        <f t="shared" si="2"/>
        <v>160</v>
      </c>
      <c r="F34" s="238">
        <f t="shared" si="3"/>
        <v>2.191780821917808</v>
      </c>
    </row>
    <row r="35" spans="1:6" s="240" customFormat="1" ht="39.75" customHeight="1">
      <c r="A35" s="245"/>
      <c r="B35" s="242" t="s">
        <v>597</v>
      </c>
      <c r="C35" s="243">
        <f>+C26+C28</f>
        <v>12573422</v>
      </c>
      <c r="D35" s="243">
        <f>+D26+D28</f>
        <v>32158084</v>
      </c>
      <c r="E35" s="243">
        <f t="shared" si="2"/>
        <v>19584662</v>
      </c>
      <c r="F35" s="244">
        <f t="shared" si="3"/>
        <v>1.5576238513270293</v>
      </c>
    </row>
    <row r="36" spans="1:6" s="240" customFormat="1" ht="39.75" customHeight="1">
      <c r="A36" s="245"/>
      <c r="B36" s="242" t="s">
        <v>626</v>
      </c>
      <c r="C36" s="243">
        <f>+C27+C29</f>
        <v>4250277</v>
      </c>
      <c r="D36" s="243">
        <f>+D27+D29</f>
        <v>11199709</v>
      </c>
      <c r="E36" s="243">
        <f t="shared" si="2"/>
        <v>6949432</v>
      </c>
      <c r="F36" s="244">
        <f t="shared" si="3"/>
        <v>1.6350539035455807</v>
      </c>
    </row>
    <row r="37" spans="1:6" ht="42" customHeight="1">
      <c r="A37" s="227" t="s">
        <v>298</v>
      </c>
      <c r="B37" s="261" t="s">
        <v>630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590</v>
      </c>
      <c r="C38" s="237">
        <v>2732770</v>
      </c>
      <c r="D38" s="237">
        <v>0</v>
      </c>
      <c r="E38" s="237">
        <f aca="true" t="shared" si="4" ref="E38:E48">D38-C38</f>
        <v>-2732770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591</v>
      </c>
      <c r="C39" s="237">
        <v>791222</v>
      </c>
      <c r="D39" s="237">
        <v>0</v>
      </c>
      <c r="E39" s="237">
        <f t="shared" si="4"/>
        <v>-791222</v>
      </c>
      <c r="F39" s="238">
        <f t="shared" si="5"/>
        <v>-1</v>
      </c>
    </row>
    <row r="40" spans="1:6" ht="20.25" customHeight="1">
      <c r="A40" s="235">
        <v>3</v>
      </c>
      <c r="B40" s="236" t="s">
        <v>592</v>
      </c>
      <c r="C40" s="237">
        <v>1265364</v>
      </c>
      <c r="D40" s="237">
        <v>0</v>
      </c>
      <c r="E40" s="237">
        <f t="shared" si="4"/>
        <v>-1265364</v>
      </c>
      <c r="F40" s="238">
        <f t="shared" si="5"/>
        <v>-1</v>
      </c>
    </row>
    <row r="41" spans="1:6" ht="20.25" customHeight="1">
      <c r="A41" s="235">
        <v>4</v>
      </c>
      <c r="B41" s="236" t="s">
        <v>593</v>
      </c>
      <c r="C41" s="237">
        <v>357175</v>
      </c>
      <c r="D41" s="237">
        <v>0</v>
      </c>
      <c r="E41" s="237">
        <f t="shared" si="4"/>
        <v>-357175</v>
      </c>
      <c r="F41" s="238">
        <f t="shared" si="5"/>
        <v>-1</v>
      </c>
    </row>
    <row r="42" spans="1:6" ht="20.25" customHeight="1">
      <c r="A42" s="235">
        <v>5</v>
      </c>
      <c r="B42" s="236" t="s">
        <v>529</v>
      </c>
      <c r="C42" s="239">
        <v>195</v>
      </c>
      <c r="D42" s="239">
        <v>0</v>
      </c>
      <c r="E42" s="239">
        <f t="shared" si="4"/>
        <v>-195</v>
      </c>
      <c r="F42" s="238">
        <f t="shared" si="5"/>
        <v>-1</v>
      </c>
    </row>
    <row r="43" spans="1:6" ht="20.25" customHeight="1">
      <c r="A43" s="235">
        <v>6</v>
      </c>
      <c r="B43" s="236" t="s">
        <v>528</v>
      </c>
      <c r="C43" s="239">
        <v>710</v>
      </c>
      <c r="D43" s="239">
        <v>0</v>
      </c>
      <c r="E43" s="239">
        <f t="shared" si="4"/>
        <v>-710</v>
      </c>
      <c r="F43" s="238">
        <f t="shared" si="5"/>
        <v>-1</v>
      </c>
    </row>
    <row r="44" spans="1:6" ht="20.25" customHeight="1">
      <c r="A44" s="235">
        <v>7</v>
      </c>
      <c r="B44" s="236" t="s">
        <v>594</v>
      </c>
      <c r="C44" s="239">
        <v>905</v>
      </c>
      <c r="D44" s="239">
        <v>0</v>
      </c>
      <c r="E44" s="239">
        <f t="shared" si="4"/>
        <v>-905</v>
      </c>
      <c r="F44" s="238">
        <f t="shared" si="5"/>
        <v>-1</v>
      </c>
    </row>
    <row r="45" spans="1:6" ht="20.25" customHeight="1">
      <c r="A45" s="235">
        <v>8</v>
      </c>
      <c r="B45" s="236" t="s">
        <v>595</v>
      </c>
      <c r="C45" s="239">
        <v>430</v>
      </c>
      <c r="D45" s="239">
        <v>0</v>
      </c>
      <c r="E45" s="239">
        <f t="shared" si="4"/>
        <v>-430</v>
      </c>
      <c r="F45" s="238">
        <f t="shared" si="5"/>
        <v>-1</v>
      </c>
    </row>
    <row r="46" spans="1:6" ht="20.25" customHeight="1">
      <c r="A46" s="235">
        <v>9</v>
      </c>
      <c r="B46" s="236" t="s">
        <v>596</v>
      </c>
      <c r="C46" s="239">
        <v>31</v>
      </c>
      <c r="D46" s="239">
        <v>0</v>
      </c>
      <c r="E46" s="239">
        <f t="shared" si="4"/>
        <v>-31</v>
      </c>
      <c r="F46" s="238">
        <f t="shared" si="5"/>
        <v>-1</v>
      </c>
    </row>
    <row r="47" spans="1:6" s="240" customFormat="1" ht="39.75" customHeight="1">
      <c r="A47" s="245"/>
      <c r="B47" s="242" t="s">
        <v>597</v>
      </c>
      <c r="C47" s="243">
        <f>+C38+C40</f>
        <v>3998134</v>
      </c>
      <c r="D47" s="243">
        <f>+D38+D40</f>
        <v>0</v>
      </c>
      <c r="E47" s="243">
        <f t="shared" si="4"/>
        <v>-3998134</v>
      </c>
      <c r="F47" s="244">
        <f t="shared" si="5"/>
        <v>-1</v>
      </c>
    </row>
    <row r="48" spans="1:6" s="240" customFormat="1" ht="39.75" customHeight="1">
      <c r="A48" s="245"/>
      <c r="B48" s="242" t="s">
        <v>626</v>
      </c>
      <c r="C48" s="243">
        <f>+C39+C41</f>
        <v>1148397</v>
      </c>
      <c r="D48" s="243">
        <f>+D39+D41</f>
        <v>0</v>
      </c>
      <c r="E48" s="243">
        <f t="shared" si="4"/>
        <v>-1148397</v>
      </c>
      <c r="F48" s="244">
        <f t="shared" si="5"/>
        <v>-1</v>
      </c>
    </row>
    <row r="49" spans="1:6" ht="42" customHeight="1">
      <c r="A49" s="227" t="s">
        <v>327</v>
      </c>
      <c r="B49" s="261" t="s">
        <v>631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590</v>
      </c>
      <c r="C50" s="237">
        <v>1954811</v>
      </c>
      <c r="D50" s="237">
        <v>2016191</v>
      </c>
      <c r="E50" s="237">
        <f aca="true" t="shared" si="6" ref="E50:E60">D50-C50</f>
        <v>61380</v>
      </c>
      <c r="F50" s="238">
        <f aca="true" t="shared" si="7" ref="F50:F60">IF(C50=0,0,E50/C50)</f>
        <v>0.03139945498567381</v>
      </c>
    </row>
    <row r="51" spans="1:6" ht="20.25" customHeight="1">
      <c r="A51" s="235">
        <v>2</v>
      </c>
      <c r="B51" s="236" t="s">
        <v>591</v>
      </c>
      <c r="C51" s="237">
        <v>862616</v>
      </c>
      <c r="D51" s="237">
        <v>944602</v>
      </c>
      <c r="E51" s="237">
        <f t="shared" si="6"/>
        <v>81986</v>
      </c>
      <c r="F51" s="238">
        <f t="shared" si="7"/>
        <v>0.09504344922885734</v>
      </c>
    </row>
    <row r="52" spans="1:6" ht="20.25" customHeight="1">
      <c r="A52" s="235">
        <v>3</v>
      </c>
      <c r="B52" s="236" t="s">
        <v>592</v>
      </c>
      <c r="C52" s="237">
        <v>2227985</v>
      </c>
      <c r="D52" s="237">
        <v>1106280</v>
      </c>
      <c r="E52" s="237">
        <f t="shared" si="6"/>
        <v>-1121705</v>
      </c>
      <c r="F52" s="238">
        <f t="shared" si="7"/>
        <v>-0.5034616480811136</v>
      </c>
    </row>
    <row r="53" spans="1:6" ht="20.25" customHeight="1">
      <c r="A53" s="235">
        <v>4</v>
      </c>
      <c r="B53" s="236" t="s">
        <v>593</v>
      </c>
      <c r="C53" s="237">
        <v>1148777</v>
      </c>
      <c r="D53" s="237">
        <v>22967</v>
      </c>
      <c r="E53" s="237">
        <f t="shared" si="6"/>
        <v>-1125810</v>
      </c>
      <c r="F53" s="238">
        <f t="shared" si="7"/>
        <v>-0.9800074339928463</v>
      </c>
    </row>
    <row r="54" spans="1:6" ht="20.25" customHeight="1">
      <c r="A54" s="235">
        <v>5</v>
      </c>
      <c r="B54" s="236" t="s">
        <v>529</v>
      </c>
      <c r="C54" s="239">
        <v>197</v>
      </c>
      <c r="D54" s="239">
        <v>195</v>
      </c>
      <c r="E54" s="239">
        <f t="shared" si="6"/>
        <v>-2</v>
      </c>
      <c r="F54" s="238">
        <f t="shared" si="7"/>
        <v>-0.01015228426395939</v>
      </c>
    </row>
    <row r="55" spans="1:6" ht="20.25" customHeight="1">
      <c r="A55" s="235">
        <v>6</v>
      </c>
      <c r="B55" s="236" t="s">
        <v>528</v>
      </c>
      <c r="C55" s="239">
        <v>419</v>
      </c>
      <c r="D55" s="239">
        <v>521</v>
      </c>
      <c r="E55" s="239">
        <f t="shared" si="6"/>
        <v>102</v>
      </c>
      <c r="F55" s="238">
        <f t="shared" si="7"/>
        <v>0.24343675417661098</v>
      </c>
    </row>
    <row r="56" spans="1:6" ht="20.25" customHeight="1">
      <c r="A56" s="235">
        <v>7</v>
      </c>
      <c r="B56" s="236" t="s">
        <v>594</v>
      </c>
      <c r="C56" s="239">
        <v>2723</v>
      </c>
      <c r="D56" s="239">
        <v>1370</v>
      </c>
      <c r="E56" s="239">
        <f t="shared" si="6"/>
        <v>-1353</v>
      </c>
      <c r="F56" s="238">
        <f t="shared" si="7"/>
        <v>-0.49687844289386707</v>
      </c>
    </row>
    <row r="57" spans="1:6" ht="20.25" customHeight="1">
      <c r="A57" s="235">
        <v>8</v>
      </c>
      <c r="B57" s="236" t="s">
        <v>595</v>
      </c>
      <c r="C57" s="239">
        <v>860</v>
      </c>
      <c r="D57" s="239">
        <v>536</v>
      </c>
      <c r="E57" s="239">
        <f t="shared" si="6"/>
        <v>-324</v>
      </c>
      <c r="F57" s="238">
        <f t="shared" si="7"/>
        <v>-0.3767441860465116</v>
      </c>
    </row>
    <row r="58" spans="1:6" ht="20.25" customHeight="1">
      <c r="A58" s="235">
        <v>9</v>
      </c>
      <c r="B58" s="236" t="s">
        <v>596</v>
      </c>
      <c r="C58" s="239">
        <v>33</v>
      </c>
      <c r="D58" s="239">
        <v>21</v>
      </c>
      <c r="E58" s="239">
        <f t="shared" si="6"/>
        <v>-12</v>
      </c>
      <c r="F58" s="238">
        <f t="shared" si="7"/>
        <v>-0.36363636363636365</v>
      </c>
    </row>
    <row r="59" spans="1:6" s="240" customFormat="1" ht="39.75" customHeight="1">
      <c r="A59" s="245"/>
      <c r="B59" s="242" t="s">
        <v>597</v>
      </c>
      <c r="C59" s="243">
        <f>+C50+C52</f>
        <v>4182796</v>
      </c>
      <c r="D59" s="243">
        <f>+D50+D52</f>
        <v>3122471</v>
      </c>
      <c r="E59" s="243">
        <f t="shared" si="6"/>
        <v>-1060325</v>
      </c>
      <c r="F59" s="244">
        <f t="shared" si="7"/>
        <v>-0.2534967041184892</v>
      </c>
    </row>
    <row r="60" spans="1:6" s="240" customFormat="1" ht="39.75" customHeight="1">
      <c r="A60" s="245"/>
      <c r="B60" s="242" t="s">
        <v>626</v>
      </c>
      <c r="C60" s="243">
        <f>+C51+C53</f>
        <v>2011393</v>
      </c>
      <c r="D60" s="243">
        <f>+D51+D53</f>
        <v>967569</v>
      </c>
      <c r="E60" s="243">
        <f t="shared" si="6"/>
        <v>-1043824</v>
      </c>
      <c r="F60" s="244">
        <f t="shared" si="7"/>
        <v>-0.5189557684649395</v>
      </c>
    </row>
    <row r="61" spans="1:6" ht="42" customHeight="1">
      <c r="A61" s="227" t="s">
        <v>332</v>
      </c>
      <c r="B61" s="261" t="s">
        <v>605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590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591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592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593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529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528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594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595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596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597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626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338</v>
      </c>
      <c r="B73" s="261" t="s">
        <v>632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590</v>
      </c>
      <c r="C74" s="237">
        <v>0</v>
      </c>
      <c r="D74" s="237">
        <v>0</v>
      </c>
      <c r="E74" s="237">
        <f aca="true" t="shared" si="10" ref="E74:E84">D74-C74</f>
        <v>0</v>
      </c>
      <c r="F74" s="238">
        <f aca="true" t="shared" si="11" ref="F74:F84">IF(C74=0,0,E74/C74)</f>
        <v>0</v>
      </c>
    </row>
    <row r="75" spans="1:6" ht="20.25" customHeight="1">
      <c r="A75" s="235">
        <v>2</v>
      </c>
      <c r="B75" s="236" t="s">
        <v>591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>
      <c r="A76" s="235">
        <v>3</v>
      </c>
      <c r="B76" s="236" t="s">
        <v>592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>
      <c r="A77" s="235">
        <v>4</v>
      </c>
      <c r="B77" s="236" t="s">
        <v>593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>
      <c r="A78" s="235">
        <v>5</v>
      </c>
      <c r="B78" s="236" t="s">
        <v>529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>
      <c r="A79" s="235">
        <v>6</v>
      </c>
      <c r="B79" s="236" t="s">
        <v>528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>
      <c r="A80" s="235">
        <v>7</v>
      </c>
      <c r="B80" s="236" t="s">
        <v>594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>
      <c r="A81" s="235">
        <v>8</v>
      </c>
      <c r="B81" s="236" t="s">
        <v>595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>
      <c r="A82" s="235">
        <v>9</v>
      </c>
      <c r="B82" s="236" t="s">
        <v>596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597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75" customHeight="1">
      <c r="A84" s="245"/>
      <c r="B84" s="242" t="s">
        <v>626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>
      <c r="A85" s="227" t="s">
        <v>340</v>
      </c>
      <c r="B85" s="261" t="s">
        <v>633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590</v>
      </c>
      <c r="C86" s="237">
        <v>0</v>
      </c>
      <c r="D86" s="237">
        <v>3937392</v>
      </c>
      <c r="E86" s="237">
        <f aca="true" t="shared" si="12" ref="E86:E96">D86-C86</f>
        <v>3937392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591</v>
      </c>
      <c r="C87" s="237">
        <v>0</v>
      </c>
      <c r="D87" s="237">
        <v>1887408</v>
      </c>
      <c r="E87" s="237">
        <f t="shared" si="12"/>
        <v>1887408</v>
      </c>
      <c r="F87" s="238">
        <f t="shared" si="13"/>
        <v>0</v>
      </c>
    </row>
    <row r="88" spans="1:6" ht="20.25" customHeight="1">
      <c r="A88" s="235">
        <v>3</v>
      </c>
      <c r="B88" s="236" t="s">
        <v>592</v>
      </c>
      <c r="C88" s="237">
        <v>0</v>
      </c>
      <c r="D88" s="237">
        <v>3241529</v>
      </c>
      <c r="E88" s="237">
        <f t="shared" si="12"/>
        <v>3241529</v>
      </c>
      <c r="F88" s="238">
        <f t="shared" si="13"/>
        <v>0</v>
      </c>
    </row>
    <row r="89" spans="1:6" ht="20.25" customHeight="1">
      <c r="A89" s="235">
        <v>4</v>
      </c>
      <c r="B89" s="236" t="s">
        <v>593</v>
      </c>
      <c r="C89" s="237">
        <v>0</v>
      </c>
      <c r="D89" s="237">
        <v>1002350</v>
      </c>
      <c r="E89" s="237">
        <f t="shared" si="12"/>
        <v>1002350</v>
      </c>
      <c r="F89" s="238">
        <f t="shared" si="13"/>
        <v>0</v>
      </c>
    </row>
    <row r="90" spans="1:6" ht="20.25" customHeight="1">
      <c r="A90" s="235">
        <v>5</v>
      </c>
      <c r="B90" s="236" t="s">
        <v>529</v>
      </c>
      <c r="C90" s="239">
        <v>0</v>
      </c>
      <c r="D90" s="239">
        <v>393</v>
      </c>
      <c r="E90" s="239">
        <f t="shared" si="12"/>
        <v>393</v>
      </c>
      <c r="F90" s="238">
        <f t="shared" si="13"/>
        <v>0</v>
      </c>
    </row>
    <row r="91" spans="1:6" ht="20.25" customHeight="1">
      <c r="A91" s="235">
        <v>6</v>
      </c>
      <c r="B91" s="236" t="s">
        <v>528</v>
      </c>
      <c r="C91" s="239">
        <v>0</v>
      </c>
      <c r="D91" s="239">
        <v>1186</v>
      </c>
      <c r="E91" s="239">
        <f t="shared" si="12"/>
        <v>1186</v>
      </c>
      <c r="F91" s="238">
        <f t="shared" si="13"/>
        <v>0</v>
      </c>
    </row>
    <row r="92" spans="1:6" ht="20.25" customHeight="1">
      <c r="A92" s="235">
        <v>7</v>
      </c>
      <c r="B92" s="236" t="s">
        <v>594</v>
      </c>
      <c r="C92" s="239">
        <v>0</v>
      </c>
      <c r="D92" s="239">
        <v>3517</v>
      </c>
      <c r="E92" s="239">
        <f t="shared" si="12"/>
        <v>3517</v>
      </c>
      <c r="F92" s="238">
        <f t="shared" si="13"/>
        <v>0</v>
      </c>
    </row>
    <row r="93" spans="1:6" ht="20.25" customHeight="1">
      <c r="A93" s="235">
        <v>8</v>
      </c>
      <c r="B93" s="236" t="s">
        <v>595</v>
      </c>
      <c r="C93" s="239">
        <v>0</v>
      </c>
      <c r="D93" s="239">
        <v>1387</v>
      </c>
      <c r="E93" s="239">
        <f t="shared" si="12"/>
        <v>1387</v>
      </c>
      <c r="F93" s="238">
        <f t="shared" si="13"/>
        <v>0</v>
      </c>
    </row>
    <row r="94" spans="1:6" ht="20.25" customHeight="1">
      <c r="A94" s="235">
        <v>9</v>
      </c>
      <c r="B94" s="236" t="s">
        <v>596</v>
      </c>
      <c r="C94" s="239">
        <v>0</v>
      </c>
      <c r="D94" s="239">
        <v>61</v>
      </c>
      <c r="E94" s="239">
        <f t="shared" si="12"/>
        <v>61</v>
      </c>
      <c r="F94" s="238">
        <f t="shared" si="13"/>
        <v>0</v>
      </c>
    </row>
    <row r="95" spans="1:6" s="240" customFormat="1" ht="39.75" customHeight="1">
      <c r="A95" s="245"/>
      <c r="B95" s="242" t="s">
        <v>597</v>
      </c>
      <c r="C95" s="243">
        <f>+C86+C88</f>
        <v>0</v>
      </c>
      <c r="D95" s="243">
        <f>+D86+D88</f>
        <v>7178921</v>
      </c>
      <c r="E95" s="243">
        <f t="shared" si="12"/>
        <v>7178921</v>
      </c>
      <c r="F95" s="244">
        <f t="shared" si="13"/>
        <v>0</v>
      </c>
    </row>
    <row r="96" spans="1:6" s="240" customFormat="1" ht="39.75" customHeight="1">
      <c r="A96" s="245"/>
      <c r="B96" s="242" t="s">
        <v>626</v>
      </c>
      <c r="C96" s="243">
        <f>+C87+C89</f>
        <v>0</v>
      </c>
      <c r="D96" s="243">
        <f>+D87+D89</f>
        <v>2889758</v>
      </c>
      <c r="E96" s="243">
        <f t="shared" si="12"/>
        <v>2889758</v>
      </c>
      <c r="F96" s="244">
        <f t="shared" si="13"/>
        <v>0</v>
      </c>
    </row>
    <row r="97" spans="1:6" ht="42" customHeight="1">
      <c r="A97" s="227" t="s">
        <v>343</v>
      </c>
      <c r="B97" s="261" t="s">
        <v>606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590</v>
      </c>
      <c r="C98" s="237">
        <v>0</v>
      </c>
      <c r="D98" s="237">
        <v>8681371</v>
      </c>
      <c r="E98" s="237">
        <f aca="true" t="shared" si="14" ref="E98:E108">D98-C98</f>
        <v>8681371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591</v>
      </c>
      <c r="C99" s="237">
        <v>0</v>
      </c>
      <c r="D99" s="237">
        <v>3825077</v>
      </c>
      <c r="E99" s="237">
        <f t="shared" si="14"/>
        <v>3825077</v>
      </c>
      <c r="F99" s="238">
        <f t="shared" si="15"/>
        <v>0</v>
      </c>
    </row>
    <row r="100" spans="1:6" ht="20.25" customHeight="1">
      <c r="A100" s="235">
        <v>3</v>
      </c>
      <c r="B100" s="236" t="s">
        <v>592</v>
      </c>
      <c r="C100" s="237">
        <v>0</v>
      </c>
      <c r="D100" s="237">
        <v>6953936</v>
      </c>
      <c r="E100" s="237">
        <f t="shared" si="14"/>
        <v>6953936</v>
      </c>
      <c r="F100" s="238">
        <f t="shared" si="15"/>
        <v>0</v>
      </c>
    </row>
    <row r="101" spans="1:6" ht="20.25" customHeight="1">
      <c r="A101" s="235">
        <v>4</v>
      </c>
      <c r="B101" s="236" t="s">
        <v>593</v>
      </c>
      <c r="C101" s="237">
        <v>0</v>
      </c>
      <c r="D101" s="237">
        <v>2439133</v>
      </c>
      <c r="E101" s="237">
        <f t="shared" si="14"/>
        <v>2439133</v>
      </c>
      <c r="F101" s="238">
        <f t="shared" si="15"/>
        <v>0</v>
      </c>
    </row>
    <row r="102" spans="1:6" ht="20.25" customHeight="1">
      <c r="A102" s="235">
        <v>5</v>
      </c>
      <c r="B102" s="236" t="s">
        <v>529</v>
      </c>
      <c r="C102" s="239">
        <v>0</v>
      </c>
      <c r="D102" s="239">
        <v>802</v>
      </c>
      <c r="E102" s="239">
        <f t="shared" si="14"/>
        <v>802</v>
      </c>
      <c r="F102" s="238">
        <f t="shared" si="15"/>
        <v>0</v>
      </c>
    </row>
    <row r="103" spans="1:6" ht="20.25" customHeight="1">
      <c r="A103" s="235">
        <v>6</v>
      </c>
      <c r="B103" s="236" t="s">
        <v>528</v>
      </c>
      <c r="C103" s="239">
        <v>0</v>
      </c>
      <c r="D103" s="239">
        <v>2443</v>
      </c>
      <c r="E103" s="239">
        <f t="shared" si="14"/>
        <v>2443</v>
      </c>
      <c r="F103" s="238">
        <f t="shared" si="15"/>
        <v>0</v>
      </c>
    </row>
    <row r="104" spans="1:6" ht="20.25" customHeight="1">
      <c r="A104" s="235">
        <v>7</v>
      </c>
      <c r="B104" s="236" t="s">
        <v>594</v>
      </c>
      <c r="C104" s="239">
        <v>0</v>
      </c>
      <c r="D104" s="239">
        <v>7129</v>
      </c>
      <c r="E104" s="239">
        <f t="shared" si="14"/>
        <v>7129</v>
      </c>
      <c r="F104" s="238">
        <f t="shared" si="15"/>
        <v>0</v>
      </c>
    </row>
    <row r="105" spans="1:6" ht="20.25" customHeight="1">
      <c r="A105" s="235">
        <v>8</v>
      </c>
      <c r="B105" s="236" t="s">
        <v>595</v>
      </c>
      <c r="C105" s="239">
        <v>0</v>
      </c>
      <c r="D105" s="239">
        <v>3091</v>
      </c>
      <c r="E105" s="239">
        <f t="shared" si="14"/>
        <v>3091</v>
      </c>
      <c r="F105" s="238">
        <f t="shared" si="15"/>
        <v>0</v>
      </c>
    </row>
    <row r="106" spans="1:6" ht="20.25" customHeight="1">
      <c r="A106" s="235">
        <v>9</v>
      </c>
      <c r="B106" s="236" t="s">
        <v>596</v>
      </c>
      <c r="C106" s="239">
        <v>0</v>
      </c>
      <c r="D106" s="239">
        <v>117</v>
      </c>
      <c r="E106" s="239">
        <f t="shared" si="14"/>
        <v>117</v>
      </c>
      <c r="F106" s="238">
        <f t="shared" si="15"/>
        <v>0</v>
      </c>
    </row>
    <row r="107" spans="1:6" s="240" customFormat="1" ht="39.75" customHeight="1">
      <c r="A107" s="245"/>
      <c r="B107" s="242" t="s">
        <v>597</v>
      </c>
      <c r="C107" s="243">
        <f>+C98+C100</f>
        <v>0</v>
      </c>
      <c r="D107" s="243">
        <f>+D98+D100</f>
        <v>15635307</v>
      </c>
      <c r="E107" s="243">
        <f t="shared" si="14"/>
        <v>15635307</v>
      </c>
      <c r="F107" s="244">
        <f t="shared" si="15"/>
        <v>0</v>
      </c>
    </row>
    <row r="108" spans="1:6" s="240" customFormat="1" ht="39.75" customHeight="1">
      <c r="A108" s="245"/>
      <c r="B108" s="242" t="s">
        <v>626</v>
      </c>
      <c r="C108" s="243">
        <f>+C99+C101</f>
        <v>0</v>
      </c>
      <c r="D108" s="243">
        <f>+D99+D101</f>
        <v>6264210</v>
      </c>
      <c r="E108" s="243">
        <f t="shared" si="14"/>
        <v>6264210</v>
      </c>
      <c r="F108" s="244">
        <f t="shared" si="15"/>
        <v>0</v>
      </c>
    </row>
    <row r="109" spans="1:7" s="240" customFormat="1" ht="20.25" customHeight="1">
      <c r="A109" s="676" t="s">
        <v>201</v>
      </c>
      <c r="B109" s="678" t="s">
        <v>634</v>
      </c>
      <c r="C109" s="680"/>
      <c r="D109" s="681"/>
      <c r="E109" s="681"/>
      <c r="F109" s="682"/>
      <c r="G109" s="212"/>
    </row>
    <row r="110" spans="1:6" ht="20.25" customHeight="1">
      <c r="A110" s="677"/>
      <c r="B110" s="679"/>
      <c r="C110" s="683"/>
      <c r="D110" s="684"/>
      <c r="E110" s="684"/>
      <c r="F110" s="685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616</v>
      </c>
      <c r="C112" s="243">
        <f aca="true" t="shared" si="16" ref="C112:D120">+C98+C86+C74+C62+C50+C38+C26+C14</f>
        <v>32379591</v>
      </c>
      <c r="D112" s="243">
        <f t="shared" si="16"/>
        <v>37601071</v>
      </c>
      <c r="E112" s="243">
        <f aca="true" t="shared" si="17" ref="E112:E122">D112-C112</f>
        <v>5221480</v>
      </c>
      <c r="F112" s="244">
        <f aca="true" t="shared" si="18" ref="F112:F122">IF(C112=0,0,E112/C112)</f>
        <v>0.16125836796394372</v>
      </c>
    </row>
    <row r="113" spans="1:6" ht="20.25" customHeight="1">
      <c r="A113" s="249"/>
      <c r="B113" s="250" t="s">
        <v>617</v>
      </c>
      <c r="C113" s="243">
        <f t="shared" si="16"/>
        <v>12287486</v>
      </c>
      <c r="D113" s="243">
        <f t="shared" si="16"/>
        <v>14812276</v>
      </c>
      <c r="E113" s="243">
        <f t="shared" si="17"/>
        <v>2524790</v>
      </c>
      <c r="F113" s="244">
        <f t="shared" si="18"/>
        <v>0.20547653116349432</v>
      </c>
    </row>
    <row r="114" spans="1:6" ht="20.25" customHeight="1">
      <c r="A114" s="249"/>
      <c r="B114" s="250" t="s">
        <v>618</v>
      </c>
      <c r="C114" s="243">
        <f t="shared" si="16"/>
        <v>27791313</v>
      </c>
      <c r="D114" s="243">
        <f t="shared" si="16"/>
        <v>32361841</v>
      </c>
      <c r="E114" s="243">
        <f t="shared" si="17"/>
        <v>4570528</v>
      </c>
      <c r="F114" s="244">
        <f t="shared" si="18"/>
        <v>0.164458872454137</v>
      </c>
    </row>
    <row r="115" spans="1:6" ht="20.25" customHeight="1">
      <c r="A115" s="249"/>
      <c r="B115" s="250" t="s">
        <v>619</v>
      </c>
      <c r="C115" s="243">
        <f t="shared" si="16"/>
        <v>9031545</v>
      </c>
      <c r="D115" s="243">
        <f t="shared" si="16"/>
        <v>9496635</v>
      </c>
      <c r="E115" s="243">
        <f t="shared" si="17"/>
        <v>465090</v>
      </c>
      <c r="F115" s="244">
        <f t="shared" si="18"/>
        <v>0.05149617258176757</v>
      </c>
    </row>
    <row r="116" spans="1:6" ht="20.25" customHeight="1">
      <c r="A116" s="249"/>
      <c r="B116" s="250" t="s">
        <v>620</v>
      </c>
      <c r="C116" s="252">
        <f t="shared" si="16"/>
        <v>2904</v>
      </c>
      <c r="D116" s="252">
        <f t="shared" si="16"/>
        <v>3235</v>
      </c>
      <c r="E116" s="252">
        <f t="shared" si="17"/>
        <v>331</v>
      </c>
      <c r="F116" s="244">
        <f t="shared" si="18"/>
        <v>0.11398071625344353</v>
      </c>
    </row>
    <row r="117" spans="1:6" ht="20.25" customHeight="1">
      <c r="A117" s="249"/>
      <c r="B117" s="250" t="s">
        <v>621</v>
      </c>
      <c r="C117" s="252">
        <f t="shared" si="16"/>
        <v>8964</v>
      </c>
      <c r="D117" s="252">
        <f t="shared" si="16"/>
        <v>9943</v>
      </c>
      <c r="E117" s="252">
        <f t="shared" si="17"/>
        <v>979</v>
      </c>
      <c r="F117" s="244">
        <f t="shared" si="18"/>
        <v>0.10921463632307006</v>
      </c>
    </row>
    <row r="118" spans="1:6" ht="39.75" customHeight="1">
      <c r="A118" s="249"/>
      <c r="B118" s="250" t="s">
        <v>622</v>
      </c>
      <c r="C118" s="252">
        <f t="shared" si="16"/>
        <v>39602</v>
      </c>
      <c r="D118" s="252">
        <f t="shared" si="16"/>
        <v>37254</v>
      </c>
      <c r="E118" s="252">
        <f t="shared" si="17"/>
        <v>-2348</v>
      </c>
      <c r="F118" s="244">
        <f t="shared" si="18"/>
        <v>-0.05928993485177516</v>
      </c>
    </row>
    <row r="119" spans="1:6" ht="39.75" customHeight="1">
      <c r="A119" s="249"/>
      <c r="B119" s="250" t="s">
        <v>623</v>
      </c>
      <c r="C119" s="252">
        <f t="shared" si="16"/>
        <v>9742</v>
      </c>
      <c r="D119" s="252">
        <f t="shared" si="16"/>
        <v>12421</v>
      </c>
      <c r="E119" s="252">
        <f t="shared" si="17"/>
        <v>2679</v>
      </c>
      <c r="F119" s="244">
        <f t="shared" si="18"/>
        <v>0.2749948675836584</v>
      </c>
    </row>
    <row r="120" spans="1:6" ht="39.75" customHeight="1">
      <c r="A120" s="249"/>
      <c r="B120" s="250" t="s">
        <v>624</v>
      </c>
      <c r="C120" s="252">
        <f t="shared" si="16"/>
        <v>405</v>
      </c>
      <c r="D120" s="252">
        <f t="shared" si="16"/>
        <v>513</v>
      </c>
      <c r="E120" s="252">
        <f t="shared" si="17"/>
        <v>108</v>
      </c>
      <c r="F120" s="244">
        <f t="shared" si="18"/>
        <v>0.26666666666666666</v>
      </c>
    </row>
    <row r="121" spans="1:6" ht="39.75" customHeight="1">
      <c r="A121" s="249"/>
      <c r="B121" s="242" t="s">
        <v>597</v>
      </c>
      <c r="C121" s="243">
        <f>+C112+C114</f>
        <v>60170904</v>
      </c>
      <c r="D121" s="243">
        <f>+D112+D114</f>
        <v>69962912</v>
      </c>
      <c r="E121" s="243">
        <f t="shared" si="17"/>
        <v>9792008</v>
      </c>
      <c r="F121" s="244">
        <f t="shared" si="18"/>
        <v>0.1627365944177937</v>
      </c>
    </row>
    <row r="122" spans="1:6" ht="39.75" customHeight="1">
      <c r="A122" s="249"/>
      <c r="B122" s="242" t="s">
        <v>626</v>
      </c>
      <c r="C122" s="243">
        <f>+C113+C115</f>
        <v>21319031</v>
      </c>
      <c r="D122" s="243">
        <f>+D113+D115</f>
        <v>24308911</v>
      </c>
      <c r="E122" s="243">
        <f t="shared" si="17"/>
        <v>2989880</v>
      </c>
      <c r="F122" s="244">
        <f t="shared" si="18"/>
        <v>0.14024464807992446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FILING&amp;RHARTFORD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635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636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80257000</v>
      </c>
      <c r="D13" s="23">
        <v>82561000</v>
      </c>
      <c r="E13" s="23">
        <f aca="true" t="shared" si="0" ref="E13:E22">D13-C13</f>
        <v>2304000</v>
      </c>
      <c r="F13" s="24">
        <f aca="true" t="shared" si="1" ref="F13:F22">IF(C13=0,0,E13/C13)</f>
        <v>0.028707776268736683</v>
      </c>
    </row>
    <row r="14" spans="1:6" ht="24" customHeight="1">
      <c r="A14" s="21">
        <v>2</v>
      </c>
      <c r="B14" s="22" t="s">
        <v>174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175</v>
      </c>
      <c r="C15" s="23">
        <v>163557000</v>
      </c>
      <c r="D15" s="23">
        <v>173216000</v>
      </c>
      <c r="E15" s="23">
        <f t="shared" si="0"/>
        <v>9659000</v>
      </c>
      <c r="F15" s="24">
        <f t="shared" si="1"/>
        <v>0.059055864316415685</v>
      </c>
    </row>
    <row r="16" spans="1:6" ht="34.5" customHeight="1">
      <c r="A16" s="21">
        <v>4</v>
      </c>
      <c r="B16" s="22" t="s">
        <v>176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177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178</v>
      </c>
      <c r="C18" s="23">
        <v>11484000</v>
      </c>
      <c r="D18" s="23">
        <v>6060000</v>
      </c>
      <c r="E18" s="23">
        <f t="shared" si="0"/>
        <v>-5424000</v>
      </c>
      <c r="F18" s="24">
        <f t="shared" si="1"/>
        <v>-0.4723092998955068</v>
      </c>
    </row>
    <row r="19" spans="1:6" ht="24" customHeight="1">
      <c r="A19" s="21">
        <v>7</v>
      </c>
      <c r="B19" s="22" t="s">
        <v>179</v>
      </c>
      <c r="C19" s="23">
        <v>12676000</v>
      </c>
      <c r="D19" s="23">
        <v>14119000</v>
      </c>
      <c r="E19" s="23">
        <f t="shared" si="0"/>
        <v>1443000</v>
      </c>
      <c r="F19" s="24">
        <f t="shared" si="1"/>
        <v>0.11383717260965605</v>
      </c>
    </row>
    <row r="20" spans="1:6" ht="24" customHeight="1">
      <c r="A20" s="21">
        <v>8</v>
      </c>
      <c r="B20" s="22" t="s">
        <v>180</v>
      </c>
      <c r="C20" s="23">
        <v>17922000</v>
      </c>
      <c r="D20" s="23">
        <v>21884000</v>
      </c>
      <c r="E20" s="23">
        <f t="shared" si="0"/>
        <v>3962000</v>
      </c>
      <c r="F20" s="24">
        <f t="shared" si="1"/>
        <v>0.22106907711192947</v>
      </c>
    </row>
    <row r="21" spans="1:6" ht="24" customHeight="1">
      <c r="A21" s="21">
        <v>9</v>
      </c>
      <c r="B21" s="22" t="s">
        <v>181</v>
      </c>
      <c r="C21" s="23">
        <v>30002000</v>
      </c>
      <c r="D21" s="23">
        <v>26861000</v>
      </c>
      <c r="E21" s="23">
        <f t="shared" si="0"/>
        <v>-3141000</v>
      </c>
      <c r="F21" s="24">
        <f t="shared" si="1"/>
        <v>-0.10469302046530231</v>
      </c>
    </row>
    <row r="22" spans="1:6" ht="24" customHeight="1">
      <c r="A22" s="25"/>
      <c r="B22" s="26" t="s">
        <v>182</v>
      </c>
      <c r="C22" s="27">
        <f>SUM(C13:C21)</f>
        <v>315898000</v>
      </c>
      <c r="D22" s="27">
        <f>SUM(D13:D21)</f>
        <v>324701000</v>
      </c>
      <c r="E22" s="27">
        <f t="shared" si="0"/>
        <v>8803000</v>
      </c>
      <c r="F22" s="28">
        <f t="shared" si="1"/>
        <v>0.027866589848622024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129868000</v>
      </c>
      <c r="D25" s="23">
        <v>124401000</v>
      </c>
      <c r="E25" s="23">
        <f>D25-C25</f>
        <v>-5467000</v>
      </c>
      <c r="F25" s="24">
        <f>IF(C25=0,0,E25/C25)</f>
        <v>-0.0420965903840823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188</v>
      </c>
      <c r="C28" s="23">
        <v>432949000</v>
      </c>
      <c r="D28" s="23">
        <v>385567000</v>
      </c>
      <c r="E28" s="23">
        <f>D28-C28</f>
        <v>-47382000</v>
      </c>
      <c r="F28" s="24">
        <f>IF(C28=0,0,E28/C28)</f>
        <v>-0.10944014191047906</v>
      </c>
    </row>
    <row r="29" spans="1:6" ht="34.5" customHeight="1">
      <c r="A29" s="25"/>
      <c r="B29" s="26" t="s">
        <v>189</v>
      </c>
      <c r="C29" s="27">
        <f>SUM(C25:C28)</f>
        <v>562817000</v>
      </c>
      <c r="D29" s="27">
        <f>SUM(D25:D28)</f>
        <v>509968000</v>
      </c>
      <c r="E29" s="27">
        <f>D29-C29</f>
        <v>-52849000</v>
      </c>
      <c r="F29" s="28">
        <f>IF(C29=0,0,E29/C29)</f>
        <v>-0.09390085942677638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192</v>
      </c>
      <c r="C33" s="23">
        <v>115052000</v>
      </c>
      <c r="D33" s="23">
        <v>48280000</v>
      </c>
      <c r="E33" s="23">
        <f>D33-C33</f>
        <v>-66772000</v>
      </c>
      <c r="F33" s="24">
        <f>IF(C33=0,0,E33/C33)</f>
        <v>-0.5803636616486458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193</v>
      </c>
      <c r="B35" s="30" t="s">
        <v>194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195</v>
      </c>
      <c r="C36" s="23">
        <v>1129334000</v>
      </c>
      <c r="D36" s="23">
        <v>1202351000</v>
      </c>
      <c r="E36" s="23">
        <f>D36-C36</f>
        <v>73017000</v>
      </c>
      <c r="F36" s="24">
        <f>IF(C36=0,0,E36/C36)</f>
        <v>0.06465492051067266</v>
      </c>
    </row>
    <row r="37" spans="1:6" ht="24" customHeight="1">
      <c r="A37" s="21">
        <v>2</v>
      </c>
      <c r="B37" s="22" t="s">
        <v>196</v>
      </c>
      <c r="C37" s="23">
        <v>706242000</v>
      </c>
      <c r="D37" s="23">
        <v>765929000</v>
      </c>
      <c r="E37" s="23">
        <f>D37-C37</f>
        <v>59687000</v>
      </c>
      <c r="F37" s="23">
        <f>IF(C37=0,0,E37/C37)</f>
        <v>0.08451352369301174</v>
      </c>
    </row>
    <row r="38" spans="1:6" ht="24" customHeight="1">
      <c r="A38" s="25"/>
      <c r="B38" s="26" t="s">
        <v>197</v>
      </c>
      <c r="C38" s="27">
        <f>C36-C37</f>
        <v>423092000</v>
      </c>
      <c r="D38" s="27">
        <f>D36-D37</f>
        <v>436422000</v>
      </c>
      <c r="E38" s="27">
        <f>D38-C38</f>
        <v>13330000</v>
      </c>
      <c r="F38" s="28">
        <f>IF(C38=0,0,E38/C38)</f>
        <v>0.031506149962655876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198</v>
      </c>
      <c r="C40" s="23">
        <v>39973000</v>
      </c>
      <c r="D40" s="23">
        <v>64533000</v>
      </c>
      <c r="E40" s="23">
        <f>D40-C40</f>
        <v>24560000</v>
      </c>
      <c r="F40" s="24">
        <f>IF(C40=0,0,E40/C40)</f>
        <v>0.6144147299427113</v>
      </c>
    </row>
    <row r="41" spans="1:6" ht="24" customHeight="1">
      <c r="A41" s="25"/>
      <c r="B41" s="26" t="s">
        <v>199</v>
      </c>
      <c r="C41" s="27">
        <f>+C38+C40</f>
        <v>463065000</v>
      </c>
      <c r="D41" s="27">
        <f>+D38+D40</f>
        <v>500955000</v>
      </c>
      <c r="E41" s="27">
        <f>D41-C41</f>
        <v>37890000</v>
      </c>
      <c r="F41" s="28">
        <f>IF(C41=0,0,E41/C41)</f>
        <v>0.08182436590975349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200</v>
      </c>
      <c r="C43" s="27">
        <f>C22+C29+C31+C32+C33+C41</f>
        <v>1456832000</v>
      </c>
      <c r="D43" s="27">
        <f>D22+D29+D31+D32+D33+D41</f>
        <v>1383904000</v>
      </c>
      <c r="E43" s="27">
        <f>D43-C43</f>
        <v>-72928000</v>
      </c>
      <c r="F43" s="28">
        <f>IF(C43=0,0,E43/C43)</f>
        <v>-0.05005930676975794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204</v>
      </c>
      <c r="C49" s="23">
        <v>46885000</v>
      </c>
      <c r="D49" s="23">
        <v>61651000</v>
      </c>
      <c r="E49" s="23">
        <f aca="true" t="shared" si="2" ref="E49:E56">D49-C49</f>
        <v>14766000</v>
      </c>
      <c r="F49" s="24">
        <f aca="true" t="shared" si="3" ref="F49:F56">IF(C49=0,0,E49/C49)</f>
        <v>0.31494081262663964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52454000</v>
      </c>
      <c r="D50" s="23">
        <v>54547000</v>
      </c>
      <c r="E50" s="23">
        <f t="shared" si="2"/>
        <v>2093000</v>
      </c>
      <c r="F50" s="24">
        <f t="shared" si="3"/>
        <v>0.03990162809318641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208</v>
      </c>
      <c r="C53" s="23">
        <v>5018000</v>
      </c>
      <c r="D53" s="23">
        <v>5157000</v>
      </c>
      <c r="E53" s="23">
        <f t="shared" si="2"/>
        <v>139000</v>
      </c>
      <c r="F53" s="24">
        <f t="shared" si="3"/>
        <v>0.027700278995615783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73554000</v>
      </c>
      <c r="D55" s="23">
        <v>72509000</v>
      </c>
      <c r="E55" s="23">
        <f t="shared" si="2"/>
        <v>-1045000</v>
      </c>
      <c r="F55" s="24">
        <f t="shared" si="3"/>
        <v>-0.01420724909590233</v>
      </c>
    </row>
    <row r="56" spans="1:6" ht="24" customHeight="1">
      <c r="A56" s="25"/>
      <c r="B56" s="26" t="s">
        <v>211</v>
      </c>
      <c r="C56" s="27">
        <f>SUM(C49:C55)</f>
        <v>177911000</v>
      </c>
      <c r="D56" s="27">
        <f>SUM(D49:D55)</f>
        <v>193864000</v>
      </c>
      <c r="E56" s="27">
        <f t="shared" si="2"/>
        <v>15953000</v>
      </c>
      <c r="F56" s="28">
        <f t="shared" si="3"/>
        <v>0.08966842972047821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213</v>
      </c>
      <c r="C59" s="23">
        <v>169436000</v>
      </c>
      <c r="D59" s="23">
        <v>165631000</v>
      </c>
      <c r="E59" s="23">
        <f>D59-C59</f>
        <v>-3805000</v>
      </c>
      <c r="F59" s="24">
        <f>IF(C59=0,0,E59/C59)</f>
        <v>-0.022456856866309403</v>
      </c>
    </row>
    <row r="60" spans="1:6" ht="24" customHeight="1">
      <c r="A60" s="21">
        <v>2</v>
      </c>
      <c r="B60" s="22" t="s">
        <v>214</v>
      </c>
      <c r="C60" s="23">
        <v>0</v>
      </c>
      <c r="D60" s="23">
        <v>0</v>
      </c>
      <c r="E60" s="23">
        <f>D60-C60</f>
        <v>0</v>
      </c>
      <c r="F60" s="24">
        <f>IF(C60=0,0,E60/C60)</f>
        <v>0</v>
      </c>
    </row>
    <row r="61" spans="1:6" ht="24" customHeight="1">
      <c r="A61" s="25"/>
      <c r="B61" s="26" t="s">
        <v>215</v>
      </c>
      <c r="C61" s="27">
        <f>SUM(C59:C60)</f>
        <v>169436000</v>
      </c>
      <c r="D61" s="27">
        <f>SUM(D59:D60)</f>
        <v>165631000</v>
      </c>
      <c r="E61" s="27">
        <f>D61-C61</f>
        <v>-3805000</v>
      </c>
      <c r="F61" s="28">
        <f>IF(C61=0,0,E61/C61)</f>
        <v>-0.022456856866309403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216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217</v>
      </c>
      <c r="C64" s="23">
        <v>137157000</v>
      </c>
      <c r="D64" s="23">
        <v>363364000</v>
      </c>
      <c r="E64" s="23">
        <f>D64-C64</f>
        <v>226207000</v>
      </c>
      <c r="F64" s="24">
        <f>IF(C64=0,0,E64/C64)</f>
        <v>1.6492559621455705</v>
      </c>
    </row>
    <row r="65" spans="1:6" ht="24" customHeight="1">
      <c r="A65" s="25"/>
      <c r="B65" s="26" t="s">
        <v>218</v>
      </c>
      <c r="C65" s="27">
        <f>SUM(C61:C64)</f>
        <v>306593000</v>
      </c>
      <c r="D65" s="27">
        <f>SUM(D61:D64)</f>
        <v>528995000</v>
      </c>
      <c r="E65" s="27">
        <f>D65-C65</f>
        <v>222402000</v>
      </c>
      <c r="F65" s="28">
        <f>IF(C65=0,0,E65/C65)</f>
        <v>0.7253981662986435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193</v>
      </c>
      <c r="B69" s="41" t="s">
        <v>220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221</v>
      </c>
      <c r="C70" s="23">
        <v>640110000</v>
      </c>
      <c r="D70" s="23">
        <v>350486000</v>
      </c>
      <c r="E70" s="23">
        <f>D70-C70</f>
        <v>-289624000</v>
      </c>
      <c r="F70" s="24">
        <f>IF(C70=0,0,E70/C70)</f>
        <v>-0.45245973348330754</v>
      </c>
    </row>
    <row r="71" spans="1:6" ht="24" customHeight="1">
      <c r="A71" s="21">
        <v>2</v>
      </c>
      <c r="B71" s="22" t="s">
        <v>222</v>
      </c>
      <c r="C71" s="23">
        <v>121896000</v>
      </c>
      <c r="D71" s="23">
        <v>107425000</v>
      </c>
      <c r="E71" s="23">
        <f>D71-C71</f>
        <v>-14471000</v>
      </c>
      <c r="F71" s="24">
        <f>IF(C71=0,0,E71/C71)</f>
        <v>-0.11871595458423574</v>
      </c>
    </row>
    <row r="72" spans="1:6" ht="24" customHeight="1">
      <c r="A72" s="21">
        <v>3</v>
      </c>
      <c r="B72" s="22" t="s">
        <v>223</v>
      </c>
      <c r="C72" s="23">
        <v>210322000</v>
      </c>
      <c r="D72" s="23">
        <v>203134000</v>
      </c>
      <c r="E72" s="23">
        <f>D72-C72</f>
        <v>-7188000</v>
      </c>
      <c r="F72" s="24">
        <f>IF(C72=0,0,E72/C72)</f>
        <v>-0.03417616797101587</v>
      </c>
    </row>
    <row r="73" spans="1:6" ht="24" customHeight="1">
      <c r="A73" s="21"/>
      <c r="B73" s="26" t="s">
        <v>224</v>
      </c>
      <c r="C73" s="27">
        <f>SUM(C70:C72)</f>
        <v>972328000</v>
      </c>
      <c r="D73" s="27">
        <f>SUM(D70:D72)</f>
        <v>661045000</v>
      </c>
      <c r="E73" s="27">
        <f>D73-C73</f>
        <v>-311283000</v>
      </c>
      <c r="F73" s="28">
        <f>IF(C73=0,0,E73/C73)</f>
        <v>-0.3201419685538213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225</v>
      </c>
      <c r="C75" s="27">
        <f>C56+C65+C67+C73</f>
        <v>1456832000</v>
      </c>
      <c r="D75" s="27">
        <f>D56+D65+D67+D73</f>
        <v>1383904000</v>
      </c>
      <c r="E75" s="27">
        <f>D75-C75</f>
        <v>-72928000</v>
      </c>
      <c r="F75" s="28">
        <f>IF(C75=0,0,E75/C75)</f>
        <v>-0.05005930676975794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24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635</v>
      </c>
      <c r="B1" s="696"/>
      <c r="C1" s="696"/>
      <c r="D1" s="696"/>
      <c r="E1" s="696"/>
      <c r="F1" s="697"/>
    </row>
    <row r="2" spans="1:6" ht="22.5" customHeight="1">
      <c r="A2" s="695" t="s">
        <v>158</v>
      </c>
      <c r="B2" s="696"/>
      <c r="C2" s="696"/>
      <c r="D2" s="696"/>
      <c r="E2" s="696"/>
      <c r="F2" s="697"/>
    </row>
    <row r="3" spans="1:6" ht="22.5" customHeight="1">
      <c r="A3" s="695" t="s">
        <v>159</v>
      </c>
      <c r="B3" s="696"/>
      <c r="C3" s="696"/>
      <c r="D3" s="696"/>
      <c r="E3" s="696"/>
      <c r="F3" s="697"/>
    </row>
    <row r="4" spans="1:6" ht="22.5" customHeight="1">
      <c r="A4" s="695" t="s">
        <v>637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2314121000</v>
      </c>
      <c r="D12" s="51">
        <v>2533111000</v>
      </c>
      <c r="E12" s="51">
        <f aca="true" t="shared" si="0" ref="E12:E19">D12-C12</f>
        <v>218990000</v>
      </c>
      <c r="F12" s="70">
        <f aca="true" t="shared" si="1" ref="F12:F19">IF(C12=0,0,E12/C12)</f>
        <v>0.09463204387324604</v>
      </c>
    </row>
    <row r="13" spans="1:6" ht="22.5" customHeight="1">
      <c r="A13" s="25">
        <v>2</v>
      </c>
      <c r="B13" s="48" t="s">
        <v>229</v>
      </c>
      <c r="C13" s="51">
        <v>1239407000</v>
      </c>
      <c r="D13" s="51">
        <v>1376028000</v>
      </c>
      <c r="E13" s="51">
        <f t="shared" si="0"/>
        <v>136621000</v>
      </c>
      <c r="F13" s="70">
        <f t="shared" si="1"/>
        <v>0.11023094108714894</v>
      </c>
    </row>
    <row r="14" spans="1:6" ht="22.5" customHeight="1">
      <c r="A14" s="25">
        <v>3</v>
      </c>
      <c r="B14" s="48" t="s">
        <v>230</v>
      </c>
      <c r="C14" s="51">
        <v>48645000</v>
      </c>
      <c r="D14" s="51">
        <v>38297000</v>
      </c>
      <c r="E14" s="51">
        <f t="shared" si="0"/>
        <v>-10348000</v>
      </c>
      <c r="F14" s="70">
        <f t="shared" si="1"/>
        <v>-0.2127248432521328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1026069000</v>
      </c>
      <c r="D16" s="27">
        <f>D12-D13-D14-D15</f>
        <v>1118786000</v>
      </c>
      <c r="E16" s="27">
        <f t="shared" si="0"/>
        <v>92717000</v>
      </c>
      <c r="F16" s="28">
        <f t="shared" si="1"/>
        <v>0.09036136945955876</v>
      </c>
    </row>
    <row r="17" spans="1:7" ht="22.5" customHeight="1">
      <c r="A17" s="25">
        <v>5</v>
      </c>
      <c r="B17" s="48" t="s">
        <v>233</v>
      </c>
      <c r="C17" s="51">
        <v>155261000</v>
      </c>
      <c r="D17" s="51">
        <v>162215000</v>
      </c>
      <c r="E17" s="51">
        <f t="shared" si="0"/>
        <v>6954000</v>
      </c>
      <c r="F17" s="70">
        <f t="shared" si="1"/>
        <v>0.04478909706880672</v>
      </c>
      <c r="G17" s="64"/>
    </row>
    <row r="18" spans="1:7" ht="33" customHeight="1">
      <c r="A18" s="25">
        <v>6</v>
      </c>
      <c r="B18" s="45" t="s">
        <v>234</v>
      </c>
      <c r="C18" s="51">
        <v>29941000</v>
      </c>
      <c r="D18" s="51">
        <v>10942000</v>
      </c>
      <c r="E18" s="51">
        <f t="shared" si="0"/>
        <v>-18999000</v>
      </c>
      <c r="F18" s="70">
        <f t="shared" si="1"/>
        <v>-0.6345479442904378</v>
      </c>
      <c r="G18" s="64"/>
    </row>
    <row r="19" spans="1:6" ht="22.5" customHeight="1">
      <c r="A19" s="29"/>
      <c r="B19" s="71" t="s">
        <v>235</v>
      </c>
      <c r="C19" s="27">
        <f>SUM(C16:C18)</f>
        <v>1211271000</v>
      </c>
      <c r="D19" s="27">
        <f>SUM(D16:D18)</f>
        <v>1291943000</v>
      </c>
      <c r="E19" s="27">
        <f t="shared" si="0"/>
        <v>80672000</v>
      </c>
      <c r="F19" s="28">
        <f t="shared" si="1"/>
        <v>0.06660111568757116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560718000</v>
      </c>
      <c r="D22" s="51">
        <v>593414000</v>
      </c>
      <c r="E22" s="51">
        <f aca="true" t="shared" si="2" ref="E22:E31">D22-C22</f>
        <v>32696000</v>
      </c>
      <c r="F22" s="70">
        <f aca="true" t="shared" si="3" ref="F22:F31">IF(C22=0,0,E22/C22)</f>
        <v>0.05831095131599128</v>
      </c>
    </row>
    <row r="23" spans="1:6" ht="22.5" customHeight="1">
      <c r="A23" s="25">
        <v>2</v>
      </c>
      <c r="B23" s="48" t="s">
        <v>238</v>
      </c>
      <c r="C23" s="51">
        <v>122042000</v>
      </c>
      <c r="D23" s="51">
        <v>135037000</v>
      </c>
      <c r="E23" s="51">
        <f t="shared" si="2"/>
        <v>12995000</v>
      </c>
      <c r="F23" s="70">
        <f t="shared" si="3"/>
        <v>0.10647973648416119</v>
      </c>
    </row>
    <row r="24" spans="1:7" ht="22.5" customHeight="1">
      <c r="A24" s="25">
        <v>3</v>
      </c>
      <c r="B24" s="48" t="s">
        <v>239</v>
      </c>
      <c r="C24" s="51">
        <v>32765000</v>
      </c>
      <c r="D24" s="51">
        <v>39806000</v>
      </c>
      <c r="E24" s="51">
        <f t="shared" si="2"/>
        <v>7041000</v>
      </c>
      <c r="F24" s="70">
        <f t="shared" si="3"/>
        <v>0.2148939417060888</v>
      </c>
      <c r="G24" s="64"/>
    </row>
    <row r="25" spans="1:6" ht="22.5" customHeight="1">
      <c r="A25" s="25">
        <v>4</v>
      </c>
      <c r="B25" s="48" t="s">
        <v>240</v>
      </c>
      <c r="C25" s="51">
        <v>137668000</v>
      </c>
      <c r="D25" s="51">
        <v>154679000</v>
      </c>
      <c r="E25" s="51">
        <f t="shared" si="2"/>
        <v>17011000</v>
      </c>
      <c r="F25" s="70">
        <f t="shared" si="3"/>
        <v>0.12356538919719906</v>
      </c>
    </row>
    <row r="26" spans="1:6" ht="22.5" customHeight="1">
      <c r="A26" s="25">
        <v>5</v>
      </c>
      <c r="B26" s="48" t="s">
        <v>241</v>
      </c>
      <c r="C26" s="51">
        <v>59909000</v>
      </c>
      <c r="D26" s="51">
        <v>60718000</v>
      </c>
      <c r="E26" s="51">
        <f t="shared" si="2"/>
        <v>809000</v>
      </c>
      <c r="F26" s="70">
        <f t="shared" si="3"/>
        <v>0.013503814118079086</v>
      </c>
    </row>
    <row r="27" spans="1:6" ht="22.5" customHeight="1">
      <c r="A27" s="25">
        <v>6</v>
      </c>
      <c r="B27" s="48" t="s">
        <v>242</v>
      </c>
      <c r="C27" s="51">
        <v>48643000</v>
      </c>
      <c r="D27" s="51">
        <v>46405000</v>
      </c>
      <c r="E27" s="51">
        <f t="shared" si="2"/>
        <v>-2238000</v>
      </c>
      <c r="F27" s="70">
        <f t="shared" si="3"/>
        <v>-0.04600867545176079</v>
      </c>
    </row>
    <row r="28" spans="1:6" ht="22.5" customHeight="1">
      <c r="A28" s="25">
        <v>7</v>
      </c>
      <c r="B28" s="48" t="s">
        <v>243</v>
      </c>
      <c r="C28" s="51">
        <v>5602000</v>
      </c>
      <c r="D28" s="51">
        <v>4609000</v>
      </c>
      <c r="E28" s="51">
        <f t="shared" si="2"/>
        <v>-993000</v>
      </c>
      <c r="F28" s="70">
        <f t="shared" si="3"/>
        <v>-0.17725812209925026</v>
      </c>
    </row>
    <row r="29" spans="1:6" ht="22.5" customHeight="1">
      <c r="A29" s="25">
        <v>8</v>
      </c>
      <c r="B29" s="48" t="s">
        <v>244</v>
      </c>
      <c r="C29" s="51">
        <v>20731000</v>
      </c>
      <c r="D29" s="51">
        <v>21253000</v>
      </c>
      <c r="E29" s="51">
        <f t="shared" si="2"/>
        <v>522000</v>
      </c>
      <c r="F29" s="70">
        <f t="shared" si="3"/>
        <v>0.025179682600935796</v>
      </c>
    </row>
    <row r="30" spans="1:6" ht="22.5" customHeight="1">
      <c r="A30" s="25">
        <v>9</v>
      </c>
      <c r="B30" s="48" t="s">
        <v>245</v>
      </c>
      <c r="C30" s="51">
        <v>223943000</v>
      </c>
      <c r="D30" s="51">
        <v>225290000</v>
      </c>
      <c r="E30" s="51">
        <f t="shared" si="2"/>
        <v>1347000</v>
      </c>
      <c r="F30" s="70">
        <f t="shared" si="3"/>
        <v>0.006014923440339729</v>
      </c>
    </row>
    <row r="31" spans="1:6" ht="22.5" customHeight="1">
      <c r="A31" s="29"/>
      <c r="B31" s="71" t="s">
        <v>246</v>
      </c>
      <c r="C31" s="27">
        <f>SUM(C22:C30)</f>
        <v>1212021000</v>
      </c>
      <c r="D31" s="27">
        <f>SUM(D22:D30)</f>
        <v>1281211000</v>
      </c>
      <c r="E31" s="27">
        <f t="shared" si="2"/>
        <v>69190000</v>
      </c>
      <c r="F31" s="28">
        <f t="shared" si="3"/>
        <v>0.05708646962387615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-750000</v>
      </c>
      <c r="D33" s="27">
        <f>+D19-D31</f>
        <v>10732000</v>
      </c>
      <c r="E33" s="27">
        <f>D33-C33</f>
        <v>11482000</v>
      </c>
      <c r="F33" s="28">
        <f>IF(C33=0,0,E33/C33)</f>
        <v>-15.309333333333333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16978000</v>
      </c>
      <c r="D36" s="51">
        <v>-8861000</v>
      </c>
      <c r="E36" s="51">
        <f>D36-C36</f>
        <v>-25839000</v>
      </c>
      <c r="F36" s="70">
        <f>IF(C36=0,0,E36/C36)</f>
        <v>-1.5219107079750265</v>
      </c>
    </row>
    <row r="37" spans="1:6" ht="22.5" customHeight="1">
      <c r="A37" s="44">
        <v>2</v>
      </c>
      <c r="B37" s="48" t="s">
        <v>250</v>
      </c>
      <c r="C37" s="51">
        <v>1134000</v>
      </c>
      <c r="D37" s="51">
        <v>1004000</v>
      </c>
      <c r="E37" s="51">
        <f>D37-C37</f>
        <v>-130000</v>
      </c>
      <c r="F37" s="70">
        <f>IF(C37=0,0,E37/C37)</f>
        <v>-0.1146384479717813</v>
      </c>
    </row>
    <row r="38" spans="1:6" ht="22.5" customHeight="1">
      <c r="A38" s="44">
        <v>3</v>
      </c>
      <c r="B38" s="48" t="s">
        <v>251</v>
      </c>
      <c r="C38" s="51">
        <v>-66760000</v>
      </c>
      <c r="D38" s="51">
        <v>-11525000</v>
      </c>
      <c r="E38" s="51">
        <f>D38-C38</f>
        <v>55235000</v>
      </c>
      <c r="F38" s="70">
        <f>IF(C38=0,0,E38/C38)</f>
        <v>-0.8273666866387058</v>
      </c>
    </row>
    <row r="39" spans="1:6" ht="22.5" customHeight="1">
      <c r="A39" s="20"/>
      <c r="B39" s="71" t="s">
        <v>252</v>
      </c>
      <c r="C39" s="27">
        <f>SUM(C36:C38)</f>
        <v>-48648000</v>
      </c>
      <c r="D39" s="27">
        <f>SUM(D36:D38)</f>
        <v>-19382000</v>
      </c>
      <c r="E39" s="27">
        <f>D39-C39</f>
        <v>29266000</v>
      </c>
      <c r="F39" s="28">
        <f>IF(C39=0,0,E39/C39)</f>
        <v>-0.6015869100476895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-49398000</v>
      </c>
      <c r="D41" s="27">
        <f>D33+D39</f>
        <v>-8650000</v>
      </c>
      <c r="E41" s="27">
        <f>D41-C41</f>
        <v>40748000</v>
      </c>
      <c r="F41" s="28">
        <f>IF(C41=0,0,E41/C41)</f>
        <v>-0.8248916960200818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2052000</v>
      </c>
      <c r="E44" s="51">
        <f>D44-C44</f>
        <v>2052000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-276000</v>
      </c>
      <c r="E45" s="51">
        <f>D45-C45</f>
        <v>-276000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1776000</v>
      </c>
      <c r="E46" s="27">
        <f>D46-C46</f>
        <v>1776000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258</v>
      </c>
      <c r="C48" s="27">
        <f>C41+C46</f>
        <v>-49398000</v>
      </c>
      <c r="D48" s="27">
        <f>D41+D46</f>
        <v>-6874000</v>
      </c>
      <c r="E48" s="27">
        <f>D48-C48</f>
        <v>42524000</v>
      </c>
      <c r="F48" s="28">
        <f>IF(C48=0,0,E48/C48)</f>
        <v>-0.8608445686060164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2010-08-17T20:25:57Z</cp:lastPrinted>
  <dcterms:created xsi:type="dcterms:W3CDTF">2006-08-03T13:49:12Z</dcterms:created>
  <dcterms:modified xsi:type="dcterms:W3CDTF">2010-08-17T20:26:00Z</dcterms:modified>
  <cp:category/>
  <cp:version/>
  <cp:contentType/>
  <cp:contentStatus/>
</cp:coreProperties>
</file>