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<sst xmlns="http://schemas.openxmlformats.org/spreadsheetml/2006/main" count="2302" uniqueCount="981">
  <si>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</si>
  <si>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</si>
  <si>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</si>
  <si>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</si>
  <si>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</si>
  <si>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</si>
  <si>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</si>
  <si>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</si>
  <si>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</si>
  <si>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</si>
  <si>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</si>
  <si>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</si>
  <si>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</si>
  <si>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</si>
  <si>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</si>
  <si>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</si>
  <si>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</si>
  <si>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</si>
  <si>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</si>
  <si>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</si>
  <si>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</si>
  <si>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</si>
  <si>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</si>
  <si>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</si>
  <si>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</si>
  <si>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</si>
  <si>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</si>
  <si>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</si>
  <si>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</si>
  <si>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</si>
  <si>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</si>
  <si>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</si>
  <si>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</si>
  <si>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</si>
  <si>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</si>
  <si>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</si>
  <si>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</si>
  <si>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</si>
  <si>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</si>
  <si>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</si>
  <si>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</si>
  <si>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</si>
  <si>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</si>
  <si>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</si>
  <si>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</si>
  <si>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</si>
  <si>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</si>
  <si>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</si>
  <si>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</si>
  <si>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</si>
  <si>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</si>
  <si>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</si>
  <si>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</si>
  <si>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</si>
  <si>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</si>
  <si>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</si>
  <si>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</si>
  <si>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</si>
  <si>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</si>
  <si>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</si>
  <si>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</si>
  <si>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</si>
  <si>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</si>
  <si>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</si>
  <si>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</si>
  <si>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</si>
  <si>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</si>
  <si>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</si>
  <si>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</si>
  <si>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</si>
  <si>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</si>
  <si>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</si>
  <si>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</si>
  <si>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</si>
  <si>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</si>
  <si>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</si>
  <si>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</si>
  <si>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</si>
  <si>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</si>
  <si>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</si>
  <si>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</si>
  <si>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</si>
  <si>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</si>
  <si>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</si>
  <si>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</si>
  <si>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</si>
  <si>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</si>
  <si>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</si>
  <si>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</si>
  <si>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</si>
  <si>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</si>
  <si>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</si>
  <si>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</si>
  <si>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</si>
  <si>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</si>
  <si>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</si>
  <si>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</si>
  <si>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</si>
  <si>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</si>
  <si>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</si>
  <si>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</si>
  <si>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</si>
  <si>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</si>
  <si>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</si>
  <si>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</si>
  <si>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</si>
  <si>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</si>
  <si>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</si>
  <si>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</si>
  <si>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</si>
  <si>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</si>
  <si>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</si>
  <si>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</si>
  <si>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</si>
  <si>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</si>
  <si>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</si>
  <si>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</si>
  <si>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</si>
  <si>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</si>
  <si>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</si>
  <si>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</si>
  <si>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</si>
  <si>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</si>
  <si>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</si>
  <si>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</si>
  <si>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</si>
  <si>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</si>
  <si>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</si>
  <si>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</si>
  <si>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</si>
  <si>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</si>
  <si>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</si>
  <si>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</si>
  <si>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</si>
  <si>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</si>
  <si>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</si>
  <si>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</si>
  <si>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</si>
  <si>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</si>
  <si>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</si>
  <si>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</si>
  <si>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</si>
  <si>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</si>
  <si>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</si>
  <si>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</si>
  <si>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</si>
  <si>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</si>
  <si>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</si>
  <si>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</si>
  <si>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</si>
  <si>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</si>
  <si>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</si>
  <si>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</si>
  <si>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</si>
  <si>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</si>
  <si>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</si>
  <si>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</si>
  <si>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</si>
  <si>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</si>
  <si>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</si>
  <si>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</si>
  <si>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</si>
  <si>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</si>
  <si>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</si>
  <si>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</si>
  <si>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</si>
  <si>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</si>
  <si>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</si>
  <si>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</si>
  <si>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</si>
  <si>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</si>
  <si>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</si>
  <si>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</si>
  <si>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</si>
  <si>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</si>
  <si>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</si>
  <si>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</si>
  <si>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</si>
  <si>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</si>
  <si>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</si>
  <si>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</si>
  <si>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</si>
  <si>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</si>
  <si>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</si>
  <si>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</si>
  <si>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</si>
  <si>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</si>
  <si>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</si>
  <si>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</si>
  <si>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</si>
  <si>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</si>
  <si>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</si>
  <si>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</si>
  <si>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</si>
  <si>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</si>
  <si>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</si>
  <si>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</si>
  <si>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</si>
  <si>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</si>
  <si>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</si>
  <si>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</si>
  <si>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</si>
  <si>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</si>
  <si>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</si>
  <si>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</si>
  <si>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</si>
  <si>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</si>
  <si>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</si>
  <si>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</si>
  <si>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</si>
  <si>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</si>
  <si>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</si>
  <si>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</si>
  <si>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</si>
  <si>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</si>
  <si>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</si>
  <si>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GREENWICH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</si>
  <si>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</si>
  <si>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</si>
  <si>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</si>
  <si>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</si>
  <si>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</si>
  <si>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</si>
  <si>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</si>
  <si>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</si>
  <si>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</si>
  <si>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</si>
  <si>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</si>
  <si>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</si>
  <si>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</si>
  <si>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</si>
  <si>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</si>
  <si>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</si>
  <si>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</si>
  <si>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</si>
  <si>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</si>
  <si>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</si>
  <si>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</si>
  <si>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</si>
  <si>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</si>
  <si>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</si>
  <si>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</si>
  <si>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</si>
  <si>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</si>
  <si>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</si>
  <si>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</si>
  <si>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</si>
  <si>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</si>
  <si>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</si>
  <si>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</si>
  <si>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</si>
  <si>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</si>
  <si>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</si>
  <si>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</si>
  <si>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</si>
  <si>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</si>
  <si>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</si>
  <si>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</si>
  <si>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</si>
  <si>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</si>
  <si>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</si>
  <si>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</si>
  <si>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</si>
  <si>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</si>
  <si>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</si>
  <si>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</si>
  <si>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</si>
  <si>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</si>
  <si>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</si>
  <si>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</si>
  <si>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</si>
  <si>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</si>
  <si>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</si>
  <si>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</si>
  <si>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</si>
  <si>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</si>
  <si>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</si>
  <si>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</si>
  <si>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</si>
  <si>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</si>
  <si>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</si>
  <si>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</si>
  <si>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</si>
  <si>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</si>
  <si>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</si>
  <si>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</si>
  <si>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</si>
  <si>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</si>
  <si>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</si>
  <si>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</si>
  <si>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</si>
  <si>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</si>
  <si>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</si>
  <si>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</si>
  <si>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</si>
  <si>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</si>
  <si>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</si>
  <si>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</si>
  <si>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</si>
  <si>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</si>
  <si>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</si>
  <si>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</si>
  <si>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</si>
  <si>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</si>
  <si>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</si>
  <si>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</si>
  <si>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</si>
  <si>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</si>
  <si>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</si>
  <si>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</si>
  <si>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</si>
  <si>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</si>
  <si>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</si>
  <si>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</si>
  <si>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</si>
  <si>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</si>
  <si>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</si>
  <si>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</si>
  <si>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</si>
  <si>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</si>
  <si>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</si>
  <si>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</si>
  <si>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</si>
  <si>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</si>
  <si>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</si>
  <si>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</si>
  <si>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</si>
  <si>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</si>
  <si>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</si>
  <si>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</si>
  <si>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</si>
  <si>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</si>
  <si>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</si>
  <si>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</si>
  <si>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</si>
  <si>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</si>
  <si>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</si>
  <si>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</si>
  <si>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</si>
  <si>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</si>
  <si>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</si>
  <si>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</si>
  <si>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</si>
  <si>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</si>
  <si>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</si>
  <si>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</si>
  <si>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</si>
  <si>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</si>
  <si>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</si>
  <si>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</si>
  <si>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</si>
  <si>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</si>
  <si>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</si>
  <si>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</si>
  <si>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</si>
  <si>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</si>
  <si>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</si>
  <si>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</si>
  <si>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</si>
  <si>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</si>
  <si>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</si>
  <si>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</si>
  <si>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</si>
  <si>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</si>
  <si>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</si>
  <si>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</si>
  <si>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</si>
  <si>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</si>
  <si>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</si>
  <si>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</si>
  <si>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</si>
  <si>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</si>
  <si>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</si>
  <si>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</si>
  <si>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</si>
  <si>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</si>
  <si>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</si>
  <si>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</si>
  <si>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</si>
  <si>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</si>
  <si>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</si>
  <si>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</si>
  <si>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</si>
  <si>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</si>
  <si>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</si>
  <si>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</si>
  <si>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</si>
  <si>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</si>
  <si>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</si>
  <si>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</si>
  <si>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</si>
  <si>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</si>
  <si>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</si>
  <si>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</si>
  <si>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</si>
  <si>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</si>
  <si>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</si>
  <si>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</si>
  <si>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</si>
  <si>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</si>
  <si>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</si>
  <si>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</si>
  <si>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</si>
  <si>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</si>
  <si>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</si>
  <si>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</si>
  <si>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</si>
  <si>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</si>
  <si>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</si>
  <si>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</si>
  <si>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</si>
  <si>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</si>
  <si>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</si>
  <si>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</si>
  <si>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</si>
  <si>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</si>
  <si>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</si>
  <si>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</si>
  <si>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</si>
  <si>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</si>
  <si>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</si>
  <si>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</si>
  <si>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</si>
  <si>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</si>
  <si>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</si>
  <si>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</si>
  <si>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</si>
  <si>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</si>
  <si>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</si>
  <si>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</si>
  <si>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</si>
  <si>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</si>
  <si>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</si>
  <si>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</si>
  <si>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</si>
  <si>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</si>
  <si>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</si>
  <si>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</si>
  <si>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</si>
  <si>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</si>
  <si>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</si>
  <si>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</si>
  <si>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</si>
  <si>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</si>
  <si>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</si>
  <si>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</si>
  <si>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</si>
  <si>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</si>
  <si>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</si>
  <si>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</si>
  <si>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</si>
  <si>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</si>
  <si>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</si>
  <si>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</si>
  <si>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</si>
  <si>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</si>
  <si>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</si>
  <si>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</si>
  <si>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</si>
  <si>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</si>
  <si>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</si>
  <si>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</si>
  <si>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</si>
  <si>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</si>
  <si>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</si>
  <si>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</si>
  <si>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</si>
  <si>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</si>
  <si>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</si>
  <si>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</si>
  <si>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</si>
  <si>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</si>
  <si>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</si>
  <si>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</si>
  <si>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</si>
  <si>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</si>
  <si>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</si>
  <si>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</si>
  <si>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</si>
  <si>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</si>
  <si>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</si>
  <si>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</si>
  <si>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</si>
  <si>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</si>
  <si>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</si>
  <si>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</si>
  <si>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</si>
  <si>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</si>
  <si>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</si>
  <si>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</si>
  <si>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</si>
  <si>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</si>
  <si>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</si>
  <si>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</si>
  <si>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</si>
  <si>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</si>
  <si>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</si>
  <si>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</si>
  <si>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</si>
  <si>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</si>
  <si>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</si>
  <si>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</si>
  <si>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</si>
  <si>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</si>
  <si>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</si>
  <si>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</si>
  <si>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</si>
  <si>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</si>
  <si>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</si>
  <si>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</si>
  <si>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</si>
  <si>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</si>
  <si>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</si>
  <si>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</si>
  <si>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</si>
  <si>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</si>
  <si>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</si>
  <si>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</si>
  <si>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</si>
  <si>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</si>
  <si>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</si>
  <si>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</si>
  <si>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</si>
  <si>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</si>
  <si>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</si>
  <si>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</si>
  <si>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</si>
  <si>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</si>
  <si>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</si>
  <si>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</si>
  <si>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</si>
  <si>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</si>
  <si>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</si>
  <si>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</si>
  <si>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</si>
  <si>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</si>
  <si>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</si>
  <si>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</si>
  <si>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</si>
  <si>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</si>
  <si>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</si>
  <si>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</si>
  <si>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</si>
  <si>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</si>
  <si>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</si>
  <si>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</si>
  <si>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</si>
  <si>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</si>
  <si>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</si>
  <si>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</si>
  <si>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</si>
  <si>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</si>
  <si>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</si>
  <si>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</si>
  <si>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</si>
  <si>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</si>
  <si>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</si>
  <si>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</si>
  <si>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</si>
  <si>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</si>
  <si>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</si>
  <si>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</si>
  <si>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</si>
  <si>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</si>
  <si>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</si>
  <si>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</si>
  <si>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</si>
  <si>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</si>
  <si>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</si>
  <si>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</si>
  <si>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</si>
  <si>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</si>
  <si>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</si>
  <si>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</si>
  <si>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</si>
  <si>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</si>
  <si>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</si>
  <si>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</si>
  <si>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</si>
  <si>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</si>
  <si>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</si>
  <si>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</si>
  <si>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</si>
  <si>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</si>
  <si>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</si>
  <si>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</si>
  <si>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</si>
  <si>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</si>
  <si>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</si>
  <si>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</si>
  <si>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</si>
  <si>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</si>
  <si>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</si>
  <si>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</si>
  <si>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</si>
  <si>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</si>
  <si>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</si>
  <si>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</si>
  <si>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</si>
  <si>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</si>
  <si>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</si>
  <si>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</si>
  <si>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</si>
  <si>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</si>
  <si>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</si>
  <si>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</si>
  <si>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</si>
  <si>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</si>
  <si>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</si>
  <si>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</si>
  <si>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</si>
  <si>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</si>
  <si>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</si>
  <si>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</si>
  <si>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</si>
  <si>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</si>
  <si>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</si>
  <si>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</si>
  <si>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</si>
  <si>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</si>
  <si>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</si>
  <si>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</si>
  <si>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</si>
  <si>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</si>
  <si>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</si>
  <si>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</si>
  <si>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</si>
  <si>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</si>
  <si>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</si>
  <si>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</si>
  <si>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</si>
  <si>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</si>
  <si>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</si>
  <si>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</si>
  <si>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</si>
  <si>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</si>
  <si>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</si>
  <si>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</si>
  <si>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</si>
  <si>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</si>
  <si>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</si>
  <si>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</si>
  <si>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</si>
  <si>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</si>
  <si>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</si>
  <si>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</si>
  <si>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</si>
  <si>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</si>
  <si>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</si>
  <si>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</si>
  <si>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</si>
  <si>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</si>
  <si>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</si>
  <si>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</si>
  <si>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</si>
  <si>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</si>
  <si>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</si>
  <si>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</si>
  <si>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</si>
  <si>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</si>
  <si>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</si>
  <si>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</si>
  <si>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</si>
  <si>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</si>
  <si>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</si>
  <si>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</si>
  <si>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</si>
  <si>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</si>
  <si>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</si>
  <si>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</si>
  <si>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</si>
  <si>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</si>
  <si>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</si>
  <si>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</si>
  <si>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</si>
  <si>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</si>
  <si>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</si>
  <si>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</si>
  <si>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</si>
  <si>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</si>
  <si>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</si>
  <si>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</si>
  <si>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</si>
  <si>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</si>
  <si>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</si>
  <si>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</si>
  <si>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</si>
  <si>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</si>
  <si>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</si>
  <si>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</si>
  <si>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</si>
  <si>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</si>
  <si>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</si>
  <si>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</si>
  <si>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</si>
  <si>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GREENWICH HEALTH 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</si>
  <si>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</si>
  <si>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</si>
  <si>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</si>
  <si>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</si>
  <si>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</si>
  <si>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</si>
  <si>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</si>
  <si>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</si>
  <si>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</si>
  <si>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</si>
  <si>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</si>
  <si>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</si>
  <si>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</si>
  <si>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</si>
  <si>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</si>
  <si>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</si>
  <si>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</si>
  <si>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</si>
  <si>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</si>
  <si>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</si>
  <si>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</si>
  <si>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</si>
  <si>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</si>
  <si>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</si>
  <si>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</si>
  <si>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</si>
  <si>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</si>
  <si>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</si>
  <si>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</si>
  <si>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</si>
  <si>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</si>
  <si>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</si>
  <si>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</si>
  <si>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</si>
  <si>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</si>
  <si>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</si>
  <si>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</si>
  <si>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</si>
  <si>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</si>
  <si>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</si>
  <si>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</si>
  <si>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</si>
  <si>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</si>
  <si>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</si>
  <si>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</si>
  <si>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</si>
  <si>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</si>
  <si>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</si>
  <si>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</si>
  <si>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</si>
  <si>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</si>
  <si>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</si>
  <si>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</si>
  <si>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</si>
  <si>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</si>
  <si>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</si>
  <si>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</si>
  <si>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</si>
  <si>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</si>
  <si>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</si>
  <si>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</si>
  <si>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</si>
  <si>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</si>
  <si>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</si>
  <si>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</si>
  <si>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</si>
  <si>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</si>
  <si>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</si>
  <si>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</si>
  <si>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</si>
  <si>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</si>
  <si>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</si>
  <si>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</si>
  <si>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</si>
  <si>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</si>
  <si>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</si>
  <si>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</si>
  <si>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</si>
  <si>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</si>
  <si>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</si>
  <si>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</si>
  <si>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</si>
  <si>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</si>
  <si>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</si>
  <si>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</si>
  <si>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</si>
  <si>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</si>
  <si>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</si>
  <si>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</si>
  <si>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</si>
  <si>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</si>
  <si>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</si>
  <si>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</si>
  <si>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</si>
  <si>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</si>
  <si>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</si>
  <si>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</si>
  <si>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</si>
  <si>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</si>
  <si>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</si>
  <si>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</si>
  <si>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</si>
  <si>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</si>
  <si>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Helmsley Surgical Center</t>
  </si>
  <si>
    <t>at Greenwich Hospital Campus</t>
  </si>
  <si>
    <t xml:space="preserve">      Total Outpatient Surgical Procedures(A)     </t>
  </si>
  <si>
    <t>G Hosp @500 W Putnam St.</t>
  </si>
  <si>
    <t xml:space="preserve">      Total Outpatient Endoscopy Procedures(B)     </t>
  </si>
  <si>
    <t>Outpatient Hospital Emergency Room Visits</t>
  </si>
  <si>
    <t>At Greenwich Hospital Campus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</si>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</sst>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216</v>
      </c>
      <c r="C1" s="3"/>
      <c r="D1" s="3"/>
      <c r="E1" s="4"/>
      <c r="F1" s="5"/>
    </row>
    <row r="2" spans="1:6" ht="24" customHeight="1">
      <c r="A2" s="3"/>
      <c r="B2" s="3" t="s">
        <v>217</v>
      </c>
      <c r="C2" s="3"/>
      <c r="D2" s="3"/>
      <c r="E2" s="4"/>
      <c r="F2" s="5"/>
    </row>
    <row r="3" spans="1:6" ht="24" customHeight="1">
      <c r="A3" s="3"/>
      <c r="B3" s="3" t="s">
        <v>218</v>
      </c>
      <c r="C3" s="3"/>
      <c r="D3" s="3"/>
      <c r="E3" s="4"/>
      <c r="F3" s="5"/>
    </row>
    <row r="4" spans="1:6" ht="24" customHeight="1">
      <c r="A4" s="3"/>
      <c r="B4" s="3" t="s">
        <v>219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220</v>
      </c>
      <c r="D7" s="10" t="s">
        <v>221</v>
      </c>
      <c r="E7" s="11" t="s">
        <v>222</v>
      </c>
      <c r="F7" s="11" t="s">
        <v>223</v>
      </c>
      <c r="H7" s="12"/>
    </row>
    <row r="8" spans="1:6" s="6" customFormat="1" ht="15.75" customHeight="1">
      <c r="A8" s="13" t="s">
        <v>224</v>
      </c>
      <c r="B8" s="13" t="s">
        <v>225</v>
      </c>
      <c r="C8" s="14" t="s">
        <v>226</v>
      </c>
      <c r="D8" s="14" t="s">
        <v>226</v>
      </c>
      <c r="E8" s="15" t="s">
        <v>227</v>
      </c>
      <c r="F8" s="15" t="s">
        <v>227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228</v>
      </c>
      <c r="B10" s="16" t="s">
        <v>229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230</v>
      </c>
      <c r="B12" s="16" t="s">
        <v>231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232</v>
      </c>
      <c r="C13" s="23">
        <v>29053000</v>
      </c>
      <c r="D13" s="23">
        <v>32032000</v>
      </c>
      <c r="E13" s="23">
        <f aca="true" t="shared" si="0" ref="E13:E22">D13-C13</f>
        <v>2979000</v>
      </c>
      <c r="F13" s="24">
        <f aca="true" t="shared" si="1" ref="F13:F22">IF(C13=0,0,E13/C13)</f>
        <v>0.102536743193474</v>
      </c>
    </row>
    <row r="14" spans="1:6" ht="24" customHeight="1">
      <c r="A14" s="21">
        <v>2</v>
      </c>
      <c r="B14" s="22" t="s">
        <v>233</v>
      </c>
      <c r="C14" s="23">
        <v>26526000</v>
      </c>
      <c r="D14" s="23">
        <v>28273000</v>
      </c>
      <c r="E14" s="23">
        <f t="shared" si="0"/>
        <v>1747000</v>
      </c>
      <c r="F14" s="24">
        <f t="shared" si="1"/>
        <v>0.06585991103068688</v>
      </c>
    </row>
    <row r="15" spans="1:6" ht="29.25" customHeight="1">
      <c r="A15" s="21">
        <v>3</v>
      </c>
      <c r="B15" s="22" t="s">
        <v>234</v>
      </c>
      <c r="C15" s="23">
        <v>33602000</v>
      </c>
      <c r="D15" s="23">
        <v>32088000</v>
      </c>
      <c r="E15" s="23">
        <f t="shared" si="0"/>
        <v>-1514000</v>
      </c>
      <c r="F15" s="24">
        <f t="shared" si="1"/>
        <v>-0.04505684185465151</v>
      </c>
    </row>
    <row r="16" spans="1:6" ht="24" customHeight="1">
      <c r="A16" s="21">
        <v>4</v>
      </c>
      <c r="B16" s="22" t="s">
        <v>235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236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237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238</v>
      </c>
      <c r="C19" s="23">
        <v>789000</v>
      </c>
      <c r="D19" s="23">
        <v>995000</v>
      </c>
      <c r="E19" s="23">
        <f t="shared" si="0"/>
        <v>206000</v>
      </c>
      <c r="F19" s="24">
        <f t="shared" si="1"/>
        <v>0.26108998732572875</v>
      </c>
    </row>
    <row r="20" spans="1:6" ht="24" customHeight="1">
      <c r="A20" s="21">
        <v>8</v>
      </c>
      <c r="B20" s="22" t="s">
        <v>239</v>
      </c>
      <c r="C20" s="23">
        <v>1996000</v>
      </c>
      <c r="D20" s="23">
        <v>2260000</v>
      </c>
      <c r="E20" s="23">
        <f t="shared" si="0"/>
        <v>264000</v>
      </c>
      <c r="F20" s="24">
        <f t="shared" si="1"/>
        <v>0.13226452905811623</v>
      </c>
    </row>
    <row r="21" spans="1:6" ht="24" customHeight="1">
      <c r="A21" s="21">
        <v>9</v>
      </c>
      <c r="B21" s="22" t="s">
        <v>240</v>
      </c>
      <c r="C21" s="23">
        <v>5521000</v>
      </c>
      <c r="D21" s="23">
        <v>7680000</v>
      </c>
      <c r="E21" s="23">
        <f t="shared" si="0"/>
        <v>2159000</v>
      </c>
      <c r="F21" s="24">
        <f t="shared" si="1"/>
        <v>0.3910523455895671</v>
      </c>
    </row>
    <row r="22" spans="1:6" ht="24" customHeight="1">
      <c r="A22" s="25"/>
      <c r="B22" s="26" t="s">
        <v>241</v>
      </c>
      <c r="C22" s="27">
        <f>SUM(C13:C21)</f>
        <v>97487000</v>
      </c>
      <c r="D22" s="27">
        <f>SUM(D13:D21)</f>
        <v>103328000</v>
      </c>
      <c r="E22" s="27">
        <f t="shared" si="0"/>
        <v>5841000</v>
      </c>
      <c r="F22" s="28">
        <f t="shared" si="1"/>
        <v>0.05991568106516766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242</v>
      </c>
      <c r="B24" s="30" t="s">
        <v>243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244</v>
      </c>
      <c r="C25" s="23">
        <v>802000</v>
      </c>
      <c r="D25" s="23">
        <v>802000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245</v>
      </c>
      <c r="C26" s="23">
        <v>16941000</v>
      </c>
      <c r="D26" s="23">
        <v>20735000</v>
      </c>
      <c r="E26" s="23">
        <f>D26-C26</f>
        <v>3794000</v>
      </c>
      <c r="F26" s="24">
        <f>IF(C26=0,0,E26/C26)</f>
        <v>0.223953721740157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246</v>
      </c>
      <c r="C27" s="23">
        <v>169000</v>
      </c>
      <c r="D27" s="23">
        <v>10000</v>
      </c>
      <c r="E27" s="23">
        <f>D27-C27</f>
        <v>-159000</v>
      </c>
      <c r="F27" s="24">
        <f>IF(C27=0,0,E27/C27)</f>
        <v>-0.9408284023668639</v>
      </c>
    </row>
    <row r="28" spans="1:6" ht="24" customHeight="1">
      <c r="A28" s="21">
        <v>4</v>
      </c>
      <c r="B28" s="22" t="s">
        <v>247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248</v>
      </c>
      <c r="C29" s="27">
        <f>SUM(C25:C28)</f>
        <v>17912000</v>
      </c>
      <c r="D29" s="27">
        <f>SUM(D25:D28)</f>
        <v>21547000</v>
      </c>
      <c r="E29" s="27">
        <f>D29-C29</f>
        <v>3635000</v>
      </c>
      <c r="F29" s="28">
        <f>IF(C29=0,0,E29/C29)</f>
        <v>0.20293657882983474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249</v>
      </c>
      <c r="C31" s="23">
        <v>46869000</v>
      </c>
      <c r="D31" s="23">
        <v>47113000</v>
      </c>
      <c r="E31" s="23">
        <f>D31-C31</f>
        <v>244000</v>
      </c>
      <c r="F31" s="24">
        <f>IF(C31=0,0,E31/C31)</f>
        <v>0.0052059997012950995</v>
      </c>
    </row>
    <row r="32" spans="1:6" ht="24" customHeight="1">
      <c r="A32" s="21">
        <v>6</v>
      </c>
      <c r="B32" s="22" t="s">
        <v>250</v>
      </c>
      <c r="C32" s="23">
        <v>23182000</v>
      </c>
      <c r="D32" s="23">
        <v>31567000</v>
      </c>
      <c r="E32" s="23">
        <f>D32-C32</f>
        <v>8385000</v>
      </c>
      <c r="F32" s="24">
        <f>IF(C32=0,0,E32/C32)</f>
        <v>0.36170304546631005</v>
      </c>
    </row>
    <row r="33" spans="1:6" ht="24" customHeight="1">
      <c r="A33" s="21">
        <v>7</v>
      </c>
      <c r="B33" s="22" t="s">
        <v>251</v>
      </c>
      <c r="C33" s="23">
        <v>40143000</v>
      </c>
      <c r="D33" s="23">
        <v>23801000</v>
      </c>
      <c r="E33" s="23">
        <f>D33-C33</f>
        <v>-16342000</v>
      </c>
      <c r="F33" s="24">
        <f>IF(C33=0,0,E33/C33)</f>
        <v>-0.40709463667389084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252</v>
      </c>
      <c r="B35" s="30" t="s">
        <v>253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254</v>
      </c>
      <c r="C36" s="23">
        <v>372706000</v>
      </c>
      <c r="D36" s="23">
        <v>397461000</v>
      </c>
      <c r="E36" s="23">
        <f>D36-C36</f>
        <v>24755000</v>
      </c>
      <c r="F36" s="24">
        <f>IF(C36=0,0,E36/C36)</f>
        <v>0.06641964443824355</v>
      </c>
    </row>
    <row r="37" spans="1:6" ht="24" customHeight="1">
      <c r="A37" s="21">
        <v>2</v>
      </c>
      <c r="B37" s="22" t="s">
        <v>255</v>
      </c>
      <c r="C37" s="23">
        <v>135755000</v>
      </c>
      <c r="D37" s="23">
        <v>153823000</v>
      </c>
      <c r="E37" s="23">
        <f>D37-C37</f>
        <v>18068000</v>
      </c>
      <c r="F37" s="24">
        <f>IF(C37=0,0,E37/C37)</f>
        <v>0.133092703767817</v>
      </c>
    </row>
    <row r="38" spans="1:6" ht="24" customHeight="1">
      <c r="A38" s="25"/>
      <c r="B38" s="26" t="s">
        <v>256</v>
      </c>
      <c r="C38" s="27">
        <f>C36-C37</f>
        <v>236951000</v>
      </c>
      <c r="D38" s="27">
        <f>D36-D37</f>
        <v>243638000</v>
      </c>
      <c r="E38" s="27">
        <f>D38-C38</f>
        <v>6687000</v>
      </c>
      <c r="F38" s="28">
        <f>IF(C38=0,0,E38/C38)</f>
        <v>0.02822102460002279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257</v>
      </c>
      <c r="C40" s="23">
        <v>1129000</v>
      </c>
      <c r="D40" s="23">
        <v>1331000</v>
      </c>
      <c r="E40" s="23">
        <f>D40-C40</f>
        <v>202000</v>
      </c>
      <c r="F40" s="24">
        <f>IF(C40=0,0,E40/C40)</f>
        <v>0.17891939769707707</v>
      </c>
    </row>
    <row r="41" spans="1:6" ht="24" customHeight="1">
      <c r="A41" s="25"/>
      <c r="B41" s="26" t="s">
        <v>258</v>
      </c>
      <c r="C41" s="27">
        <f>+C38+C40</f>
        <v>238080000</v>
      </c>
      <c r="D41" s="27">
        <f>+D38+D40</f>
        <v>244969000</v>
      </c>
      <c r="E41" s="27">
        <f>D41-C41</f>
        <v>6889000</v>
      </c>
      <c r="F41" s="28">
        <f>IF(C41=0,0,E41/C41)</f>
        <v>0.02893565188172043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259</v>
      </c>
      <c r="C43" s="27">
        <f>C22+C29+C31+C32+C33+C41</f>
        <v>463673000</v>
      </c>
      <c r="D43" s="27">
        <f>D22+D29+D31+D32+D33+D41</f>
        <v>472325000</v>
      </c>
      <c r="E43" s="27">
        <f>D43-C43</f>
        <v>8652000</v>
      </c>
      <c r="F43" s="28">
        <f>IF(C43=0,0,E43/C43)</f>
        <v>0.018659701988254652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260</v>
      </c>
      <c r="B46" s="16" t="s">
        <v>261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230</v>
      </c>
      <c r="B48" s="41" t="s">
        <v>262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263</v>
      </c>
      <c r="C49" s="23">
        <v>15752942</v>
      </c>
      <c r="D49" s="23">
        <v>18508436</v>
      </c>
      <c r="E49" s="23">
        <f aca="true" t="shared" si="2" ref="E49:E56">D49-C49</f>
        <v>2755494</v>
      </c>
      <c r="F49" s="24">
        <f aca="true" t="shared" si="3" ref="F49:F56">IF(C49=0,0,E49/C49)</f>
        <v>0.17491932618046838</v>
      </c>
    </row>
    <row r="50" spans="1:6" ht="24" customHeight="1">
      <c r="A50" s="21">
        <f aca="true" t="shared" si="4" ref="A50:A55">1+A49</f>
        <v>2</v>
      </c>
      <c r="B50" s="22" t="s">
        <v>264</v>
      </c>
      <c r="C50" s="23">
        <v>17237058</v>
      </c>
      <c r="D50" s="23">
        <v>17583564</v>
      </c>
      <c r="E50" s="23">
        <f t="shared" si="2"/>
        <v>346506</v>
      </c>
      <c r="F50" s="24">
        <f t="shared" si="3"/>
        <v>0.020102386381713168</v>
      </c>
    </row>
    <row r="51" spans="1:6" ht="24" customHeight="1">
      <c r="A51" s="21">
        <f t="shared" si="4"/>
        <v>3</v>
      </c>
      <c r="B51" s="22" t="s">
        <v>265</v>
      </c>
      <c r="C51" s="23">
        <v>164000</v>
      </c>
      <c r="D51" s="23">
        <v>192000</v>
      </c>
      <c r="E51" s="23">
        <f t="shared" si="2"/>
        <v>28000</v>
      </c>
      <c r="F51" s="24">
        <f t="shared" si="3"/>
        <v>0.17073170731707318</v>
      </c>
    </row>
    <row r="52" spans="1:6" ht="24" customHeight="1">
      <c r="A52" s="21">
        <f t="shared" si="4"/>
        <v>4</v>
      </c>
      <c r="B52" s="22" t="s">
        <v>266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267</v>
      </c>
      <c r="C53" s="23">
        <v>2115000</v>
      </c>
      <c r="D53" s="23">
        <v>2190000</v>
      </c>
      <c r="E53" s="23">
        <f t="shared" si="2"/>
        <v>75000</v>
      </c>
      <c r="F53" s="24">
        <f t="shared" si="3"/>
        <v>0.03546099290780142</v>
      </c>
    </row>
    <row r="54" spans="1:6" ht="24" customHeight="1">
      <c r="A54" s="21">
        <f t="shared" si="4"/>
        <v>6</v>
      </c>
      <c r="B54" s="22" t="s">
        <v>268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269</v>
      </c>
      <c r="C55" s="23">
        <v>5630000</v>
      </c>
      <c r="D55" s="23">
        <v>6239000</v>
      </c>
      <c r="E55" s="23">
        <f t="shared" si="2"/>
        <v>609000</v>
      </c>
      <c r="F55" s="24">
        <f t="shared" si="3"/>
        <v>0.10817051509769095</v>
      </c>
    </row>
    <row r="56" spans="1:6" ht="24" customHeight="1">
      <c r="A56" s="25"/>
      <c r="B56" s="26" t="s">
        <v>270</v>
      </c>
      <c r="C56" s="27">
        <f>SUM(C49:C55)</f>
        <v>40899000</v>
      </c>
      <c r="D56" s="27">
        <f>SUM(D49:D55)</f>
        <v>44713000</v>
      </c>
      <c r="E56" s="27">
        <f t="shared" si="2"/>
        <v>3814000</v>
      </c>
      <c r="F56" s="28">
        <f t="shared" si="3"/>
        <v>0.09325411379251326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242</v>
      </c>
      <c r="B58" s="41" t="s">
        <v>271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272</v>
      </c>
      <c r="C59" s="23">
        <v>49455000</v>
      </c>
      <c r="D59" s="23">
        <v>47265000</v>
      </c>
      <c r="E59" s="23">
        <f>D59-C59</f>
        <v>-2190000</v>
      </c>
      <c r="F59" s="24">
        <f>IF(C59=0,0,E59/C59)</f>
        <v>-0.044282681225356384</v>
      </c>
    </row>
    <row r="60" spans="1:6" ht="24" customHeight="1">
      <c r="A60" s="21">
        <v>2</v>
      </c>
      <c r="B60" s="22" t="s">
        <v>273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274</v>
      </c>
      <c r="C61" s="27">
        <f>SUM(C59:C60)</f>
        <v>49455000</v>
      </c>
      <c r="D61" s="27">
        <f>SUM(D59:D60)</f>
        <v>47265000</v>
      </c>
      <c r="E61" s="27">
        <f>D61-C61</f>
        <v>-2190000</v>
      </c>
      <c r="F61" s="28">
        <f>IF(C61=0,0,E61/C61)</f>
        <v>-0.044282681225356384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275</v>
      </c>
      <c r="C63" s="23">
        <v>0</v>
      </c>
      <c r="D63" s="23">
        <v>27902000</v>
      </c>
      <c r="E63" s="23">
        <f>D63-C63</f>
        <v>27902000</v>
      </c>
      <c r="F63" s="24">
        <f>IF(C63=0,0,E63/C63)</f>
        <v>0</v>
      </c>
    </row>
    <row r="64" spans="1:6" ht="24" customHeight="1">
      <c r="A64" s="21">
        <v>4</v>
      </c>
      <c r="B64" s="22" t="s">
        <v>276</v>
      </c>
      <c r="C64" s="23">
        <v>21159000</v>
      </c>
      <c r="D64" s="23">
        <v>24345000</v>
      </c>
      <c r="E64" s="23">
        <f>D64-C64</f>
        <v>3186000</v>
      </c>
      <c r="F64" s="24">
        <f>IF(C64=0,0,E64/C64)</f>
        <v>0.15057422373458104</v>
      </c>
    </row>
    <row r="65" spans="1:6" ht="24" customHeight="1">
      <c r="A65" s="25"/>
      <c r="B65" s="26" t="s">
        <v>277</v>
      </c>
      <c r="C65" s="27">
        <f>SUM(C61:C64)</f>
        <v>70614000</v>
      </c>
      <c r="D65" s="27">
        <f>SUM(D61:D64)</f>
        <v>99512000</v>
      </c>
      <c r="E65" s="27">
        <f>D65-C65</f>
        <v>28898000</v>
      </c>
      <c r="F65" s="28">
        <f>IF(C65=0,0,E65/C65)</f>
        <v>0.4092389611125273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278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252</v>
      </c>
      <c r="B69" s="41" t="s">
        <v>279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280</v>
      </c>
      <c r="C70" s="23">
        <v>304976000</v>
      </c>
      <c r="D70" s="23">
        <v>280445000</v>
      </c>
      <c r="E70" s="23">
        <f>D70-C70</f>
        <v>-24531000</v>
      </c>
      <c r="F70" s="24">
        <f>IF(C70=0,0,E70/C70)</f>
        <v>-0.08043583757410419</v>
      </c>
    </row>
    <row r="71" spans="1:6" ht="24" customHeight="1">
      <c r="A71" s="21">
        <v>2</v>
      </c>
      <c r="B71" s="22" t="s">
        <v>281</v>
      </c>
      <c r="C71" s="23">
        <v>26410000</v>
      </c>
      <c r="D71" s="23">
        <v>25902000</v>
      </c>
      <c r="E71" s="23">
        <f>D71-C71</f>
        <v>-508000</v>
      </c>
      <c r="F71" s="24">
        <f>IF(C71=0,0,E71/C71)</f>
        <v>-0.019235138205225294</v>
      </c>
    </row>
    <row r="72" spans="1:6" ht="24" customHeight="1">
      <c r="A72" s="21">
        <v>3</v>
      </c>
      <c r="B72" s="22" t="s">
        <v>282</v>
      </c>
      <c r="C72" s="23">
        <v>20774000</v>
      </c>
      <c r="D72" s="23">
        <v>21753000</v>
      </c>
      <c r="E72" s="23">
        <f>D72-C72</f>
        <v>979000</v>
      </c>
      <c r="F72" s="24">
        <f>IF(C72=0,0,E72/C72)</f>
        <v>0.047126215461634736</v>
      </c>
    </row>
    <row r="73" spans="1:6" ht="24" customHeight="1">
      <c r="A73" s="21"/>
      <c r="B73" s="26" t="s">
        <v>283</v>
      </c>
      <c r="C73" s="27">
        <f>SUM(C70:C72)</f>
        <v>352160000</v>
      </c>
      <c r="D73" s="27">
        <f>SUM(D70:D72)</f>
        <v>328100000</v>
      </c>
      <c r="E73" s="27">
        <f>D73-C73</f>
        <v>-24060000</v>
      </c>
      <c r="F73" s="28">
        <f>IF(C73=0,0,E73/C73)</f>
        <v>-0.06832121762835075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284</v>
      </c>
      <c r="C75" s="27">
        <f>C56+C65+C67+C73</f>
        <v>463673000</v>
      </c>
      <c r="D75" s="27">
        <f>D56+D65+D67+D73</f>
        <v>472325000</v>
      </c>
      <c r="E75" s="27">
        <f>D75-C75</f>
        <v>8652000</v>
      </c>
      <c r="F75" s="28">
        <f>IF(C75=0,0,E75/C75)</f>
        <v>0.018659701988254652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FILING&amp;RGREENWICH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695</v>
      </c>
      <c r="B1" s="696"/>
      <c r="C1" s="696"/>
      <c r="D1" s="696"/>
      <c r="E1" s="697"/>
    </row>
    <row r="2" spans="1:5" ht="24" customHeight="1">
      <c r="A2" s="695" t="s">
        <v>217</v>
      </c>
      <c r="B2" s="696"/>
      <c r="C2" s="696"/>
      <c r="D2" s="696"/>
      <c r="E2" s="697"/>
    </row>
    <row r="3" spans="1:5" ht="24" customHeight="1">
      <c r="A3" s="695" t="s">
        <v>218</v>
      </c>
      <c r="B3" s="696"/>
      <c r="C3" s="696"/>
      <c r="D3" s="696"/>
      <c r="E3" s="697"/>
    </row>
    <row r="4" spans="1:5" ht="24" customHeight="1">
      <c r="A4" s="695" t="s">
        <v>698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226</v>
      </c>
      <c r="D7" s="59" t="s">
        <v>226</v>
      </c>
      <c r="E7" s="59" t="s">
        <v>226</v>
      </c>
      <c r="F7" s="59"/>
    </row>
    <row r="8" spans="1:6" ht="24" customHeight="1">
      <c r="A8" s="61" t="s">
        <v>224</v>
      </c>
      <c r="B8" s="62" t="s">
        <v>225</v>
      </c>
      <c r="C8" s="264" t="s">
        <v>523</v>
      </c>
      <c r="D8" s="264" t="s">
        <v>220</v>
      </c>
      <c r="E8" s="264" t="s">
        <v>221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230</v>
      </c>
      <c r="B10" s="187" t="s">
        <v>699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700</v>
      </c>
      <c r="C11" s="51">
        <v>246845000</v>
      </c>
      <c r="D11" s="51">
        <v>271418000</v>
      </c>
      <c r="E11" s="51">
        <v>281144231</v>
      </c>
      <c r="F11" s="28"/>
    </row>
    <row r="12" spans="1:6" ht="24" customHeight="1">
      <c r="A12" s="44">
        <v>2</v>
      </c>
      <c r="B12" s="48" t="s">
        <v>292</v>
      </c>
      <c r="C12" s="49">
        <v>12555000</v>
      </c>
      <c r="D12" s="49">
        <v>16818000</v>
      </c>
      <c r="E12" s="49">
        <v>17603769</v>
      </c>
      <c r="F12" s="28"/>
    </row>
    <row r="13" spans="1:6" s="56" customFormat="1" ht="24" customHeight="1">
      <c r="A13" s="44">
        <v>3</v>
      </c>
      <c r="B13" s="48" t="s">
        <v>294</v>
      </c>
      <c r="C13" s="51">
        <f>+C11+C12</f>
        <v>259400000</v>
      </c>
      <c r="D13" s="51">
        <f>+D11+D12</f>
        <v>288236000</v>
      </c>
      <c r="E13" s="51">
        <f>+E11+E12</f>
        <v>298748000</v>
      </c>
      <c r="F13" s="70"/>
    </row>
    <row r="14" spans="1:6" s="56" customFormat="1" ht="24" customHeight="1">
      <c r="A14" s="44">
        <v>4</v>
      </c>
      <c r="B14" s="48" t="s">
        <v>305</v>
      </c>
      <c r="C14" s="49">
        <v>255080000</v>
      </c>
      <c r="D14" s="49">
        <v>284499000</v>
      </c>
      <c r="E14" s="49">
        <v>290832000</v>
      </c>
      <c r="F14" s="70"/>
    </row>
    <row r="15" spans="1:6" s="56" customFormat="1" ht="24" customHeight="1">
      <c r="A15" s="44">
        <v>5</v>
      </c>
      <c r="B15" s="48" t="s">
        <v>306</v>
      </c>
      <c r="C15" s="51">
        <f>+C13-C14</f>
        <v>4320000</v>
      </c>
      <c r="D15" s="51">
        <f>+D13-D14</f>
        <v>3737000</v>
      </c>
      <c r="E15" s="51">
        <f>+E13-E14</f>
        <v>7916000</v>
      </c>
      <c r="F15" s="70"/>
    </row>
    <row r="16" spans="1:6" s="56" customFormat="1" ht="24" customHeight="1">
      <c r="A16" s="44">
        <v>6</v>
      </c>
      <c r="B16" s="48" t="s">
        <v>311</v>
      </c>
      <c r="C16" s="49">
        <v>6988000</v>
      </c>
      <c r="D16" s="49">
        <v>-15885000</v>
      </c>
      <c r="E16" s="49">
        <v>-1089000</v>
      </c>
      <c r="F16" s="70"/>
    </row>
    <row r="17" spans="1:6" s="56" customFormat="1" ht="24" customHeight="1">
      <c r="A17" s="44">
        <v>7</v>
      </c>
      <c r="B17" s="45" t="s">
        <v>526</v>
      </c>
      <c r="C17" s="51">
        <f>C15+C16</f>
        <v>11308000</v>
      </c>
      <c r="D17" s="51">
        <f>D15+D16</f>
        <v>-12148000</v>
      </c>
      <c r="E17" s="51">
        <f>E15+E16</f>
        <v>6827000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242</v>
      </c>
      <c r="B19" s="30" t="s">
        <v>701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702</v>
      </c>
      <c r="C20" s="169">
        <f>IF(+C27=0,0,+C24/+C27)</f>
        <v>0.01621694670931123</v>
      </c>
      <c r="D20" s="169">
        <f>IF(+D27=0,0,+D24/+D27)</f>
        <v>0.013721264104042211</v>
      </c>
      <c r="E20" s="169">
        <f>IF(+E27=0,0,+E24/+E27)</f>
        <v>0.026594189995934946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703</v>
      </c>
      <c r="C21" s="169">
        <f>IF(+C27=0,0,+C26/+C27)</f>
        <v>0.026232412871450665</v>
      </c>
      <c r="D21" s="169">
        <f>IF(+D27=0,0,+D26/+D27)</f>
        <v>-0.058325469706371556</v>
      </c>
      <c r="E21" s="169">
        <f>IF(+E27=0,0,+E26/+E27)</f>
        <v>-0.003658548876398832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704</v>
      </c>
      <c r="C22" s="169">
        <f>IF(+C27=0,0,+C28/+C27)</f>
        <v>0.042449359580761896</v>
      </c>
      <c r="D22" s="169">
        <f>IF(+D27=0,0,+D28/+D27)</f>
        <v>-0.04460420560232935</v>
      </c>
      <c r="E22" s="169">
        <f>IF(+E27=0,0,+E28/+E27)</f>
        <v>0.022935641119536113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306</v>
      </c>
      <c r="C24" s="51">
        <f>+C15</f>
        <v>4320000</v>
      </c>
      <c r="D24" s="51">
        <f>+D15</f>
        <v>3737000</v>
      </c>
      <c r="E24" s="51">
        <f>+E15</f>
        <v>7916000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294</v>
      </c>
      <c r="C25" s="51">
        <f>+C13</f>
        <v>259400000</v>
      </c>
      <c r="D25" s="51">
        <f>+D13</f>
        <v>288236000</v>
      </c>
      <c r="E25" s="51">
        <f>+E13</f>
        <v>298748000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311</v>
      </c>
      <c r="C26" s="51">
        <f>+C16</f>
        <v>6988000</v>
      </c>
      <c r="D26" s="51">
        <f>+D16</f>
        <v>-15885000</v>
      </c>
      <c r="E26" s="51">
        <f>+E16</f>
        <v>-1089000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531</v>
      </c>
      <c r="C27" s="51">
        <f>SUM(C25:C26)</f>
        <v>266388000</v>
      </c>
      <c r="D27" s="51">
        <f>SUM(D25:D26)</f>
        <v>272351000</v>
      </c>
      <c r="E27" s="51">
        <f>SUM(E25:E26)</f>
        <v>297659000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526</v>
      </c>
      <c r="C28" s="51">
        <f>+C17</f>
        <v>11308000</v>
      </c>
      <c r="D28" s="51">
        <f>+D17</f>
        <v>-12148000</v>
      </c>
      <c r="E28" s="51">
        <f>+E17</f>
        <v>6827000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252</v>
      </c>
      <c r="B30" s="41" t="s">
        <v>705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706</v>
      </c>
      <c r="C31" s="51">
        <v>349869000</v>
      </c>
      <c r="D31" s="51">
        <v>333893000</v>
      </c>
      <c r="E31" s="52">
        <v>308971000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707</v>
      </c>
      <c r="C32" s="51">
        <v>405422000</v>
      </c>
      <c r="D32" s="51">
        <v>381077000</v>
      </c>
      <c r="E32" s="51">
        <v>356626000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708</v>
      </c>
      <c r="C33" s="51">
        <v>405422000</v>
      </c>
      <c r="D33" s="51">
        <f>+D32-C32</f>
        <v>-24345000</v>
      </c>
      <c r="E33" s="51">
        <f>+E32-D32</f>
        <v>-24451000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709</v>
      </c>
      <c r="C34" s="171">
        <v>0</v>
      </c>
      <c r="D34" s="171">
        <f>IF(C32=0,0,+D33/C32)</f>
        <v>-0.0600485420130136</v>
      </c>
      <c r="E34" s="171">
        <f>IF(D32=0,0,+E33/D32)</f>
        <v>-0.06416288571601016</v>
      </c>
      <c r="F34" s="28"/>
    </row>
    <row r="35" spans="5:6" ht="24" customHeight="1">
      <c r="E35" s="55"/>
      <c r="F35" s="28"/>
    </row>
    <row r="36" spans="1:6" ht="15.75" customHeight="1">
      <c r="A36" s="20" t="s">
        <v>537</v>
      </c>
      <c r="B36" s="16" t="s">
        <v>559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560</v>
      </c>
      <c r="C38" s="269">
        <f>IF(+C40=0,0,+C39/+C40)</f>
        <v>2.522148279089113</v>
      </c>
      <c r="D38" s="269">
        <f>IF(+D40=0,0,+D39/+D40)</f>
        <v>2.323910371560934</v>
      </c>
      <c r="E38" s="269">
        <f>IF(+E40=0,0,+E39/+E40)</f>
        <v>2.1378637895584713</v>
      </c>
      <c r="F38" s="28"/>
    </row>
    <row r="39" spans="1:6" ht="24" customHeight="1">
      <c r="A39" s="17">
        <v>2</v>
      </c>
      <c r="B39" s="45" t="s">
        <v>241</v>
      </c>
      <c r="C39" s="270">
        <v>97022000</v>
      </c>
      <c r="D39" s="270">
        <v>98320000</v>
      </c>
      <c r="E39" s="270">
        <v>100858000</v>
      </c>
      <c r="F39" s="28"/>
    </row>
    <row r="40" spans="1:5" ht="24" customHeight="1">
      <c r="A40" s="17">
        <v>3</v>
      </c>
      <c r="B40" s="45" t="s">
        <v>270</v>
      </c>
      <c r="C40" s="270">
        <v>38468000</v>
      </c>
      <c r="D40" s="270">
        <v>42308000</v>
      </c>
      <c r="E40" s="270">
        <v>47177000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561</v>
      </c>
      <c r="C42" s="271">
        <f>IF((C48/365)=0,0,+C45/(C48/365))</f>
        <v>88.18544293708523</v>
      </c>
      <c r="D42" s="271">
        <f>IF((D48/365)=0,0,+D45/(D48/365))</f>
        <v>79.98863832696078</v>
      </c>
      <c r="E42" s="271">
        <f>IF((E48/365)=0,0,+E45/(E48/365))</f>
        <v>84.2444743566513</v>
      </c>
    </row>
    <row r="43" spans="1:5" ht="24" customHeight="1">
      <c r="A43" s="17">
        <v>5</v>
      </c>
      <c r="B43" s="188" t="s">
        <v>232</v>
      </c>
      <c r="C43" s="272">
        <v>24569000</v>
      </c>
      <c r="D43" s="272">
        <v>31821000</v>
      </c>
      <c r="E43" s="272">
        <v>34142000</v>
      </c>
    </row>
    <row r="44" spans="1:5" ht="24" customHeight="1">
      <c r="A44" s="17">
        <v>6</v>
      </c>
      <c r="B44" s="273" t="s">
        <v>233</v>
      </c>
      <c r="C44" s="274">
        <v>33026000</v>
      </c>
      <c r="D44" s="274">
        <v>26526000</v>
      </c>
      <c r="E44" s="274">
        <v>28273000</v>
      </c>
    </row>
    <row r="45" spans="1:5" ht="24" customHeight="1">
      <c r="A45" s="17">
        <v>7</v>
      </c>
      <c r="B45" s="45" t="s">
        <v>562</v>
      </c>
      <c r="C45" s="270">
        <f>+C43+C44</f>
        <v>57595000</v>
      </c>
      <c r="D45" s="270">
        <f>+D43+D44</f>
        <v>58347000</v>
      </c>
      <c r="E45" s="270">
        <f>+E43+E44</f>
        <v>62415000</v>
      </c>
    </row>
    <row r="46" spans="1:5" ht="24" customHeight="1">
      <c r="A46" s="17">
        <v>8</v>
      </c>
      <c r="B46" s="45" t="s">
        <v>540</v>
      </c>
      <c r="C46" s="270">
        <f>+C14</f>
        <v>255080000</v>
      </c>
      <c r="D46" s="270">
        <f>+D14</f>
        <v>284499000</v>
      </c>
      <c r="E46" s="270">
        <f>+E14</f>
        <v>290832000</v>
      </c>
    </row>
    <row r="47" spans="1:5" ht="24" customHeight="1">
      <c r="A47" s="17">
        <v>9</v>
      </c>
      <c r="B47" s="45" t="s">
        <v>563</v>
      </c>
      <c r="C47" s="270">
        <v>16694000</v>
      </c>
      <c r="D47" s="270">
        <v>18253000</v>
      </c>
      <c r="E47" s="270">
        <v>20411000</v>
      </c>
    </row>
    <row r="48" spans="1:5" ht="24" customHeight="1">
      <c r="A48" s="17">
        <v>10</v>
      </c>
      <c r="B48" s="45" t="s">
        <v>564</v>
      </c>
      <c r="C48" s="270">
        <f>+C46-C47</f>
        <v>238386000</v>
      </c>
      <c r="D48" s="270">
        <f>+D46-D47</f>
        <v>266246000</v>
      </c>
      <c r="E48" s="270">
        <f>+E46-E47</f>
        <v>270421000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565</v>
      </c>
      <c r="C50" s="278">
        <f>IF((C55/365)=0,0,+C54/(C55/365))</f>
        <v>47.78144179545869</v>
      </c>
      <c r="D50" s="278">
        <f>IF((D55/365)=0,0,+D54/(D55/365))</f>
        <v>46.99231443750968</v>
      </c>
      <c r="E50" s="278">
        <f>IF((E55/365)=0,0,+E54/(E55/365))</f>
        <v>43.35040045690996</v>
      </c>
    </row>
    <row r="51" spans="1:5" ht="24" customHeight="1">
      <c r="A51" s="17">
        <v>12</v>
      </c>
      <c r="B51" s="188" t="s">
        <v>566</v>
      </c>
      <c r="C51" s="279">
        <v>33730000</v>
      </c>
      <c r="D51" s="279">
        <v>35108000</v>
      </c>
      <c r="E51" s="279">
        <v>33583000</v>
      </c>
    </row>
    <row r="52" spans="1:5" ht="24" customHeight="1">
      <c r="A52" s="17">
        <v>13</v>
      </c>
      <c r="B52" s="188" t="s">
        <v>237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265</v>
      </c>
      <c r="C53" s="270">
        <v>1416000</v>
      </c>
      <c r="D53" s="270">
        <v>164000</v>
      </c>
      <c r="E53" s="270">
        <v>192000</v>
      </c>
    </row>
    <row r="54" spans="1:5" ht="32.25" customHeight="1">
      <c r="A54" s="17">
        <v>15</v>
      </c>
      <c r="B54" s="45" t="s">
        <v>567</v>
      </c>
      <c r="C54" s="280">
        <f>+C51+C52-C53</f>
        <v>32314000</v>
      </c>
      <c r="D54" s="280">
        <f>+D51+D52-D53</f>
        <v>34944000</v>
      </c>
      <c r="E54" s="280">
        <f>+E51+E52-E53</f>
        <v>33391000</v>
      </c>
    </row>
    <row r="55" spans="1:5" ht="24" customHeight="1">
      <c r="A55" s="17">
        <v>16</v>
      </c>
      <c r="B55" s="45" t="s">
        <v>291</v>
      </c>
      <c r="C55" s="270">
        <f>+C11</f>
        <v>246845000</v>
      </c>
      <c r="D55" s="270">
        <f>+D11</f>
        <v>271418000</v>
      </c>
      <c r="E55" s="270">
        <f>+E11</f>
        <v>281144231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568</v>
      </c>
      <c r="C57" s="283">
        <f>IF((C61/365)=0,0,+C58/(C61/365))</f>
        <v>58.89951591116928</v>
      </c>
      <c r="D57" s="283">
        <f>IF((D61/365)=0,0,+D58/(D61/365))</f>
        <v>58.00057090059569</v>
      </c>
      <c r="E57" s="283">
        <f>IF((E61/365)=0,0,+E58/(E61/365))</f>
        <v>63.67702582269868</v>
      </c>
    </row>
    <row r="58" spans="1:5" ht="24" customHeight="1">
      <c r="A58" s="17">
        <v>18</v>
      </c>
      <c r="B58" s="45" t="s">
        <v>270</v>
      </c>
      <c r="C58" s="281">
        <f>+C40</f>
        <v>38468000</v>
      </c>
      <c r="D58" s="281">
        <f>+D40</f>
        <v>42308000</v>
      </c>
      <c r="E58" s="281">
        <f>+E40</f>
        <v>47177000</v>
      </c>
    </row>
    <row r="59" spans="1:5" ht="24" customHeight="1">
      <c r="A59" s="17">
        <v>19</v>
      </c>
      <c r="B59" s="45" t="s">
        <v>540</v>
      </c>
      <c r="C59" s="281">
        <f aca="true" t="shared" si="0" ref="C59:E60">+C46</f>
        <v>255080000</v>
      </c>
      <c r="D59" s="281">
        <f t="shared" si="0"/>
        <v>284499000</v>
      </c>
      <c r="E59" s="281">
        <f t="shared" si="0"/>
        <v>290832000</v>
      </c>
    </row>
    <row r="60" spans="1:5" ht="24" customHeight="1">
      <c r="A60" s="17">
        <v>20</v>
      </c>
      <c r="B60" s="45" t="s">
        <v>563</v>
      </c>
      <c r="C60" s="176">
        <f t="shared" si="0"/>
        <v>16694000</v>
      </c>
      <c r="D60" s="176">
        <f t="shared" si="0"/>
        <v>18253000</v>
      </c>
      <c r="E60" s="176">
        <f t="shared" si="0"/>
        <v>20411000</v>
      </c>
    </row>
    <row r="61" spans="1:5" ht="24" customHeight="1">
      <c r="A61" s="17">
        <v>21</v>
      </c>
      <c r="B61" s="45" t="s">
        <v>569</v>
      </c>
      <c r="C61" s="281">
        <f>+C59-C60</f>
        <v>238386000</v>
      </c>
      <c r="D61" s="281">
        <f>+D59-D60</f>
        <v>266246000</v>
      </c>
      <c r="E61" s="281">
        <f>+E59-E60</f>
        <v>270421000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558</v>
      </c>
      <c r="B63" s="16" t="s">
        <v>571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572</v>
      </c>
      <c r="C65" s="284">
        <f>IF(C67=0,0,(C66/C67)*100)</f>
        <v>78.60046800994958</v>
      </c>
      <c r="D65" s="284">
        <f>IF(D67=0,0,(D66/D67)*100)</f>
        <v>77.14124927378396</v>
      </c>
      <c r="E65" s="284">
        <f>IF(E67=0,0,(E66/E67)*100)</f>
        <v>70.85542850898543</v>
      </c>
    </row>
    <row r="66" spans="1:5" ht="24" customHeight="1">
      <c r="A66" s="17">
        <v>2</v>
      </c>
      <c r="B66" s="45" t="s">
        <v>283</v>
      </c>
      <c r="C66" s="281">
        <f>+C32</f>
        <v>405422000</v>
      </c>
      <c r="D66" s="281">
        <f>+D32</f>
        <v>381077000</v>
      </c>
      <c r="E66" s="281">
        <f>+E32</f>
        <v>356626000</v>
      </c>
    </row>
    <row r="67" spans="1:5" ht="24" customHeight="1">
      <c r="A67" s="17">
        <v>3</v>
      </c>
      <c r="B67" s="45" t="s">
        <v>259</v>
      </c>
      <c r="C67" s="281">
        <v>515801000</v>
      </c>
      <c r="D67" s="281">
        <v>493999000</v>
      </c>
      <c r="E67" s="281">
        <v>503315000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573</v>
      </c>
      <c r="C69" s="284">
        <f>IF(C75=0,0,(C72/C75)*100)</f>
        <v>27.644828811752163</v>
      </c>
      <c r="D69" s="284">
        <f>IF(D75=0,0,(D72/D75)*100)</f>
        <v>5.875333224263538</v>
      </c>
      <c r="E69" s="284">
        <f>IF(E75=0,0,(E72/E75)*100)</f>
        <v>28.8409817665869</v>
      </c>
    </row>
    <row r="70" spans="1:5" ht="24" customHeight="1">
      <c r="A70" s="17">
        <v>5</v>
      </c>
      <c r="B70" s="45" t="s">
        <v>574</v>
      </c>
      <c r="C70" s="281">
        <f>+C28</f>
        <v>11308000</v>
      </c>
      <c r="D70" s="281">
        <f>+D28</f>
        <v>-12148000</v>
      </c>
      <c r="E70" s="281">
        <f>+E28</f>
        <v>6827000</v>
      </c>
    </row>
    <row r="71" spans="1:5" ht="24" customHeight="1">
      <c r="A71" s="17">
        <v>6</v>
      </c>
      <c r="B71" s="45" t="s">
        <v>563</v>
      </c>
      <c r="C71" s="176">
        <f>+C47</f>
        <v>16694000</v>
      </c>
      <c r="D71" s="176">
        <f>+D47</f>
        <v>18253000</v>
      </c>
      <c r="E71" s="176">
        <f>+E47</f>
        <v>20411000</v>
      </c>
    </row>
    <row r="72" spans="1:5" ht="24" customHeight="1">
      <c r="A72" s="17">
        <v>7</v>
      </c>
      <c r="B72" s="45" t="s">
        <v>575</v>
      </c>
      <c r="C72" s="281">
        <f>+C70+C71</f>
        <v>28002000</v>
      </c>
      <c r="D72" s="281">
        <f>+D70+D71</f>
        <v>6105000</v>
      </c>
      <c r="E72" s="281">
        <f>+E70+E71</f>
        <v>27238000</v>
      </c>
    </row>
    <row r="73" spans="1:5" ht="24" customHeight="1">
      <c r="A73" s="17">
        <v>8</v>
      </c>
      <c r="B73" s="45" t="s">
        <v>270</v>
      </c>
      <c r="C73" s="270">
        <f>+C40</f>
        <v>38468000</v>
      </c>
      <c r="D73" s="270">
        <f>+D40</f>
        <v>42308000</v>
      </c>
      <c r="E73" s="270">
        <f>+E40</f>
        <v>47177000</v>
      </c>
    </row>
    <row r="74" spans="1:5" ht="24" customHeight="1">
      <c r="A74" s="17">
        <v>9</v>
      </c>
      <c r="B74" s="45" t="s">
        <v>274</v>
      </c>
      <c r="C74" s="281">
        <v>62824000</v>
      </c>
      <c r="D74" s="281">
        <v>61601000</v>
      </c>
      <c r="E74" s="281">
        <v>47265000</v>
      </c>
    </row>
    <row r="75" spans="1:5" ht="24" customHeight="1">
      <c r="A75" s="17">
        <v>10</v>
      </c>
      <c r="B75" s="285" t="s">
        <v>576</v>
      </c>
      <c r="C75" s="270">
        <f>+C73+C74</f>
        <v>101292000</v>
      </c>
      <c r="D75" s="270">
        <f>+D73+D74</f>
        <v>103909000</v>
      </c>
      <c r="E75" s="270">
        <f>+E73+E74</f>
        <v>94442000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577</v>
      </c>
      <c r="C77" s="286">
        <f>IF(C80=0,0,(C78/C80)*100)</f>
        <v>13.41687916180811</v>
      </c>
      <c r="D77" s="286">
        <f>IF(D80=0,0,(D78/D80)*100)</f>
        <v>13.915532283059019</v>
      </c>
      <c r="E77" s="286">
        <f>IF(E80=0,0,(E78/E80)*100)</f>
        <v>11.702414760418034</v>
      </c>
    </row>
    <row r="78" spans="1:5" ht="24" customHeight="1">
      <c r="A78" s="17">
        <v>12</v>
      </c>
      <c r="B78" s="45" t="s">
        <v>274</v>
      </c>
      <c r="C78" s="270">
        <f>+C74</f>
        <v>62824000</v>
      </c>
      <c r="D78" s="270">
        <f>+D74</f>
        <v>61601000</v>
      </c>
      <c r="E78" s="270">
        <f>+E74</f>
        <v>47265000</v>
      </c>
    </row>
    <row r="79" spans="1:5" ht="24" customHeight="1">
      <c r="A79" s="17">
        <v>13</v>
      </c>
      <c r="B79" s="45" t="s">
        <v>283</v>
      </c>
      <c r="C79" s="270">
        <f>+C32</f>
        <v>405422000</v>
      </c>
      <c r="D79" s="270">
        <f>+D32</f>
        <v>381077000</v>
      </c>
      <c r="E79" s="270">
        <f>+E32</f>
        <v>356626000</v>
      </c>
    </row>
    <row r="80" spans="1:5" ht="24" customHeight="1">
      <c r="A80" s="17">
        <v>14</v>
      </c>
      <c r="B80" s="45" t="s">
        <v>578</v>
      </c>
      <c r="C80" s="270">
        <f>+C78+C79</f>
        <v>468246000</v>
      </c>
      <c r="D80" s="270">
        <f>+D78+D79</f>
        <v>442678000</v>
      </c>
      <c r="E80" s="270">
        <f>+E78+E79</f>
        <v>403891000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FILING&amp;R&amp;8GREENWICH HEALTH 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K26" sqref="K26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216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217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218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710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711</v>
      </c>
      <c r="G7" s="126" t="s">
        <v>711</v>
      </c>
      <c r="H7" s="125"/>
      <c r="I7" s="289"/>
    </row>
    <row r="8" spans="1:9" ht="15.75" customHeight="1">
      <c r="A8" s="287"/>
      <c r="B8" s="126"/>
      <c r="C8" s="126" t="s">
        <v>712</v>
      </c>
      <c r="D8" s="126" t="s">
        <v>713</v>
      </c>
      <c r="E8" s="126" t="s">
        <v>714</v>
      </c>
      <c r="F8" s="126" t="s">
        <v>715</v>
      </c>
      <c r="G8" s="126" t="s">
        <v>716</v>
      </c>
      <c r="H8" s="125"/>
      <c r="I8" s="289"/>
    </row>
    <row r="9" spans="1:9" ht="15.75" customHeight="1">
      <c r="A9" s="290" t="s">
        <v>224</v>
      </c>
      <c r="B9" s="291" t="s">
        <v>225</v>
      </c>
      <c r="C9" s="292" t="s">
        <v>717</v>
      </c>
      <c r="D9" s="292" t="s">
        <v>718</v>
      </c>
      <c r="E9" s="292" t="s">
        <v>719</v>
      </c>
      <c r="F9" s="292" t="s">
        <v>718</v>
      </c>
      <c r="G9" s="292" t="s">
        <v>719</v>
      </c>
      <c r="H9" s="125"/>
      <c r="I9" s="56"/>
    </row>
    <row r="10" spans="1:9" ht="15.75" customHeight="1">
      <c r="A10" s="293" t="s">
        <v>720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721</v>
      </c>
      <c r="C11" s="296">
        <v>33347</v>
      </c>
      <c r="D11" s="297">
        <v>129</v>
      </c>
      <c r="E11" s="297">
        <v>129</v>
      </c>
      <c r="F11" s="298">
        <f>IF(D11=0,0,$C11/(D11*365))</f>
        <v>0.7082297971753212</v>
      </c>
      <c r="G11" s="298">
        <f>IF(E11=0,0,$C11/(E11*365))</f>
        <v>0.7082297971753212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722</v>
      </c>
      <c r="C13" s="296">
        <v>1975</v>
      </c>
      <c r="D13" s="297">
        <v>10</v>
      </c>
      <c r="E13" s="297">
        <v>10</v>
      </c>
      <c r="F13" s="298">
        <f>IF(D13=0,0,$C13/(D13*365))</f>
        <v>0.541095890410959</v>
      </c>
      <c r="G13" s="298">
        <f>IF(E13=0,0,$C13/(E13*365))</f>
        <v>0.541095890410959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723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724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>
      <c r="A17" s="293"/>
      <c r="B17" s="135" t="s">
        <v>725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726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727</v>
      </c>
      <c r="C21" s="296">
        <v>6766</v>
      </c>
      <c r="D21" s="297">
        <v>25</v>
      </c>
      <c r="E21" s="297">
        <v>25</v>
      </c>
      <c r="F21" s="298">
        <f>IF(D21=0,0,$C21/(D21*365))</f>
        <v>0.7414794520547945</v>
      </c>
      <c r="G21" s="298">
        <f>IF(E21=0,0,$C21/(E21*365))</f>
        <v>0.7414794520547945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728</v>
      </c>
      <c r="C23" s="296">
        <v>5014</v>
      </c>
      <c r="D23" s="297">
        <v>22</v>
      </c>
      <c r="E23" s="297">
        <v>22</v>
      </c>
      <c r="F23" s="298">
        <f>IF(D23=0,0,$C23/(D23*365))</f>
        <v>0.6244084682440847</v>
      </c>
      <c r="G23" s="298">
        <f>IF(E23=0,0,$C23/(E23*365))</f>
        <v>0.6244084682440847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511</v>
      </c>
      <c r="C25" s="296">
        <v>2174</v>
      </c>
      <c r="D25" s="297">
        <v>10</v>
      </c>
      <c r="E25" s="297">
        <v>10</v>
      </c>
      <c r="F25" s="298">
        <f>IF(D25=0,0,$C25/(D25*365))</f>
        <v>0.5956164383561644</v>
      </c>
      <c r="G25" s="298">
        <f>IF(E25=0,0,$C25/(E25*365))</f>
        <v>0.5956164383561644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729</v>
      </c>
      <c r="C27" s="296">
        <v>873</v>
      </c>
      <c r="D27" s="297">
        <v>10</v>
      </c>
      <c r="E27" s="297">
        <v>10</v>
      </c>
      <c r="F27" s="298">
        <f>IF(D27=0,0,$C27/(D27*365))</f>
        <v>0.23917808219178083</v>
      </c>
      <c r="G27" s="298">
        <f>IF(E27=0,0,$C27/(E27*365))</f>
        <v>0.23917808219178083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730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731</v>
      </c>
      <c r="C31" s="300">
        <f>SUM(C10:C29)-C17-C23</f>
        <v>45135</v>
      </c>
      <c r="D31" s="300">
        <f>SUM(D10:D29)-D17-D23</f>
        <v>184</v>
      </c>
      <c r="E31" s="300">
        <f>SUM(E10:E29)-E17-E23</f>
        <v>184</v>
      </c>
      <c r="F31" s="301">
        <f>IF(D31=0,0,$C31/(D31*365))</f>
        <v>0.6720518165574747</v>
      </c>
      <c r="G31" s="301">
        <f>IF(E31=0,0,$C31/(E31*365))</f>
        <v>0.6720518165574747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732</v>
      </c>
      <c r="C33" s="300">
        <f>SUM(C10:C29)-C17</f>
        <v>50149</v>
      </c>
      <c r="D33" s="300">
        <f>SUM(D10:D29)-D17</f>
        <v>206</v>
      </c>
      <c r="E33" s="300">
        <f>SUM(E10:E29)-E17</f>
        <v>206</v>
      </c>
      <c r="F33" s="301">
        <f>IF(D33=0,0,$C33/(D33*365))</f>
        <v>0.6669636919803166</v>
      </c>
      <c r="G33" s="301">
        <f>IF(E33=0,0,$C33/(E33*365))</f>
        <v>0.6669636919803166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733</v>
      </c>
      <c r="C36" s="300">
        <f>+C33</f>
        <v>50149</v>
      </c>
      <c r="D36" s="300">
        <f>+D33</f>
        <v>206</v>
      </c>
      <c r="E36" s="300">
        <f>+E33</f>
        <v>206</v>
      </c>
      <c r="F36" s="301">
        <f>+F33</f>
        <v>0.6669636919803166</v>
      </c>
      <c r="G36" s="301">
        <f>+G33</f>
        <v>0.6669636919803166</v>
      </c>
      <c r="H36" s="125"/>
      <c r="I36" s="299"/>
    </row>
    <row r="37" spans="1:9" ht="15.75" customHeight="1">
      <c r="A37" s="293"/>
      <c r="B37" s="135" t="s">
        <v>734</v>
      </c>
      <c r="C37" s="300">
        <v>51700</v>
      </c>
      <c r="D37" s="302">
        <v>206</v>
      </c>
      <c r="E37" s="302">
        <v>206</v>
      </c>
      <c r="F37" s="301">
        <f>IF(D37=0,0,$C37/(D37*365))</f>
        <v>0.6875914350312542</v>
      </c>
      <c r="G37" s="301">
        <f>IF(E37=0,0,$C37/(E37*365))</f>
        <v>0.6875914350312542</v>
      </c>
      <c r="H37" s="125"/>
      <c r="I37" s="299"/>
    </row>
    <row r="38" spans="1:9" ht="15.75" customHeight="1">
      <c r="A38" s="293"/>
      <c r="B38" s="135" t="s">
        <v>735</v>
      </c>
      <c r="C38" s="300">
        <f>+C36-C37</f>
        <v>-1551</v>
      </c>
      <c r="D38" s="300">
        <f>+D36-D37</f>
        <v>0</v>
      </c>
      <c r="E38" s="300">
        <f>+E36-E37</f>
        <v>0</v>
      </c>
      <c r="F38" s="301">
        <f>+F36-F37</f>
        <v>-0.02062774305093762</v>
      </c>
      <c r="G38" s="301">
        <f>+G36-G37</f>
        <v>-0.02062774305093762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736</v>
      </c>
      <c r="C40" s="148">
        <f>IF(C37=0,0,C38/C37)</f>
        <v>-0.03</v>
      </c>
      <c r="D40" s="148">
        <f>IF(D37=0,0,D38/D37)</f>
        <v>0</v>
      </c>
      <c r="E40" s="148">
        <f>IF(E37=0,0,E38/E37)</f>
        <v>0</v>
      </c>
      <c r="F40" s="148">
        <f>IF(F37=0,0,F38/F37)</f>
        <v>-0.029999999999999992</v>
      </c>
      <c r="G40" s="148">
        <f>IF(G37=0,0,G38/G37)</f>
        <v>-0.029999999999999992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737</v>
      </c>
      <c r="C42" s="295">
        <v>206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738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720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FILING&amp;RGREENWICH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216</v>
      </c>
      <c r="B1" s="698"/>
      <c r="C1" s="698"/>
      <c r="D1" s="698"/>
      <c r="E1" s="698"/>
      <c r="F1" s="698"/>
    </row>
    <row r="2" spans="1:6" ht="15.75" customHeight="1">
      <c r="A2" s="698" t="s">
        <v>217</v>
      </c>
      <c r="B2" s="698"/>
      <c r="C2" s="698"/>
      <c r="D2" s="698"/>
      <c r="E2" s="698"/>
      <c r="F2" s="698"/>
    </row>
    <row r="3" spans="1:6" ht="15.75" customHeight="1">
      <c r="A3" s="698" t="s">
        <v>218</v>
      </c>
      <c r="B3" s="698"/>
      <c r="C3" s="698"/>
      <c r="D3" s="698"/>
      <c r="E3" s="698"/>
      <c r="F3" s="698"/>
    </row>
    <row r="4" spans="1:6" ht="15.75" customHeight="1">
      <c r="A4" s="698" t="s">
        <v>739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226</v>
      </c>
      <c r="D8" s="312" t="s">
        <v>226</v>
      </c>
      <c r="E8" s="126" t="s">
        <v>222</v>
      </c>
      <c r="F8" s="126" t="s">
        <v>223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224</v>
      </c>
      <c r="B9" s="291" t="s">
        <v>225</v>
      </c>
      <c r="C9" s="292" t="s">
        <v>220</v>
      </c>
      <c r="D9" s="292" t="s">
        <v>221</v>
      </c>
      <c r="E9" s="315" t="s">
        <v>227</v>
      </c>
      <c r="F9" s="315" t="s">
        <v>227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230</v>
      </c>
      <c r="B11" s="291" t="s">
        <v>740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741</v>
      </c>
      <c r="C12" s="296">
        <v>7189</v>
      </c>
      <c r="D12" s="296">
        <v>6755</v>
      </c>
      <c r="E12" s="296">
        <f>+D12-C12</f>
        <v>-434</v>
      </c>
      <c r="F12" s="316">
        <f>IF(C12=0,0,+E12/C12)</f>
        <v>-0.06037000973709834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742</v>
      </c>
      <c r="C13" s="296">
        <v>7005</v>
      </c>
      <c r="D13" s="296">
        <v>6907</v>
      </c>
      <c r="E13" s="296">
        <f>+D13-C13</f>
        <v>-98</v>
      </c>
      <c r="F13" s="316">
        <f>IF(C13=0,0,+E13/C13)</f>
        <v>-0.013990007137758744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743</v>
      </c>
      <c r="C14" s="296">
        <v>8729</v>
      </c>
      <c r="D14" s="296">
        <v>8072</v>
      </c>
      <c r="E14" s="296">
        <f>+D14-C14</f>
        <v>-657</v>
      </c>
      <c r="F14" s="316">
        <f>IF(C14=0,0,+E14/C14)</f>
        <v>-0.07526635353419636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744</v>
      </c>
      <c r="C15" s="296">
        <v>1411</v>
      </c>
      <c r="D15" s="296">
        <v>1332</v>
      </c>
      <c r="E15" s="296">
        <f>+D15-C15</f>
        <v>-79</v>
      </c>
      <c r="F15" s="316">
        <f>IF(C15=0,0,+E15/C15)</f>
        <v>-0.05598866052445074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745</v>
      </c>
      <c r="C16" s="300">
        <f>SUM(C12:C15)</f>
        <v>24334</v>
      </c>
      <c r="D16" s="300">
        <f>SUM(D12:D15)</f>
        <v>23066</v>
      </c>
      <c r="E16" s="300">
        <f>+D16-C16</f>
        <v>-1268</v>
      </c>
      <c r="F16" s="309">
        <f>IF(C16=0,0,+E16/C16)</f>
        <v>-0.05210816142023506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242</v>
      </c>
      <c r="B18" s="291" t="s">
        <v>746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741</v>
      </c>
      <c r="C19" s="296">
        <v>1222</v>
      </c>
      <c r="D19" s="296">
        <v>982</v>
      </c>
      <c r="E19" s="296">
        <f>+D19-C19</f>
        <v>-240</v>
      </c>
      <c r="F19" s="316">
        <f>IF(C19=0,0,+E19/C19)</f>
        <v>-0.19639934533551553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742</v>
      </c>
      <c r="C20" s="296">
        <v>5819</v>
      </c>
      <c r="D20" s="296">
        <v>5604</v>
      </c>
      <c r="E20" s="296">
        <f>+D20-C20</f>
        <v>-215</v>
      </c>
      <c r="F20" s="316">
        <f>IF(C20=0,0,+E20/C20)</f>
        <v>-0.03694792919745661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743</v>
      </c>
      <c r="C21" s="296">
        <v>132</v>
      </c>
      <c r="D21" s="296">
        <v>128</v>
      </c>
      <c r="E21" s="296">
        <f>+D21-C21</f>
        <v>-4</v>
      </c>
      <c r="F21" s="316">
        <f>IF(C21=0,0,+E21/C21)</f>
        <v>-0.030303030303030304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744</v>
      </c>
      <c r="C22" s="296">
        <v>1505</v>
      </c>
      <c r="D22" s="296">
        <v>1232</v>
      </c>
      <c r="E22" s="296">
        <f>+D22-C22</f>
        <v>-273</v>
      </c>
      <c r="F22" s="316">
        <f>IF(C22=0,0,+E22/C22)</f>
        <v>-0.1813953488372093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747</v>
      </c>
      <c r="C23" s="300">
        <f>SUM(C19:C22)</f>
        <v>8678</v>
      </c>
      <c r="D23" s="300">
        <f>SUM(D19:D22)</f>
        <v>7946</v>
      </c>
      <c r="E23" s="300">
        <f>+D23-C23</f>
        <v>-732</v>
      </c>
      <c r="F23" s="309">
        <f>IF(C23=0,0,+E23/C23)</f>
        <v>-0.08435123300299609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252</v>
      </c>
      <c r="B25" s="291" t="s">
        <v>748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741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742</v>
      </c>
      <c r="C27" s="296">
        <v>0</v>
      </c>
      <c r="D27" s="296">
        <v>4</v>
      </c>
      <c r="E27" s="296">
        <f>+D27-C27</f>
        <v>4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743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744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749</v>
      </c>
      <c r="C30" s="300">
        <f>SUM(C26:C29)</f>
        <v>0</v>
      </c>
      <c r="D30" s="300">
        <f>SUM(D26:D29)</f>
        <v>4</v>
      </c>
      <c r="E30" s="300">
        <f>+D30-C30</f>
        <v>4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537</v>
      </c>
      <c r="B32" s="291" t="s">
        <v>750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741</v>
      </c>
      <c r="C33" s="296">
        <v>56</v>
      </c>
      <c r="D33" s="296">
        <v>48</v>
      </c>
      <c r="E33" s="296">
        <f>+D33-C33</f>
        <v>-8</v>
      </c>
      <c r="F33" s="316">
        <f>IF(C33=0,0,+E33/C33)</f>
        <v>-0.14285714285714285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742</v>
      </c>
      <c r="C34" s="296">
        <v>930</v>
      </c>
      <c r="D34" s="296">
        <v>932</v>
      </c>
      <c r="E34" s="296">
        <f>+D34-C34</f>
        <v>2</v>
      </c>
      <c r="F34" s="316">
        <f>IF(C34=0,0,+E34/C34)</f>
        <v>0.002150537634408602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743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744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751</v>
      </c>
      <c r="C37" s="300">
        <f>SUM(C33:C36)</f>
        <v>986</v>
      </c>
      <c r="D37" s="300">
        <f>SUM(D33:D36)</f>
        <v>980</v>
      </c>
      <c r="E37" s="300">
        <f>+D37-C37</f>
        <v>-6</v>
      </c>
      <c r="F37" s="309">
        <f>IF(C37=0,0,+E37/C37)</f>
        <v>-0.006085192697768763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752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753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558</v>
      </c>
      <c r="B42" s="291" t="s">
        <v>754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755</v>
      </c>
      <c r="C43" s="296">
        <v>166</v>
      </c>
      <c r="D43" s="296">
        <v>228</v>
      </c>
      <c r="E43" s="296">
        <f>+D43-C43</f>
        <v>62</v>
      </c>
      <c r="F43" s="316">
        <f>IF(C43=0,0,+E43/C43)</f>
        <v>0.37349397590361444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756</v>
      </c>
      <c r="C44" s="296">
        <v>6790</v>
      </c>
      <c r="D44" s="296">
        <v>6290</v>
      </c>
      <c r="E44" s="296">
        <f>+D44-C44</f>
        <v>-500</v>
      </c>
      <c r="F44" s="316">
        <f>IF(C44=0,0,+E44/C44)</f>
        <v>-0.07363770250368189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757</v>
      </c>
      <c r="C45" s="300">
        <f>SUM(C43:C44)</f>
        <v>6956</v>
      </c>
      <c r="D45" s="300">
        <f>SUM(D43:D44)</f>
        <v>6518</v>
      </c>
      <c r="E45" s="300">
        <f>+D45-C45</f>
        <v>-438</v>
      </c>
      <c r="F45" s="309">
        <f>IF(C45=0,0,+E45/C45)</f>
        <v>-0.06296722254169063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570</v>
      </c>
      <c r="B47" s="291" t="s">
        <v>758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755</v>
      </c>
      <c r="C48" s="296">
        <v>161</v>
      </c>
      <c r="D48" s="296">
        <v>180</v>
      </c>
      <c r="E48" s="296">
        <f>+D48-C48</f>
        <v>19</v>
      </c>
      <c r="F48" s="316">
        <f>IF(C48=0,0,+E48/C48)</f>
        <v>0.11801242236024845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756</v>
      </c>
      <c r="C49" s="296">
        <v>130</v>
      </c>
      <c r="D49" s="296">
        <v>124</v>
      </c>
      <c r="E49" s="296">
        <f>+D49-C49</f>
        <v>-6</v>
      </c>
      <c r="F49" s="316">
        <f>IF(C49=0,0,+E49/C49)</f>
        <v>-0.046153846153846156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759</v>
      </c>
      <c r="C50" s="300">
        <f>SUM(C48:C49)</f>
        <v>291</v>
      </c>
      <c r="D50" s="300">
        <f>SUM(D48:D49)</f>
        <v>304</v>
      </c>
      <c r="E50" s="300">
        <f>+D50-C50</f>
        <v>13</v>
      </c>
      <c r="F50" s="309">
        <f>IF(C50=0,0,+E50/C50)</f>
        <v>0.044673539518900345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582</v>
      </c>
      <c r="B52" s="291" t="s">
        <v>760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761</v>
      </c>
      <c r="C53" s="296">
        <v>41</v>
      </c>
      <c r="D53" s="296">
        <v>42</v>
      </c>
      <c r="E53" s="296">
        <f>+D53-C53</f>
        <v>1</v>
      </c>
      <c r="F53" s="316">
        <f>IF(C53=0,0,+E53/C53)</f>
        <v>0.024390243902439025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762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763</v>
      </c>
      <c r="C55" s="300">
        <f>SUM(C53:C54)</f>
        <v>41</v>
      </c>
      <c r="D55" s="300">
        <f>SUM(D53:D54)</f>
        <v>42</v>
      </c>
      <c r="E55" s="300">
        <f>+D55-C55</f>
        <v>1</v>
      </c>
      <c r="F55" s="309">
        <f>IF(C55=0,0,+E55/C55)</f>
        <v>0.024390243902439025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586</v>
      </c>
      <c r="B57" s="291" t="s">
        <v>764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765</v>
      </c>
      <c r="C58" s="296">
        <v>0</v>
      </c>
      <c r="D58" s="296">
        <v>7</v>
      </c>
      <c r="E58" s="296">
        <f>+D58-C58</f>
        <v>7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766</v>
      </c>
      <c r="C59" s="296">
        <v>1</v>
      </c>
      <c r="D59" s="296">
        <v>1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767</v>
      </c>
      <c r="C60" s="300">
        <f>SUM(C58:C59)</f>
        <v>1</v>
      </c>
      <c r="D60" s="300">
        <f>SUM(D58:D59)</f>
        <v>8</v>
      </c>
      <c r="E60" s="300">
        <f>SUM(E58:E59)</f>
        <v>7</v>
      </c>
      <c r="F60" s="309">
        <f>IF(C60=0,0,+E60/C60)</f>
        <v>7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228</v>
      </c>
      <c r="B62" s="291" t="s">
        <v>768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769</v>
      </c>
      <c r="C63" s="296">
        <v>2628</v>
      </c>
      <c r="D63" s="296">
        <v>2720</v>
      </c>
      <c r="E63" s="296">
        <f>+D63-C63</f>
        <v>92</v>
      </c>
      <c r="F63" s="316">
        <f>IF(C63=0,0,+E63/C63)</f>
        <v>0.0350076103500761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770</v>
      </c>
      <c r="C64" s="296">
        <v>6903</v>
      </c>
      <c r="D64" s="296">
        <v>7250</v>
      </c>
      <c r="E64" s="296">
        <f>+D64-C64</f>
        <v>347</v>
      </c>
      <c r="F64" s="316">
        <f>IF(C64=0,0,+E64/C64)</f>
        <v>0.0502679994205418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771</v>
      </c>
      <c r="C65" s="300">
        <f>SUM(C63:C64)</f>
        <v>9531</v>
      </c>
      <c r="D65" s="300">
        <f>SUM(D63:D64)</f>
        <v>9970</v>
      </c>
      <c r="E65" s="300">
        <f>+D65-C65</f>
        <v>439</v>
      </c>
      <c r="F65" s="309">
        <f>IF(C65=0,0,+E65/C65)</f>
        <v>0.04606022453047949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612</v>
      </c>
      <c r="B67" s="291" t="s">
        <v>772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773</v>
      </c>
      <c r="C68" s="296">
        <v>446</v>
      </c>
      <c r="D68" s="296">
        <v>451</v>
      </c>
      <c r="E68" s="296">
        <f>+D68-C68</f>
        <v>5</v>
      </c>
      <c r="F68" s="316">
        <f>IF(C68=0,0,+E68/C68)</f>
        <v>0.011210762331838564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774</v>
      </c>
      <c r="C69" s="296">
        <v>7172</v>
      </c>
      <c r="D69" s="296">
        <v>3164</v>
      </c>
      <c r="E69" s="296">
        <f>+D69-C69</f>
        <v>-4008</v>
      </c>
      <c r="F69" s="318">
        <f>IF(C69=0,0,+E69/C69)</f>
        <v>-0.5588399330730619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775</v>
      </c>
      <c r="C70" s="300">
        <f>SUM(C68:C69)</f>
        <v>7618</v>
      </c>
      <c r="D70" s="300">
        <f>SUM(D68:D69)</f>
        <v>3615</v>
      </c>
      <c r="E70" s="300">
        <f>+D70-C70</f>
        <v>-4003</v>
      </c>
      <c r="F70" s="309">
        <f>IF(C70=0,0,+E70/C70)</f>
        <v>-0.5254660015752166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628</v>
      </c>
      <c r="B72" s="291" t="s">
        <v>776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777</v>
      </c>
      <c r="C73" s="319">
        <v>7569</v>
      </c>
      <c r="D73" s="319">
        <v>7824</v>
      </c>
      <c r="E73" s="296">
        <f>+D73-C73</f>
        <v>255</v>
      </c>
      <c r="F73" s="316">
        <f>IF(C73=0,0,+E73/C73)</f>
        <v>0.033690051525961155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778</v>
      </c>
      <c r="C74" s="319">
        <v>33101</v>
      </c>
      <c r="D74" s="319">
        <v>35461</v>
      </c>
      <c r="E74" s="296">
        <f>+D74-C74</f>
        <v>2360</v>
      </c>
      <c r="F74" s="316">
        <f>IF(C74=0,0,+E74/C74)</f>
        <v>0.07129693966949639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644</v>
      </c>
      <c r="C75" s="300">
        <f>SUM(C73:C74)</f>
        <v>40670</v>
      </c>
      <c r="D75" s="300">
        <f>SUM(D73:D74)</f>
        <v>43285</v>
      </c>
      <c r="E75" s="300">
        <f>SUM(E73:E74)</f>
        <v>2615</v>
      </c>
      <c r="F75" s="309">
        <f>IF(C75=0,0,+E75/C75)</f>
        <v>0.06429800835997049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637</v>
      </c>
      <c r="B78" s="291" t="s">
        <v>779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780</v>
      </c>
      <c r="C79" s="319">
        <v>6389</v>
      </c>
      <c r="D79" s="319">
        <v>7066</v>
      </c>
      <c r="E79" s="296">
        <f aca="true" t="shared" si="0" ref="E79:E84">+D79-C79</f>
        <v>677</v>
      </c>
      <c r="F79" s="316">
        <f aca="true" t="shared" si="1" ref="F79:F84">IF(C79=0,0,+E79/C79)</f>
        <v>0.10596337455000783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781</v>
      </c>
      <c r="C80" s="319">
        <v>2348</v>
      </c>
      <c r="D80" s="319">
        <v>2420</v>
      </c>
      <c r="E80" s="296">
        <f t="shared" si="0"/>
        <v>72</v>
      </c>
      <c r="F80" s="316">
        <f t="shared" si="1"/>
        <v>0.030664395229982964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782</v>
      </c>
      <c r="C81" s="319">
        <v>9291</v>
      </c>
      <c r="D81" s="319">
        <v>9032</v>
      </c>
      <c r="E81" s="296">
        <f t="shared" si="0"/>
        <v>-259</v>
      </c>
      <c r="F81" s="316">
        <f t="shared" si="1"/>
        <v>-0.027876439565170594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783</v>
      </c>
      <c r="C82" s="319">
        <v>8926</v>
      </c>
      <c r="D82" s="319">
        <v>9779</v>
      </c>
      <c r="E82" s="296">
        <f t="shared" si="0"/>
        <v>853</v>
      </c>
      <c r="F82" s="316">
        <f t="shared" si="1"/>
        <v>0.09556352229442079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784</v>
      </c>
      <c r="C83" s="319">
        <v>3600</v>
      </c>
      <c r="D83" s="319">
        <v>4025</v>
      </c>
      <c r="E83" s="296">
        <f t="shared" si="0"/>
        <v>425</v>
      </c>
      <c r="F83" s="316">
        <f t="shared" si="1"/>
        <v>0.11805555555555555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785</v>
      </c>
      <c r="C84" s="320">
        <f>SUM(C79:C83)</f>
        <v>30554</v>
      </c>
      <c r="D84" s="320">
        <f>SUM(D79:D83)</f>
        <v>32322</v>
      </c>
      <c r="E84" s="300">
        <f t="shared" si="0"/>
        <v>1768</v>
      </c>
      <c r="F84" s="309">
        <f t="shared" si="1"/>
        <v>0.05786476402435033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640</v>
      </c>
      <c r="B86" s="291" t="s">
        <v>786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787</v>
      </c>
      <c r="C87" s="322">
        <v>33504</v>
      </c>
      <c r="D87" s="322">
        <v>34768</v>
      </c>
      <c r="E87" s="323">
        <f aca="true" t="shared" si="2" ref="E87:E92">+D87-C87</f>
        <v>1264</v>
      </c>
      <c r="F87" s="318">
        <f aca="true" t="shared" si="3" ref="F87:F92">IF(C87=0,0,+E87/C87)</f>
        <v>0.03772683858643744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479</v>
      </c>
      <c r="C88" s="322">
        <v>2833</v>
      </c>
      <c r="D88" s="322">
        <v>2825</v>
      </c>
      <c r="E88" s="296">
        <f t="shared" si="2"/>
        <v>-8</v>
      </c>
      <c r="F88" s="316">
        <f t="shared" si="3"/>
        <v>-0.0028238616307800918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788</v>
      </c>
      <c r="C89" s="322">
        <v>39445</v>
      </c>
      <c r="D89" s="322">
        <v>37812</v>
      </c>
      <c r="E89" s="296">
        <f t="shared" si="2"/>
        <v>-1633</v>
      </c>
      <c r="F89" s="316">
        <f t="shared" si="3"/>
        <v>-0.04139941690962099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789</v>
      </c>
      <c r="C90" s="322">
        <v>1175</v>
      </c>
      <c r="D90" s="322">
        <v>1064</v>
      </c>
      <c r="E90" s="296">
        <f t="shared" si="2"/>
        <v>-111</v>
      </c>
      <c r="F90" s="316">
        <f t="shared" si="3"/>
        <v>-0.09446808510638298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790</v>
      </c>
      <c r="C91" s="322">
        <v>302310</v>
      </c>
      <c r="D91" s="322">
        <v>311220</v>
      </c>
      <c r="E91" s="296">
        <f t="shared" si="2"/>
        <v>8910</v>
      </c>
      <c r="F91" s="316">
        <f t="shared" si="3"/>
        <v>0.02947305745757666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791</v>
      </c>
      <c r="C92" s="320">
        <f>SUM(C87:C91)</f>
        <v>379267</v>
      </c>
      <c r="D92" s="320">
        <f>SUM(D87:D91)</f>
        <v>387689</v>
      </c>
      <c r="E92" s="300">
        <f t="shared" si="2"/>
        <v>8422</v>
      </c>
      <c r="F92" s="309">
        <f t="shared" si="3"/>
        <v>0.022205992084731865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792</v>
      </c>
      <c r="B95" s="291" t="s">
        <v>793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794</v>
      </c>
      <c r="C96" s="325">
        <v>418.5</v>
      </c>
      <c r="D96" s="325">
        <v>338.2</v>
      </c>
      <c r="E96" s="326">
        <f>+D96-C96</f>
        <v>-80.30000000000001</v>
      </c>
      <c r="F96" s="316">
        <f>IF(C96=0,0,+E96/C96)</f>
        <v>-0.19187574671445642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795</v>
      </c>
      <c r="C97" s="325">
        <v>65.4</v>
      </c>
      <c r="D97" s="325">
        <v>60.1</v>
      </c>
      <c r="E97" s="326">
        <f>+D97-C97</f>
        <v>-5.300000000000004</v>
      </c>
      <c r="F97" s="316">
        <f>IF(C97=0,0,+E97/C97)</f>
        <v>-0.08103975535168202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796</v>
      </c>
      <c r="C98" s="325">
        <v>1112</v>
      </c>
      <c r="D98" s="325">
        <v>1041.8</v>
      </c>
      <c r="E98" s="326">
        <f>+D98-C98</f>
        <v>-70.20000000000005</v>
      </c>
      <c r="F98" s="316">
        <f>IF(C98=0,0,+E98/C98)</f>
        <v>-0.06312949640287774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797</v>
      </c>
      <c r="C99" s="327">
        <f>SUM(C96:C98)</f>
        <v>1595.9</v>
      </c>
      <c r="D99" s="327">
        <f>SUM(D96:D98)</f>
        <v>1440.1</v>
      </c>
      <c r="E99" s="327">
        <f>+D99-C99</f>
        <v>-155.80000000000018</v>
      </c>
      <c r="F99" s="309">
        <f>IF(C99=0,0,+E99/C99)</f>
        <v>-0.09762516448399033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FILING&amp;RGREENWICH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1">
      <selection activeCell="B29" sqref="B29:F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216</v>
      </c>
      <c r="B1" s="698"/>
      <c r="C1" s="698"/>
      <c r="D1" s="698"/>
      <c r="E1" s="698"/>
      <c r="F1" s="698"/>
    </row>
    <row r="2" spans="1:6" ht="15.75" customHeight="1">
      <c r="A2" s="698" t="s">
        <v>217</v>
      </c>
      <c r="B2" s="698"/>
      <c r="C2" s="698"/>
      <c r="D2" s="698"/>
      <c r="E2" s="698"/>
      <c r="F2" s="698"/>
    </row>
    <row r="3" spans="1:6" ht="15.75" customHeight="1">
      <c r="A3" s="698" t="s">
        <v>218</v>
      </c>
      <c r="B3" s="698"/>
      <c r="C3" s="698"/>
      <c r="D3" s="698"/>
      <c r="E3" s="698"/>
      <c r="F3" s="698"/>
    </row>
    <row r="4" spans="1:6" ht="15.75" customHeight="1">
      <c r="A4" s="698" t="s">
        <v>798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226</v>
      </c>
      <c r="D8" s="312" t="s">
        <v>226</v>
      </c>
      <c r="E8" s="126" t="s">
        <v>222</v>
      </c>
      <c r="F8" s="126" t="s">
        <v>223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224</v>
      </c>
      <c r="B9" s="291" t="s">
        <v>225</v>
      </c>
      <c r="C9" s="292" t="s">
        <v>220</v>
      </c>
      <c r="D9" s="292" t="s">
        <v>221</v>
      </c>
      <c r="E9" s="315" t="s">
        <v>227</v>
      </c>
      <c r="F9" s="315" t="s">
        <v>227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326</v>
      </c>
      <c r="B11" s="291" t="s">
        <v>770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799</v>
      </c>
      <c r="C12" s="296">
        <v>6903</v>
      </c>
      <c r="D12" s="296">
        <v>876</v>
      </c>
      <c r="E12" s="296">
        <f>+D12-C12</f>
        <v>-6027</v>
      </c>
      <c r="F12" s="316">
        <f>IF(C12=0,0,+E12/C12)</f>
        <v>-0.8730986527596697</v>
      </c>
    </row>
    <row r="13" spans="1:6" ht="15.75" customHeight="1">
      <c r="A13" s="294">
        <v>2</v>
      </c>
      <c r="B13" s="295" t="s">
        <v>800</v>
      </c>
      <c r="C13" s="296">
        <v>0</v>
      </c>
      <c r="D13" s="296">
        <v>6374</v>
      </c>
      <c r="E13" s="296">
        <f>+D13-C13</f>
        <v>6374</v>
      </c>
      <c r="F13" s="316">
        <f>IF(C13=0,0,+E13/C13)</f>
        <v>0</v>
      </c>
    </row>
    <row r="14" spans="1:6" ht="15.75" customHeight="1">
      <c r="A14" s="294"/>
      <c r="B14" s="135" t="s">
        <v>801</v>
      </c>
      <c r="C14" s="300">
        <f>SUM(C11:C13)</f>
        <v>6903</v>
      </c>
      <c r="D14" s="300">
        <f>SUM(D11:D13)</f>
        <v>7250</v>
      </c>
      <c r="E14" s="300">
        <f>+D14-C14</f>
        <v>347</v>
      </c>
      <c r="F14" s="309">
        <f>IF(C14=0,0,+E14/C14)</f>
        <v>0.0502679994205418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340</v>
      </c>
      <c r="B16" s="291" t="s">
        <v>774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800</v>
      </c>
      <c r="C17" s="296">
        <v>226</v>
      </c>
      <c r="D17" s="296">
        <v>232</v>
      </c>
      <c r="E17" s="296">
        <f>+D17-C17</f>
        <v>6</v>
      </c>
      <c r="F17" s="316">
        <f>IF(C17=0,0,+E17/C17)</f>
        <v>0.02654867256637168</v>
      </c>
    </row>
    <row r="18" spans="1:6" ht="15.75" customHeight="1">
      <c r="A18" s="294">
        <v>2</v>
      </c>
      <c r="B18" s="295" t="s">
        <v>802</v>
      </c>
      <c r="C18" s="296">
        <v>6946</v>
      </c>
      <c r="D18" s="296">
        <v>2932</v>
      </c>
      <c r="E18" s="296">
        <f>+D18-C18</f>
        <v>-4014</v>
      </c>
      <c r="F18" s="316">
        <f>IF(C18=0,0,+E18/C18)</f>
        <v>-0.5778865534120357</v>
      </c>
    </row>
    <row r="19" spans="1:6" ht="15.75" customHeight="1">
      <c r="A19" s="294"/>
      <c r="B19" s="135" t="s">
        <v>803</v>
      </c>
      <c r="C19" s="300">
        <f>SUM(C16:C18)</f>
        <v>7172</v>
      </c>
      <c r="D19" s="300">
        <f>SUM(D16:D18)</f>
        <v>3164</v>
      </c>
      <c r="E19" s="300">
        <f>+D19-C19</f>
        <v>-4008</v>
      </c>
      <c r="F19" s="309">
        <f>IF(C19=0,0,+E19/C19)</f>
        <v>-0.5588399330730619</v>
      </c>
    </row>
    <row r="20" spans="1:6" ht="15.75" customHeight="1">
      <c r="A20" s="293"/>
      <c r="B20" s="135"/>
      <c r="C20" s="300"/>
      <c r="D20" s="300"/>
      <c r="E20" s="300"/>
      <c r="F20" s="309"/>
    </row>
    <row r="21" spans="1:6" ht="15.75" customHeight="1">
      <c r="A21" s="293" t="s">
        <v>357</v>
      </c>
      <c r="B21" s="291" t="s">
        <v>804</v>
      </c>
      <c r="C21" s="296"/>
      <c r="D21" s="296"/>
      <c r="E21" s="296"/>
      <c r="F21" s="316"/>
    </row>
    <row r="22" spans="1:6" ht="15.75" customHeight="1">
      <c r="A22" s="294">
        <v>1</v>
      </c>
      <c r="B22" s="295" t="s">
        <v>805</v>
      </c>
      <c r="C22" s="296">
        <v>33101</v>
      </c>
      <c r="D22" s="296">
        <v>35461</v>
      </c>
      <c r="E22" s="296">
        <f>+D22-C22</f>
        <v>2360</v>
      </c>
      <c r="F22" s="316">
        <f>IF(C22=0,0,+E22/C22)</f>
        <v>0.07129693966949639</v>
      </c>
    </row>
    <row r="23" spans="1:6" ht="15.75" customHeight="1">
      <c r="A23" s="294"/>
      <c r="B23" s="135" t="s">
        <v>806</v>
      </c>
      <c r="C23" s="300">
        <f>SUM(C21:C22)</f>
        <v>33101</v>
      </c>
      <c r="D23" s="300">
        <f>SUM(D21:D22)</f>
        <v>35461</v>
      </c>
      <c r="E23" s="300">
        <f>+D23-C23</f>
        <v>2360</v>
      </c>
      <c r="F23" s="309">
        <f>IF(C23=0,0,+E23/C23)</f>
        <v>0.07129693966949639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807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808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809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FILING&amp;RGREENWICH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E16" sqref="E16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216</v>
      </c>
      <c r="B1" s="705"/>
      <c r="C1" s="705"/>
      <c r="D1" s="705"/>
      <c r="E1" s="705"/>
      <c r="F1" s="705"/>
    </row>
    <row r="2" spans="1:6" ht="15.75" customHeight="1">
      <c r="A2" s="706" t="s">
        <v>810</v>
      </c>
      <c r="B2" s="707"/>
      <c r="C2" s="707"/>
      <c r="D2" s="707"/>
      <c r="E2" s="707"/>
      <c r="F2" s="708"/>
    </row>
    <row r="3" spans="1:6" ht="15.75" customHeight="1">
      <c r="A3" s="706" t="s">
        <v>811</v>
      </c>
      <c r="B3" s="707"/>
      <c r="C3" s="707"/>
      <c r="D3" s="707"/>
      <c r="E3" s="707"/>
      <c r="F3" s="708"/>
    </row>
    <row r="4" spans="1:6" ht="15.75" customHeight="1">
      <c r="A4" s="702" t="s">
        <v>812</v>
      </c>
      <c r="B4" s="703"/>
      <c r="C4" s="703"/>
      <c r="D4" s="703"/>
      <c r="E4" s="703"/>
      <c r="F4" s="704"/>
    </row>
    <row r="5" spans="1:6" ht="15.75" customHeight="1">
      <c r="A5" s="702" t="s">
        <v>813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814</v>
      </c>
      <c r="D7" s="341" t="s">
        <v>814</v>
      </c>
      <c r="E7" s="341" t="s">
        <v>815</v>
      </c>
      <c r="F7" s="341" t="s">
        <v>223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224</v>
      </c>
      <c r="B8" s="343" t="s">
        <v>225</v>
      </c>
      <c r="C8" s="344" t="s">
        <v>816</v>
      </c>
      <c r="D8" s="344" t="s">
        <v>817</v>
      </c>
      <c r="E8" s="344" t="s">
        <v>227</v>
      </c>
      <c r="F8" s="344" t="s">
        <v>227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228</v>
      </c>
      <c r="B10" s="349" t="s">
        <v>818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230</v>
      </c>
      <c r="B12" s="356" t="s">
        <v>819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820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821</v>
      </c>
      <c r="C15" s="361">
        <v>174529086</v>
      </c>
      <c r="D15" s="361">
        <v>191475529</v>
      </c>
      <c r="E15" s="361">
        <f aca="true" t="shared" si="0" ref="E15:E24">D15-C15</f>
        <v>16946443</v>
      </c>
      <c r="F15" s="362">
        <f aca="true" t="shared" si="1" ref="F15:F24">IF(C15=0,0,E15/C15)</f>
        <v>0.0970981020321163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822</v>
      </c>
      <c r="C16" s="361">
        <v>48854525</v>
      </c>
      <c r="D16" s="361">
        <v>51163674</v>
      </c>
      <c r="E16" s="361">
        <f t="shared" si="0"/>
        <v>2309149</v>
      </c>
      <c r="F16" s="362">
        <f t="shared" si="1"/>
        <v>0.047265816216614534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823</v>
      </c>
      <c r="C17" s="366">
        <f>IF(C15=0,0,C16/C15)</f>
        <v>0.27992196670301706</v>
      </c>
      <c r="D17" s="366">
        <f>IF(LN_IA1=0,0,LN_IA2/LN_IA1)</f>
        <v>0.26720737771143593</v>
      </c>
      <c r="E17" s="367">
        <f t="shared" si="0"/>
        <v>-0.012714588991581122</v>
      </c>
      <c r="F17" s="362">
        <f t="shared" si="1"/>
        <v>-0.045421905044953664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353</v>
      </c>
      <c r="C18" s="369">
        <v>4740</v>
      </c>
      <c r="D18" s="369">
        <v>5054</v>
      </c>
      <c r="E18" s="369">
        <f t="shared" si="0"/>
        <v>314</v>
      </c>
      <c r="F18" s="362">
        <f t="shared" si="1"/>
        <v>0.06624472573839663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824</v>
      </c>
      <c r="C19" s="372">
        <v>1.457</v>
      </c>
      <c r="D19" s="372">
        <v>1.4065</v>
      </c>
      <c r="E19" s="373">
        <f t="shared" si="0"/>
        <v>-0.05049999999999999</v>
      </c>
      <c r="F19" s="362">
        <f t="shared" si="1"/>
        <v>-0.03466026080988331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825</v>
      </c>
      <c r="C20" s="376">
        <f>C18*C19</f>
        <v>6906.18</v>
      </c>
      <c r="D20" s="376">
        <f>LN_IA4*LN_IA5</f>
        <v>7108.451</v>
      </c>
      <c r="E20" s="376">
        <f t="shared" si="0"/>
        <v>202.27099999999973</v>
      </c>
      <c r="F20" s="362">
        <f t="shared" si="1"/>
        <v>0.029288405457141245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826</v>
      </c>
      <c r="C21" s="378">
        <f>IF(C20=0,0,C16/C20)</f>
        <v>7074.030071617015</v>
      </c>
      <c r="D21" s="378">
        <f>IF(LN_IA6=0,0,LN_IA2/LN_IA6)</f>
        <v>7197.584115020277</v>
      </c>
      <c r="E21" s="378">
        <f t="shared" si="0"/>
        <v>123.55404340326186</v>
      </c>
      <c r="F21" s="362">
        <f t="shared" si="1"/>
        <v>0.01746586346854747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355</v>
      </c>
      <c r="C22" s="369">
        <v>24431</v>
      </c>
      <c r="D22" s="369">
        <v>24189</v>
      </c>
      <c r="E22" s="369">
        <f t="shared" si="0"/>
        <v>-242</v>
      </c>
      <c r="F22" s="362">
        <f t="shared" si="1"/>
        <v>-0.00990544799639802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827</v>
      </c>
      <c r="C23" s="378">
        <f>IF(C22=0,0,C16/C22)</f>
        <v>1999.6940362654004</v>
      </c>
      <c r="D23" s="378">
        <f>IF(LN_IA8=0,0,LN_IA2/LN_IA8)</f>
        <v>2115.1628426144116</v>
      </c>
      <c r="E23" s="378">
        <f t="shared" si="0"/>
        <v>115.46880634901117</v>
      </c>
      <c r="F23" s="362">
        <f t="shared" si="1"/>
        <v>0.05774323684270172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828</v>
      </c>
      <c r="C24" s="379">
        <f>IF(C18=0,0,C22/C18)</f>
        <v>5.1542194092827005</v>
      </c>
      <c r="D24" s="379">
        <f>IF(LN_IA4=0,0,LN_IA8/LN_IA4)</f>
        <v>4.786110011871784</v>
      </c>
      <c r="E24" s="379">
        <f t="shared" si="0"/>
        <v>-0.3681093974109162</v>
      </c>
      <c r="F24" s="362">
        <f t="shared" si="1"/>
        <v>-0.07141903907853722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829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830</v>
      </c>
      <c r="C27" s="361">
        <v>123552114</v>
      </c>
      <c r="D27" s="361">
        <v>124687082</v>
      </c>
      <c r="E27" s="361">
        <f aca="true" t="shared" si="2" ref="E27:E32">D27-C27</f>
        <v>1134968</v>
      </c>
      <c r="F27" s="362">
        <f aca="true" t="shared" si="3" ref="F27:F32">IF(C27=0,0,E27/C27)</f>
        <v>0.009186147960204064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831</v>
      </c>
      <c r="C28" s="361">
        <v>25263241</v>
      </c>
      <c r="D28" s="361">
        <v>23926080</v>
      </c>
      <c r="E28" s="361">
        <f t="shared" si="2"/>
        <v>-1337161</v>
      </c>
      <c r="F28" s="362">
        <f t="shared" si="3"/>
        <v>-0.05292911546859724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832</v>
      </c>
      <c r="C29" s="366">
        <f>IF(C27=0,0,C28/C27)</f>
        <v>0.20447437265217494</v>
      </c>
      <c r="D29" s="366">
        <f>IF(LN_IA11=0,0,LN_IA12/LN_IA11)</f>
        <v>0.19188900418729823</v>
      </c>
      <c r="E29" s="367">
        <f t="shared" si="2"/>
        <v>-0.012585368464876706</v>
      </c>
      <c r="F29" s="362">
        <f t="shared" si="3"/>
        <v>-0.061549857332416365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833</v>
      </c>
      <c r="C30" s="366">
        <f>IF(C15=0,0,C27/C15)</f>
        <v>0.7079170402576909</v>
      </c>
      <c r="D30" s="366">
        <f>IF(LN_IA1=0,0,LN_IA11/LN_IA1)</f>
        <v>0.6511906907957935</v>
      </c>
      <c r="E30" s="367">
        <f t="shared" si="2"/>
        <v>-0.05672634946189736</v>
      </c>
      <c r="F30" s="362">
        <f t="shared" si="3"/>
        <v>-0.08013135189011447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834</v>
      </c>
      <c r="C31" s="376">
        <f>C30*C18</f>
        <v>3355.5267708214546</v>
      </c>
      <c r="D31" s="376">
        <f>LN_IA14*LN_IA4</f>
        <v>3291.1177512819404</v>
      </c>
      <c r="E31" s="376">
        <f t="shared" si="2"/>
        <v>-64.40901953951425</v>
      </c>
      <c r="F31" s="362">
        <f t="shared" si="3"/>
        <v>-0.019194905580725407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835</v>
      </c>
      <c r="C32" s="378">
        <f>IF(C31=0,0,C28/C31)</f>
        <v>7528.84501464293</v>
      </c>
      <c r="D32" s="378">
        <f>IF(LN_IA15=0,0,LN_IA12/LN_IA15)</f>
        <v>7269.894852799001</v>
      </c>
      <c r="E32" s="378">
        <f t="shared" si="2"/>
        <v>-258.9501618439299</v>
      </c>
      <c r="F32" s="362">
        <f t="shared" si="3"/>
        <v>-0.03439440728827529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836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837</v>
      </c>
      <c r="C35" s="361">
        <f>C15+C27</f>
        <v>298081200</v>
      </c>
      <c r="D35" s="361">
        <f>LN_IA1+LN_IA11</f>
        <v>316162611</v>
      </c>
      <c r="E35" s="361">
        <f>D35-C35</f>
        <v>18081411</v>
      </c>
      <c r="F35" s="362">
        <f>IF(C35=0,0,E35/C35)</f>
        <v>0.060659347184592656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838</v>
      </c>
      <c r="C36" s="361">
        <f>C16+C28</f>
        <v>74117766</v>
      </c>
      <c r="D36" s="361">
        <f>LN_IA2+LN_IA12</f>
        <v>75089754</v>
      </c>
      <c r="E36" s="361">
        <f>D36-C36</f>
        <v>971988</v>
      </c>
      <c r="F36" s="362">
        <f>IF(C36=0,0,E36/C36)</f>
        <v>0.013114102764511278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839</v>
      </c>
      <c r="C37" s="361">
        <f>C35-C36</f>
        <v>223963434</v>
      </c>
      <c r="D37" s="361">
        <f>LN_IA17-LN_IA18</f>
        <v>241072857</v>
      </c>
      <c r="E37" s="361">
        <f>D37-C37</f>
        <v>17109423</v>
      </c>
      <c r="F37" s="362">
        <f>IF(C37=0,0,E37/C37)</f>
        <v>0.07639382328813552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242</v>
      </c>
      <c r="B39" s="356" t="s">
        <v>840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841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821</v>
      </c>
      <c r="C42" s="361">
        <v>146958068</v>
      </c>
      <c r="D42" s="361">
        <v>157553804</v>
      </c>
      <c r="E42" s="361">
        <f aca="true" t="shared" si="4" ref="E42:E53">D42-C42</f>
        <v>10595736</v>
      </c>
      <c r="F42" s="362">
        <f aca="true" t="shared" si="5" ref="F42:F53">IF(C42=0,0,E42/C42)</f>
        <v>0.07210040349741124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822</v>
      </c>
      <c r="C43" s="361">
        <v>58072974</v>
      </c>
      <c r="D43" s="361">
        <v>61548564</v>
      </c>
      <c r="E43" s="361">
        <f t="shared" si="4"/>
        <v>3475590</v>
      </c>
      <c r="F43" s="362">
        <f t="shared" si="5"/>
        <v>0.0598486655772098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823</v>
      </c>
      <c r="C44" s="366">
        <f>IF(C42=0,0,C43/C42)</f>
        <v>0.39516696694733355</v>
      </c>
      <c r="D44" s="366">
        <f>IF(LN_IB1=0,0,LN_IB2/LN_IB1)</f>
        <v>0.39065108196308607</v>
      </c>
      <c r="E44" s="367">
        <f t="shared" si="4"/>
        <v>-0.004515884984247487</v>
      </c>
      <c r="F44" s="362">
        <f t="shared" si="5"/>
        <v>-0.011427789673647869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353</v>
      </c>
      <c r="C45" s="369">
        <v>7567</v>
      </c>
      <c r="D45" s="369">
        <v>7298</v>
      </c>
      <c r="E45" s="369">
        <f t="shared" si="4"/>
        <v>-269</v>
      </c>
      <c r="F45" s="362">
        <f t="shared" si="5"/>
        <v>-0.035549094753535085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824</v>
      </c>
      <c r="C46" s="372">
        <v>0.8566</v>
      </c>
      <c r="D46" s="372">
        <v>0.8455</v>
      </c>
      <c r="E46" s="373">
        <f t="shared" si="4"/>
        <v>-0.011099999999999999</v>
      </c>
      <c r="F46" s="362">
        <f t="shared" si="5"/>
        <v>-0.012958206864347418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825</v>
      </c>
      <c r="C47" s="376">
        <f>C45*C46</f>
        <v>6481.8922</v>
      </c>
      <c r="D47" s="376">
        <f>LN_IB4*LN_IB5</f>
        <v>6170.459</v>
      </c>
      <c r="E47" s="376">
        <f t="shared" si="4"/>
        <v>-311.4332000000004</v>
      </c>
      <c r="F47" s="362">
        <f t="shared" si="5"/>
        <v>-0.04804664909422597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826</v>
      </c>
      <c r="C48" s="378">
        <f>IF(C47=0,0,C43/C47)</f>
        <v>8959.262543736842</v>
      </c>
      <c r="D48" s="378">
        <f>IF(LN_IB6=0,0,LN_IB2/LN_IB6)</f>
        <v>9974.71403667053</v>
      </c>
      <c r="E48" s="378">
        <f t="shared" si="4"/>
        <v>1015.4514929336874</v>
      </c>
      <c r="F48" s="362">
        <f t="shared" si="5"/>
        <v>0.11334096840856168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842</v>
      </c>
      <c r="C49" s="378">
        <f>C21-C48</f>
        <v>-1885.2324721198274</v>
      </c>
      <c r="D49" s="378">
        <f>LN_IA7-LN_IB7</f>
        <v>-2777.129921650253</v>
      </c>
      <c r="E49" s="378">
        <f t="shared" si="4"/>
        <v>-891.8974495304255</v>
      </c>
      <c r="F49" s="362">
        <f t="shared" si="5"/>
        <v>0.47309679984853115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843</v>
      </c>
      <c r="C50" s="391">
        <f>C49*C47</f>
        <v>-12219873.656220227</v>
      </c>
      <c r="D50" s="391">
        <f>LN_IB8*LN_IB6</f>
        <v>-17136166.3192161</v>
      </c>
      <c r="E50" s="391">
        <f t="shared" si="4"/>
        <v>-4916292.662995871</v>
      </c>
      <c r="F50" s="362">
        <f t="shared" si="5"/>
        <v>0.4023194348243816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355</v>
      </c>
      <c r="C51" s="369">
        <v>24927</v>
      </c>
      <c r="D51" s="369">
        <v>23847</v>
      </c>
      <c r="E51" s="369">
        <f t="shared" si="4"/>
        <v>-1080</v>
      </c>
      <c r="F51" s="362">
        <f t="shared" si="5"/>
        <v>-0.04332651341918402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827</v>
      </c>
      <c r="C52" s="378">
        <f>IF(C51=0,0,C43/C51)</f>
        <v>2329.721747502708</v>
      </c>
      <c r="D52" s="378">
        <f>IF(LN_IB10=0,0,LN_IB2/LN_IB10)</f>
        <v>2580.9772298402313</v>
      </c>
      <c r="E52" s="378">
        <f t="shared" si="4"/>
        <v>251.25548233752352</v>
      </c>
      <c r="F52" s="362">
        <f t="shared" si="5"/>
        <v>0.10784785033098958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828</v>
      </c>
      <c r="C53" s="379">
        <f>IF(C45=0,0,C51/C45)</f>
        <v>3.294172062904718</v>
      </c>
      <c r="D53" s="379">
        <f>IF(LN_IB4=0,0,LN_IB10/LN_IB4)</f>
        <v>3.2676075637160866</v>
      </c>
      <c r="E53" s="379">
        <f t="shared" si="4"/>
        <v>-0.026564499188631352</v>
      </c>
      <c r="F53" s="362">
        <f t="shared" si="5"/>
        <v>-0.008064089756503929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844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830</v>
      </c>
      <c r="C56" s="361">
        <v>302422266</v>
      </c>
      <c r="D56" s="361">
        <v>324242786</v>
      </c>
      <c r="E56" s="361">
        <f aca="true" t="shared" si="6" ref="E56:E63">D56-C56</f>
        <v>21820520</v>
      </c>
      <c r="F56" s="362">
        <f aca="true" t="shared" si="7" ref="F56:F63">IF(C56=0,0,E56/C56)</f>
        <v>0.07215249157613282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831</v>
      </c>
      <c r="C57" s="361">
        <v>118496595</v>
      </c>
      <c r="D57" s="361">
        <v>122241013</v>
      </c>
      <c r="E57" s="361">
        <f t="shared" si="6"/>
        <v>3744418</v>
      </c>
      <c r="F57" s="362">
        <f t="shared" si="7"/>
        <v>0.03159937211697939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832</v>
      </c>
      <c r="C58" s="366">
        <f>IF(C56=0,0,C57/C56)</f>
        <v>0.3918249689988104</v>
      </c>
      <c r="D58" s="366">
        <f>IF(LN_IB13=0,0,LN_IB14/LN_IB13)</f>
        <v>0.3770045727401318</v>
      </c>
      <c r="E58" s="367">
        <f t="shared" si="6"/>
        <v>-0.014820396258678592</v>
      </c>
      <c r="F58" s="362">
        <f t="shared" si="7"/>
        <v>-0.0378240220283756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833</v>
      </c>
      <c r="C59" s="366">
        <f>IF(C42=0,0,C56/C42)</f>
        <v>2.0578813406828402</v>
      </c>
      <c r="D59" s="366">
        <f>IF(LN_IB1=0,0,LN_IB13/LN_IB1)</f>
        <v>2.057981323002522</v>
      </c>
      <c r="E59" s="367">
        <f t="shared" si="6"/>
        <v>9.998231968166849E-05</v>
      </c>
      <c r="F59" s="362">
        <f t="shared" si="7"/>
        <v>4.858507519607163E-05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834</v>
      </c>
      <c r="C60" s="376">
        <f>C59*C45</f>
        <v>15571.988104947051</v>
      </c>
      <c r="D60" s="376">
        <f>LN_IB16*LN_IB4</f>
        <v>15019.147695272404</v>
      </c>
      <c r="E60" s="376">
        <f t="shared" si="6"/>
        <v>-552.8404096746472</v>
      </c>
      <c r="F60" s="362">
        <f t="shared" si="7"/>
        <v>-0.035502236833780766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835</v>
      </c>
      <c r="C61" s="378">
        <f>IF(C60=0,0,C57/C60)</f>
        <v>7609.599635023797</v>
      </c>
      <c r="D61" s="378">
        <f>IF(LN_IB17=0,0,LN_IB14/LN_IB17)</f>
        <v>8139.011312770961</v>
      </c>
      <c r="E61" s="378">
        <f t="shared" si="6"/>
        <v>529.4116777471636</v>
      </c>
      <c r="F61" s="362">
        <f t="shared" si="7"/>
        <v>0.06957155476491872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845</v>
      </c>
      <c r="C62" s="378">
        <f>C32-C61</f>
        <v>-80.75462038086698</v>
      </c>
      <c r="D62" s="378">
        <f>LN_IA16-LN_IB18</f>
        <v>-869.1164599719605</v>
      </c>
      <c r="E62" s="378">
        <f t="shared" si="6"/>
        <v>-788.3618395910935</v>
      </c>
      <c r="F62" s="362">
        <f t="shared" si="7"/>
        <v>9.762436327146407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846</v>
      </c>
      <c r="C63" s="361">
        <f>C62*C60</f>
        <v>-1257509.9879903754</v>
      </c>
      <c r="D63" s="361">
        <f>LN_IB19*LN_IB17</f>
        <v>-13053388.47671118</v>
      </c>
      <c r="E63" s="361">
        <f t="shared" si="6"/>
        <v>-11795878.488720804</v>
      </c>
      <c r="F63" s="362">
        <f t="shared" si="7"/>
        <v>9.380345763751569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847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837</v>
      </c>
      <c r="C66" s="361">
        <f>C42+C56</f>
        <v>449380334</v>
      </c>
      <c r="D66" s="361">
        <f>LN_IB1+LN_IB13</f>
        <v>481796590</v>
      </c>
      <c r="E66" s="361">
        <f>D66-C66</f>
        <v>32416256</v>
      </c>
      <c r="F66" s="362">
        <f>IF(C66=0,0,E66/C66)</f>
        <v>0.07213545753428542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838</v>
      </c>
      <c r="C67" s="361">
        <f>C43+C57</f>
        <v>176569569</v>
      </c>
      <c r="D67" s="361">
        <f>LN_IB2+LN_IB14</f>
        <v>183789577</v>
      </c>
      <c r="E67" s="361">
        <f>D67-C67</f>
        <v>7220008</v>
      </c>
      <c r="F67" s="362">
        <f>IF(C67=0,0,E67/C67)</f>
        <v>0.040890443584873905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839</v>
      </c>
      <c r="C68" s="361">
        <f>C66-C67</f>
        <v>272810765</v>
      </c>
      <c r="D68" s="361">
        <f>LN_IB21-LN_IB22</f>
        <v>298007013</v>
      </c>
      <c r="E68" s="361">
        <f>D68-C68</f>
        <v>25196248</v>
      </c>
      <c r="F68" s="362">
        <f>IF(C68=0,0,E68/C68)</f>
        <v>0.09235796835216528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848</v>
      </c>
      <c r="C70" s="353">
        <f>C50+C63</f>
        <v>-13477383.644210603</v>
      </c>
      <c r="D70" s="353">
        <f>LN_IB9+LN_IB20</f>
        <v>-30189554.79592728</v>
      </c>
      <c r="E70" s="361">
        <f>D70-C70</f>
        <v>-16712171.151716676</v>
      </c>
      <c r="F70" s="362">
        <f>IF(C70=0,0,E70/C70)</f>
        <v>1.2400159847713188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849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850</v>
      </c>
      <c r="C73" s="400">
        <v>402395862</v>
      </c>
      <c r="D73" s="400">
        <v>430930871</v>
      </c>
      <c r="E73" s="400">
        <f>D73-C73</f>
        <v>28535009</v>
      </c>
      <c r="F73" s="401">
        <f>IF(C73=0,0,E73/C73)</f>
        <v>0.07091277941620583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851</v>
      </c>
      <c r="C74" s="400">
        <v>169413219</v>
      </c>
      <c r="D74" s="400">
        <v>175546118</v>
      </c>
      <c r="E74" s="400">
        <f>D74-C74</f>
        <v>6132899</v>
      </c>
      <c r="F74" s="401">
        <f>IF(C74=0,0,E74/C74)</f>
        <v>0.03620082916906266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852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853</v>
      </c>
      <c r="C76" s="353">
        <f>C73-C74</f>
        <v>232982643</v>
      </c>
      <c r="D76" s="353">
        <f>LN_IB32-LN_IB33</f>
        <v>255384753</v>
      </c>
      <c r="E76" s="400">
        <f>D76-C76</f>
        <v>22402110</v>
      </c>
      <c r="F76" s="401">
        <f>IF(C76=0,0,E76/C76)</f>
        <v>0.09615355767081757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854</v>
      </c>
      <c r="C77" s="366">
        <f>IF(C73=0,0,C76/C73)</f>
        <v>0.5789886651468598</v>
      </c>
      <c r="D77" s="366">
        <f>IF(LN_IB1=0,0,LN_IB34/LN_IB32)</f>
        <v>0.5926350841548319</v>
      </c>
      <c r="E77" s="405">
        <f>D77-C77</f>
        <v>0.013646419007972144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252</v>
      </c>
      <c r="B79" s="356" t="s">
        <v>855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856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821</v>
      </c>
      <c r="C83" s="361">
        <v>9747769</v>
      </c>
      <c r="D83" s="361">
        <v>8103855</v>
      </c>
      <c r="E83" s="361">
        <f aca="true" t="shared" si="8" ref="E83:E95">D83-C83</f>
        <v>-1643914</v>
      </c>
      <c r="F83" s="362">
        <f aca="true" t="shared" si="9" ref="F83:F95">IF(C83=0,0,E83/C83)</f>
        <v>-0.1686451535730894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822</v>
      </c>
      <c r="C84" s="361">
        <v>1360302</v>
      </c>
      <c r="D84" s="361">
        <v>1073055</v>
      </c>
      <c r="E84" s="361">
        <f t="shared" si="8"/>
        <v>-287247</v>
      </c>
      <c r="F84" s="362">
        <f t="shared" si="9"/>
        <v>-0.21116413855158633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823</v>
      </c>
      <c r="C85" s="366">
        <f>IF(C83=0,0,C84/C83)</f>
        <v>0.13955008576834352</v>
      </c>
      <c r="D85" s="366">
        <f>IF(LN_IC1=0,0,LN_IC2/LN_IC1)</f>
        <v>0.13241290719046675</v>
      </c>
      <c r="E85" s="367">
        <f t="shared" si="8"/>
        <v>-0.007137178577876768</v>
      </c>
      <c r="F85" s="362">
        <f t="shared" si="9"/>
        <v>-0.05114420774864055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353</v>
      </c>
      <c r="C86" s="369">
        <v>448</v>
      </c>
      <c r="D86" s="369">
        <v>296</v>
      </c>
      <c r="E86" s="369">
        <f t="shared" si="8"/>
        <v>-152</v>
      </c>
      <c r="F86" s="362">
        <f t="shared" si="9"/>
        <v>-0.3392857142857143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824</v>
      </c>
      <c r="C87" s="372">
        <v>0.911</v>
      </c>
      <c r="D87" s="372">
        <v>0.9178</v>
      </c>
      <c r="E87" s="373">
        <f t="shared" si="8"/>
        <v>0.006799999999999917</v>
      </c>
      <c r="F87" s="362">
        <f t="shared" si="9"/>
        <v>0.007464324917672796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825</v>
      </c>
      <c r="C88" s="376">
        <f>C86*C87</f>
        <v>408.12800000000004</v>
      </c>
      <c r="D88" s="376">
        <f>LN_IC4*LN_IC5</f>
        <v>271.6688</v>
      </c>
      <c r="E88" s="376">
        <f t="shared" si="8"/>
        <v>-136.45920000000007</v>
      </c>
      <c r="F88" s="362">
        <f t="shared" si="9"/>
        <v>-0.33435392817939485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826</v>
      </c>
      <c r="C89" s="378">
        <f>IF(C88=0,0,C84/C88)</f>
        <v>3333.0278736082796</v>
      </c>
      <c r="D89" s="378">
        <f>IF(LN_IC6=0,0,LN_IC2/LN_IC6)</f>
        <v>3949.864688179136</v>
      </c>
      <c r="E89" s="378">
        <f t="shared" si="8"/>
        <v>616.8368145708564</v>
      </c>
      <c r="F89" s="362">
        <f t="shared" si="9"/>
        <v>0.1850680036177073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857</v>
      </c>
      <c r="C90" s="378">
        <f>C48-C89</f>
        <v>5626.234670128562</v>
      </c>
      <c r="D90" s="378">
        <f>LN_IB7-LN_IC7</f>
        <v>6024.849348491394</v>
      </c>
      <c r="E90" s="378">
        <f t="shared" si="8"/>
        <v>398.6146783628319</v>
      </c>
      <c r="F90" s="362">
        <f t="shared" si="9"/>
        <v>0.07084928051067649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858</v>
      </c>
      <c r="C91" s="378">
        <f>C21-C89</f>
        <v>3741.0021980087354</v>
      </c>
      <c r="D91" s="378">
        <f>LN_IA7-LN_IC7</f>
        <v>3247.719426841141</v>
      </c>
      <c r="E91" s="378">
        <f t="shared" si="8"/>
        <v>-493.28277116759455</v>
      </c>
      <c r="F91" s="362">
        <f t="shared" si="9"/>
        <v>-0.13185845531717666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843</v>
      </c>
      <c r="C92" s="353">
        <f>C91*C88</f>
        <v>1526807.7450689094</v>
      </c>
      <c r="D92" s="353">
        <f>LN_IC9*LN_IC6</f>
        <v>882304.0394266205</v>
      </c>
      <c r="E92" s="353">
        <f t="shared" si="8"/>
        <v>-644503.7056422889</v>
      </c>
      <c r="F92" s="362">
        <f t="shared" si="9"/>
        <v>-0.42212499099760625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355</v>
      </c>
      <c r="C93" s="369">
        <v>1495</v>
      </c>
      <c r="D93" s="369">
        <v>1000</v>
      </c>
      <c r="E93" s="369">
        <f t="shared" si="8"/>
        <v>-495</v>
      </c>
      <c r="F93" s="362">
        <f t="shared" si="9"/>
        <v>-0.3311036789297659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827</v>
      </c>
      <c r="C94" s="411">
        <f>IF(C93=0,0,C84/C93)</f>
        <v>909.9010033444816</v>
      </c>
      <c r="D94" s="411">
        <f>IF(LN_IC11=0,0,LN_IC2/LN_IC11)</f>
        <v>1073.055</v>
      </c>
      <c r="E94" s="411">
        <f t="shared" si="8"/>
        <v>163.15399665551843</v>
      </c>
      <c r="F94" s="362">
        <f t="shared" si="9"/>
        <v>0.17930961286537844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828</v>
      </c>
      <c r="C95" s="379">
        <f>IF(C86=0,0,C93/C86)</f>
        <v>3.3370535714285716</v>
      </c>
      <c r="D95" s="379">
        <f>IF(LN_IC4=0,0,LN_IC11/LN_IC4)</f>
        <v>3.3783783783783785</v>
      </c>
      <c r="E95" s="379">
        <f t="shared" si="8"/>
        <v>0.04132480694980689</v>
      </c>
      <c r="F95" s="362">
        <f t="shared" si="9"/>
        <v>0.012383621079273235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859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830</v>
      </c>
      <c r="C98" s="361">
        <v>23234227</v>
      </c>
      <c r="D98" s="361">
        <v>25299716</v>
      </c>
      <c r="E98" s="361">
        <f aca="true" t="shared" si="10" ref="E98:E106">D98-C98</f>
        <v>2065489</v>
      </c>
      <c r="F98" s="362">
        <f aca="true" t="shared" si="11" ref="F98:F106">IF(C98=0,0,E98/C98)</f>
        <v>0.08889854609753102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831</v>
      </c>
      <c r="C99" s="361">
        <v>3245647</v>
      </c>
      <c r="D99" s="361">
        <v>3350009</v>
      </c>
      <c r="E99" s="361">
        <f t="shared" si="10"/>
        <v>104362</v>
      </c>
      <c r="F99" s="362">
        <f t="shared" si="11"/>
        <v>0.03215445179343287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832</v>
      </c>
      <c r="C100" s="366">
        <f>IF(C98=0,0,C99/C98)</f>
        <v>0.139692489016312</v>
      </c>
      <c r="D100" s="366">
        <f>IF(LN_IC14=0,0,LN_IC15/LN_IC14)</f>
        <v>0.1324129092990609</v>
      </c>
      <c r="E100" s="367">
        <f t="shared" si="10"/>
        <v>-0.0072795797172511</v>
      </c>
      <c r="F100" s="362">
        <f t="shared" si="11"/>
        <v>-0.05211146117098005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833</v>
      </c>
      <c r="C101" s="366">
        <f>IF(C83=0,0,C98/C83)</f>
        <v>2.383543044567429</v>
      </c>
      <c r="D101" s="366">
        <f>IF(LN_IC1=0,0,LN_IC14/LN_IC1)</f>
        <v>3.1219359181525337</v>
      </c>
      <c r="E101" s="367">
        <f t="shared" si="10"/>
        <v>0.7383928735851049</v>
      </c>
      <c r="F101" s="362">
        <f t="shared" si="11"/>
        <v>0.3097879332483841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834</v>
      </c>
      <c r="C102" s="376">
        <f>C101*C86</f>
        <v>1067.8272839662081</v>
      </c>
      <c r="D102" s="376">
        <f>LN_IC17*LN_IC4</f>
        <v>924.09303177315</v>
      </c>
      <c r="E102" s="376">
        <f t="shared" si="10"/>
        <v>-143.73425219305818</v>
      </c>
      <c r="F102" s="362">
        <f t="shared" si="11"/>
        <v>-0.1346044012466034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835</v>
      </c>
      <c r="C103" s="378">
        <f>IF(C102=0,0,C99/C102)</f>
        <v>3039.486861531354</v>
      </c>
      <c r="D103" s="378">
        <f>IF(LN_IC18=0,0,LN_IC15/LN_IC18)</f>
        <v>3625.185868539666</v>
      </c>
      <c r="E103" s="378">
        <f t="shared" si="10"/>
        <v>585.699007008312</v>
      </c>
      <c r="F103" s="362">
        <f t="shared" si="11"/>
        <v>0.19269667338296215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860</v>
      </c>
      <c r="C104" s="378">
        <f>C61-C103</f>
        <v>4570.112773492443</v>
      </c>
      <c r="D104" s="378">
        <f>LN_IB18-LN_IC19</f>
        <v>4513.8254442312955</v>
      </c>
      <c r="E104" s="378">
        <f t="shared" si="10"/>
        <v>-56.28732926114753</v>
      </c>
      <c r="F104" s="362">
        <f t="shared" si="11"/>
        <v>-0.012316398314637916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861</v>
      </c>
      <c r="C105" s="378">
        <f>C32-C103</f>
        <v>4489.358153111576</v>
      </c>
      <c r="D105" s="378">
        <f>LN_IA16-LN_IC19</f>
        <v>3644.7089842593346</v>
      </c>
      <c r="E105" s="378">
        <f t="shared" si="10"/>
        <v>-844.6491688522415</v>
      </c>
      <c r="F105" s="362">
        <f t="shared" si="11"/>
        <v>-0.18814475032846617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846</v>
      </c>
      <c r="C106" s="361">
        <f>C105*C102</f>
        <v>4793859.123388686</v>
      </c>
      <c r="D106" s="361">
        <f>LN_IC21*LN_IC18</f>
        <v>3368050.1751950462</v>
      </c>
      <c r="E106" s="361">
        <f t="shared" si="10"/>
        <v>-1425808.94819364</v>
      </c>
      <c r="F106" s="362">
        <f t="shared" si="11"/>
        <v>-0.29742404010941464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862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837</v>
      </c>
      <c r="C109" s="361">
        <f>C83+C98</f>
        <v>32981996</v>
      </c>
      <c r="D109" s="361">
        <f>LN_IC1+LN_IC14</f>
        <v>33403571</v>
      </c>
      <c r="E109" s="361">
        <f>D109-C109</f>
        <v>421575</v>
      </c>
      <c r="F109" s="362">
        <f>IF(C109=0,0,E109/C109)</f>
        <v>0.012781973534894613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838</v>
      </c>
      <c r="C110" s="361">
        <f>C84+C99</f>
        <v>4605949</v>
      </c>
      <c r="D110" s="361">
        <f>LN_IC2+LN_IC15</f>
        <v>4423064</v>
      </c>
      <c r="E110" s="361">
        <f>D110-C110</f>
        <v>-182885</v>
      </c>
      <c r="F110" s="362">
        <f>IF(C110=0,0,E110/C110)</f>
        <v>-0.03970625814571546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839</v>
      </c>
      <c r="C111" s="361">
        <f>C109-C110</f>
        <v>28376047</v>
      </c>
      <c r="D111" s="361">
        <f>LN_IC23-LN_IC24</f>
        <v>28980507</v>
      </c>
      <c r="E111" s="361">
        <f>D111-C111</f>
        <v>604460</v>
      </c>
      <c r="F111" s="362">
        <f>IF(C111=0,0,E111/C111)</f>
        <v>0.02130176905895314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848</v>
      </c>
      <c r="C113" s="361">
        <f>C92+C106</f>
        <v>6320666.868457596</v>
      </c>
      <c r="D113" s="361">
        <f>LN_IC10+LN_IC22</f>
        <v>4250354.214621667</v>
      </c>
      <c r="E113" s="361">
        <f>D113-C113</f>
        <v>-2070312.653835929</v>
      </c>
      <c r="F113" s="362">
        <f>IF(C113=0,0,E113/C113)</f>
        <v>-0.3275465543307677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537</v>
      </c>
      <c r="B115" s="356" t="s">
        <v>863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864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821</v>
      </c>
      <c r="C118" s="361">
        <v>3611108</v>
      </c>
      <c r="D118" s="361">
        <v>5974353</v>
      </c>
      <c r="E118" s="361">
        <f aca="true" t="shared" si="12" ref="E118:E130">D118-C118</f>
        <v>2363245</v>
      </c>
      <c r="F118" s="362">
        <f aca="true" t="shared" si="13" ref="F118:F130">IF(C118=0,0,E118/C118)</f>
        <v>0.6544376407462751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822</v>
      </c>
      <c r="C119" s="361">
        <v>1493693</v>
      </c>
      <c r="D119" s="361">
        <v>2076453</v>
      </c>
      <c r="E119" s="361">
        <f t="shared" si="12"/>
        <v>582760</v>
      </c>
      <c r="F119" s="362">
        <f t="shared" si="13"/>
        <v>0.3901471051949765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823</v>
      </c>
      <c r="C120" s="366">
        <f>IF(C118=0,0,C119/C118)</f>
        <v>0.41363841790386774</v>
      </c>
      <c r="D120" s="366">
        <f>IF(LN_ID1=0,0,LN_1D2/LN_ID1)</f>
        <v>0.34756115013625744</v>
      </c>
      <c r="E120" s="367">
        <f t="shared" si="12"/>
        <v>-0.0660772677676103</v>
      </c>
      <c r="F120" s="362">
        <f t="shared" si="13"/>
        <v>-0.159746447398334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353</v>
      </c>
      <c r="C121" s="369">
        <v>161</v>
      </c>
      <c r="D121" s="369">
        <v>327</v>
      </c>
      <c r="E121" s="369">
        <f t="shared" si="12"/>
        <v>166</v>
      </c>
      <c r="F121" s="362">
        <f t="shared" si="13"/>
        <v>1.031055900621118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824</v>
      </c>
      <c r="C122" s="372">
        <v>1.1619</v>
      </c>
      <c r="D122" s="372">
        <v>1.1254</v>
      </c>
      <c r="E122" s="373">
        <f t="shared" si="12"/>
        <v>-0.03649999999999998</v>
      </c>
      <c r="F122" s="362">
        <f t="shared" si="13"/>
        <v>-0.03141406317239003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825</v>
      </c>
      <c r="C123" s="376">
        <f>C121*C122</f>
        <v>187.0659</v>
      </c>
      <c r="D123" s="376">
        <f>LN_ID4*LN_ID5</f>
        <v>368.00579999999997</v>
      </c>
      <c r="E123" s="376">
        <f t="shared" si="12"/>
        <v>180.93989999999997</v>
      </c>
      <c r="F123" s="362">
        <f t="shared" si="13"/>
        <v>0.9672521822523504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826</v>
      </c>
      <c r="C124" s="378">
        <f>IF(C123=0,0,C119/C123)</f>
        <v>7984.849189510221</v>
      </c>
      <c r="D124" s="378">
        <f>IF(LN_ID6=0,0,LN_1D2/LN_ID6)</f>
        <v>5642.446396225278</v>
      </c>
      <c r="E124" s="378">
        <f t="shared" si="12"/>
        <v>-2342.402793284943</v>
      </c>
      <c r="F124" s="362">
        <f t="shared" si="13"/>
        <v>-0.2933559216575038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865</v>
      </c>
      <c r="C125" s="378">
        <f>C48-C124</f>
        <v>974.4133542266218</v>
      </c>
      <c r="D125" s="378">
        <f>LN_IB7-LN_ID7</f>
        <v>4332.267640445252</v>
      </c>
      <c r="E125" s="378">
        <f t="shared" si="12"/>
        <v>3357.8542862186305</v>
      </c>
      <c r="F125" s="362">
        <f t="shared" si="13"/>
        <v>3.446026546797188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866</v>
      </c>
      <c r="C126" s="378">
        <f>C21-C124</f>
        <v>-910.8191178932057</v>
      </c>
      <c r="D126" s="378">
        <f>LN_IA7-LN_ID7</f>
        <v>1555.1377187949993</v>
      </c>
      <c r="E126" s="378">
        <f t="shared" si="12"/>
        <v>2465.956836688205</v>
      </c>
      <c r="F126" s="362">
        <f t="shared" si="13"/>
        <v>-2.7074056618312445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843</v>
      </c>
      <c r="C127" s="391">
        <f>C126*C123</f>
        <v>-170383.19802589863</v>
      </c>
      <c r="D127" s="391">
        <f>LN_ID9*LN_ID6</f>
        <v>572299.7003153287</v>
      </c>
      <c r="E127" s="391">
        <f t="shared" si="12"/>
        <v>742682.8983412273</v>
      </c>
      <c r="F127" s="362">
        <f t="shared" si="13"/>
        <v>-4.358897514227535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355</v>
      </c>
      <c r="C128" s="369">
        <v>808</v>
      </c>
      <c r="D128" s="369">
        <v>1099</v>
      </c>
      <c r="E128" s="369">
        <f t="shared" si="12"/>
        <v>291</v>
      </c>
      <c r="F128" s="362">
        <f t="shared" si="13"/>
        <v>0.36014851485148514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827</v>
      </c>
      <c r="C129" s="378">
        <f>IF(C128=0,0,C119/C128)</f>
        <v>1848.6299504950496</v>
      </c>
      <c r="D129" s="378">
        <f>IF(LN_ID11=0,0,LN_1D2/LN_ID11)</f>
        <v>1889.4021838034578</v>
      </c>
      <c r="E129" s="378">
        <f t="shared" si="12"/>
        <v>40.772233308408204</v>
      </c>
      <c r="F129" s="362">
        <f t="shared" si="13"/>
        <v>0.02205537852369518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828</v>
      </c>
      <c r="C130" s="379">
        <f>IF(C121=0,0,C128/C121)</f>
        <v>5.0186335403726705</v>
      </c>
      <c r="D130" s="379">
        <f>IF(LN_ID4=0,0,LN_ID11/LN_ID4)</f>
        <v>3.36085626911315</v>
      </c>
      <c r="E130" s="379">
        <f t="shared" si="12"/>
        <v>-1.6577772712595205</v>
      </c>
      <c r="F130" s="362">
        <f t="shared" si="13"/>
        <v>-0.3303244315257213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867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830</v>
      </c>
      <c r="C133" s="361">
        <v>8005734</v>
      </c>
      <c r="D133" s="361">
        <v>11023229</v>
      </c>
      <c r="E133" s="361">
        <f aca="true" t="shared" si="14" ref="E133:E141">D133-C133</f>
        <v>3017495</v>
      </c>
      <c r="F133" s="362">
        <f aca="true" t="shared" si="15" ref="F133:F141">IF(C133=0,0,E133/C133)</f>
        <v>0.3769167199409823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831</v>
      </c>
      <c r="C134" s="361">
        <v>1618599</v>
      </c>
      <c r="D134" s="361">
        <v>2419393</v>
      </c>
      <c r="E134" s="361">
        <f t="shared" si="14"/>
        <v>800794</v>
      </c>
      <c r="F134" s="362">
        <f t="shared" si="15"/>
        <v>0.4947451468831996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832</v>
      </c>
      <c r="C135" s="366">
        <f>IF(C133=0,0,C134/C133)</f>
        <v>0.20217996251186962</v>
      </c>
      <c r="D135" s="366">
        <f>IF(LN_ID14=0,0,LN_ID15/LN_ID14)</f>
        <v>0.21948133346408752</v>
      </c>
      <c r="E135" s="367">
        <f t="shared" si="14"/>
        <v>0.017301370952217898</v>
      </c>
      <c r="F135" s="362">
        <f t="shared" si="15"/>
        <v>0.08557411296978634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833</v>
      </c>
      <c r="C136" s="366">
        <f>IF(C118=0,0,C133/C118)</f>
        <v>2.216974402316408</v>
      </c>
      <c r="D136" s="366">
        <f>IF(LN_ID1=0,0,LN_ID14/LN_ID1)</f>
        <v>1.8450916777097035</v>
      </c>
      <c r="E136" s="367">
        <f t="shared" si="14"/>
        <v>-0.3718827246067047</v>
      </c>
      <c r="F136" s="362">
        <f t="shared" si="15"/>
        <v>-0.16774335518630373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834</v>
      </c>
      <c r="C137" s="376">
        <f>C136*C121</f>
        <v>356.9328787729417</v>
      </c>
      <c r="D137" s="376">
        <f>LN_ID17*LN_ID4</f>
        <v>603.3449786110731</v>
      </c>
      <c r="E137" s="376">
        <f t="shared" si="14"/>
        <v>246.41209983813138</v>
      </c>
      <c r="F137" s="362">
        <f t="shared" si="15"/>
        <v>0.690359769279992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835</v>
      </c>
      <c r="C138" s="378">
        <f>IF(C137=0,0,C134/C137)</f>
        <v>4534.743354449146</v>
      </c>
      <c r="D138" s="378">
        <f>IF(LN_ID18=0,0,LN_ID15/LN_ID18)</f>
        <v>4009.966247783399</v>
      </c>
      <c r="E138" s="378">
        <f t="shared" si="14"/>
        <v>-524.7771066657469</v>
      </c>
      <c r="F138" s="362">
        <f t="shared" si="15"/>
        <v>-0.11572366188063885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868</v>
      </c>
      <c r="C139" s="378">
        <f>C61-C138</f>
        <v>3074.8562805746515</v>
      </c>
      <c r="D139" s="378">
        <f>LN_IB18-LN_ID19</f>
        <v>4129.045064987562</v>
      </c>
      <c r="E139" s="378">
        <f t="shared" si="14"/>
        <v>1054.1887844129105</v>
      </c>
      <c r="F139" s="362">
        <f t="shared" si="15"/>
        <v>0.3428416446884783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869</v>
      </c>
      <c r="C140" s="378">
        <f>C32-C138</f>
        <v>2994.1016601937845</v>
      </c>
      <c r="D140" s="378">
        <f>LN_IA16-LN_ID19</f>
        <v>3259.9286050156015</v>
      </c>
      <c r="E140" s="378">
        <f t="shared" si="14"/>
        <v>265.82694482181705</v>
      </c>
      <c r="F140" s="362">
        <f t="shared" si="15"/>
        <v>0.08878354010351545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846</v>
      </c>
      <c r="C141" s="353">
        <f>C140*C137</f>
        <v>1068693.3249118116</v>
      </c>
      <c r="D141" s="353">
        <f>LN_ID21*LN_ID18</f>
        <v>1966861.5544667635</v>
      </c>
      <c r="E141" s="353">
        <f t="shared" si="14"/>
        <v>898168.2295549519</v>
      </c>
      <c r="F141" s="362">
        <f t="shared" si="15"/>
        <v>0.8404358936452313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870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837</v>
      </c>
      <c r="C144" s="361">
        <f>C118+C133</f>
        <v>11616842</v>
      </c>
      <c r="D144" s="361">
        <f>LN_ID1+LN_ID14</f>
        <v>16997582</v>
      </c>
      <c r="E144" s="361">
        <f>D144-C144</f>
        <v>5380740</v>
      </c>
      <c r="F144" s="362">
        <f>IF(C144=0,0,E144/C144)</f>
        <v>0.46318440071751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838</v>
      </c>
      <c r="C145" s="361">
        <f>C119+C134</f>
        <v>3112292</v>
      </c>
      <c r="D145" s="361">
        <f>LN_1D2+LN_ID15</f>
        <v>4495846</v>
      </c>
      <c r="E145" s="361">
        <f>D145-C145</f>
        <v>1383554</v>
      </c>
      <c r="F145" s="362">
        <f>IF(C145=0,0,E145/C145)</f>
        <v>0.4445450491149288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839</v>
      </c>
      <c r="C146" s="361">
        <f>C144-C145</f>
        <v>8504550</v>
      </c>
      <c r="D146" s="361">
        <f>LN_ID23-LN_ID24</f>
        <v>12501736</v>
      </c>
      <c r="E146" s="361">
        <f>D146-C146</f>
        <v>3997186</v>
      </c>
      <c r="F146" s="362">
        <f>IF(C146=0,0,E146/C146)</f>
        <v>0.47000558524554503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848</v>
      </c>
      <c r="C148" s="361">
        <f>C127+C141</f>
        <v>898310.126885913</v>
      </c>
      <c r="D148" s="361">
        <f>LN_ID10+LN_ID22</f>
        <v>2539161.2547820923</v>
      </c>
      <c r="E148" s="361">
        <f>D148-C148</f>
        <v>1640851.1278961794</v>
      </c>
      <c r="F148" s="415">
        <f>IF(C148=0,0,E148/C148)</f>
        <v>1.8265976067578837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558</v>
      </c>
      <c r="B150" s="356" t="s">
        <v>871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872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821</v>
      </c>
      <c r="C153" s="361">
        <v>8877292</v>
      </c>
      <c r="D153" s="361">
        <v>7264530</v>
      </c>
      <c r="E153" s="361">
        <f aca="true" t="shared" si="16" ref="E153:E165">D153-C153</f>
        <v>-1612762</v>
      </c>
      <c r="F153" s="362">
        <f aca="true" t="shared" si="17" ref="F153:F165">IF(C153=0,0,E153/C153)</f>
        <v>-0.18167274434591088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822</v>
      </c>
      <c r="C154" s="361">
        <v>2597241</v>
      </c>
      <c r="D154" s="361">
        <v>1654604</v>
      </c>
      <c r="E154" s="361">
        <f t="shared" si="16"/>
        <v>-942637</v>
      </c>
      <c r="F154" s="362">
        <f t="shared" si="17"/>
        <v>-0.36293782517679335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823</v>
      </c>
      <c r="C155" s="366">
        <f>IF(C153=0,0,C154/C153)</f>
        <v>0.2925713156669849</v>
      </c>
      <c r="D155" s="366">
        <f>IF(LN_IE1=0,0,LN_IE2/LN_IE1)</f>
        <v>0.22776476936567128</v>
      </c>
      <c r="E155" s="367">
        <f t="shared" si="16"/>
        <v>-0.06480654630131363</v>
      </c>
      <c r="F155" s="362">
        <f t="shared" si="17"/>
        <v>-0.22150683553366096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353</v>
      </c>
      <c r="C156" s="419">
        <v>261</v>
      </c>
      <c r="D156" s="419">
        <v>246</v>
      </c>
      <c r="E156" s="419">
        <f t="shared" si="16"/>
        <v>-15</v>
      </c>
      <c r="F156" s="362">
        <f t="shared" si="17"/>
        <v>-0.05747126436781609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824</v>
      </c>
      <c r="C157" s="372">
        <v>1.1486</v>
      </c>
      <c r="D157" s="372">
        <v>0.9676</v>
      </c>
      <c r="E157" s="373">
        <f t="shared" si="16"/>
        <v>-0.18100000000000005</v>
      </c>
      <c r="F157" s="362">
        <f t="shared" si="17"/>
        <v>-0.1575831446978931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825</v>
      </c>
      <c r="C158" s="376">
        <f>C156*C157</f>
        <v>299.7846</v>
      </c>
      <c r="D158" s="376">
        <f>LN_IE4*LN_IE5</f>
        <v>238.02960000000002</v>
      </c>
      <c r="E158" s="376">
        <f t="shared" si="16"/>
        <v>-61.754999999999995</v>
      </c>
      <c r="F158" s="362">
        <f t="shared" si="17"/>
        <v>-0.20599790649686472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826</v>
      </c>
      <c r="C159" s="378">
        <f>IF(C158=0,0,C154/C158)</f>
        <v>8663.690529800397</v>
      </c>
      <c r="D159" s="378">
        <f>IF(LN_IE6=0,0,LN_IE2/LN_IE6)</f>
        <v>6951.253121460524</v>
      </c>
      <c r="E159" s="378">
        <f t="shared" si="16"/>
        <v>-1712.4374083398725</v>
      </c>
      <c r="F159" s="362">
        <f t="shared" si="17"/>
        <v>-0.19765680715967648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873</v>
      </c>
      <c r="C160" s="378">
        <f>C48-C159</f>
        <v>295.5720139364457</v>
      </c>
      <c r="D160" s="378">
        <f>LN_IB7-LN_IE7</f>
        <v>3023.4609152100056</v>
      </c>
      <c r="E160" s="378">
        <f t="shared" si="16"/>
        <v>2727.88890127356</v>
      </c>
      <c r="F160" s="362">
        <f t="shared" si="17"/>
        <v>9.229185351290106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874</v>
      </c>
      <c r="C161" s="378">
        <f>C21-C159</f>
        <v>-1589.6604581833817</v>
      </c>
      <c r="D161" s="378">
        <f>LN_IA7-LN_IE7</f>
        <v>246.33099355975264</v>
      </c>
      <c r="E161" s="378">
        <f t="shared" si="16"/>
        <v>1835.9914517431343</v>
      </c>
      <c r="F161" s="362">
        <f t="shared" si="17"/>
        <v>-1.1549582442537778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843</v>
      </c>
      <c r="C162" s="391">
        <f>C161*C158</f>
        <v>-476555.72459232184</v>
      </c>
      <c r="D162" s="391">
        <f>LN_IE9*LN_IE6</f>
        <v>58634.0678646305</v>
      </c>
      <c r="E162" s="391">
        <f t="shared" si="16"/>
        <v>535189.7924569524</v>
      </c>
      <c r="F162" s="362">
        <f t="shared" si="17"/>
        <v>-1.1230371703430697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355</v>
      </c>
      <c r="C163" s="369">
        <v>1529</v>
      </c>
      <c r="D163" s="369">
        <v>987</v>
      </c>
      <c r="E163" s="419">
        <f t="shared" si="16"/>
        <v>-542</v>
      </c>
      <c r="F163" s="362">
        <f t="shared" si="17"/>
        <v>-0.3544800523217789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827</v>
      </c>
      <c r="C164" s="378">
        <f>IF(C163=0,0,C154/C163)</f>
        <v>1698.6533682145193</v>
      </c>
      <c r="D164" s="378">
        <f>IF(LN_IE11=0,0,LN_IE2/LN_IE11)</f>
        <v>1676.3971631205675</v>
      </c>
      <c r="E164" s="378">
        <f t="shared" si="16"/>
        <v>-22.25620509395185</v>
      </c>
      <c r="F164" s="362">
        <f t="shared" si="17"/>
        <v>-0.01310226412899395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828</v>
      </c>
      <c r="C165" s="379">
        <f>IF(C156=0,0,C163/C156)</f>
        <v>5.85823754789272</v>
      </c>
      <c r="D165" s="379">
        <f>IF(LN_IE4=0,0,LN_IE11/LN_IE4)</f>
        <v>4.012195121951219</v>
      </c>
      <c r="E165" s="379">
        <f t="shared" si="16"/>
        <v>-1.8460424259415014</v>
      </c>
      <c r="F165" s="362">
        <f t="shared" si="17"/>
        <v>-0.3151190799023753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875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830</v>
      </c>
      <c r="C168" s="424">
        <v>4815264</v>
      </c>
      <c r="D168" s="424">
        <v>7015929</v>
      </c>
      <c r="E168" s="424">
        <f aca="true" t="shared" si="18" ref="E168:E176">D168-C168</f>
        <v>2200665</v>
      </c>
      <c r="F168" s="362">
        <f aca="true" t="shared" si="19" ref="F168:F176">IF(C168=0,0,E168/C168)</f>
        <v>0.45701855599194563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831</v>
      </c>
      <c r="C169" s="424">
        <v>49064</v>
      </c>
      <c r="D169" s="424">
        <v>670539</v>
      </c>
      <c r="E169" s="424">
        <f t="shared" si="18"/>
        <v>621475</v>
      </c>
      <c r="F169" s="362">
        <f t="shared" si="19"/>
        <v>12.666619109734224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832</v>
      </c>
      <c r="C170" s="366">
        <f>IF(C168=0,0,C169/C168)</f>
        <v>0.010189264804588077</v>
      </c>
      <c r="D170" s="366">
        <f>IF(LN_IE14=0,0,LN_IE15/LN_IE14)</f>
        <v>0.09557380070408353</v>
      </c>
      <c r="E170" s="367">
        <f t="shared" si="18"/>
        <v>0.08538453589949545</v>
      </c>
      <c r="F170" s="362">
        <f t="shared" si="19"/>
        <v>8.379852475818279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833</v>
      </c>
      <c r="C171" s="366">
        <f>IF(C153=0,0,C168/C153)</f>
        <v>0.5424248746126634</v>
      </c>
      <c r="D171" s="366">
        <f>IF(LN_IE1=0,0,LN_IE14/LN_IE1)</f>
        <v>0.9657787909197154</v>
      </c>
      <c r="E171" s="367">
        <f t="shared" si="18"/>
        <v>0.423353916307052</v>
      </c>
      <c r="F171" s="362">
        <f t="shared" si="19"/>
        <v>0.7804839639947596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834</v>
      </c>
      <c r="C172" s="376">
        <f>C171*C156</f>
        <v>141.57289227390515</v>
      </c>
      <c r="D172" s="376">
        <f>LN_IE17*LN_IE4</f>
        <v>237.58158256624998</v>
      </c>
      <c r="E172" s="376">
        <f t="shared" si="18"/>
        <v>96.00869029234482</v>
      </c>
      <c r="F172" s="362">
        <f t="shared" si="19"/>
        <v>0.6781572993973595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835</v>
      </c>
      <c r="C173" s="378">
        <f>IF(C172=0,0,C169/C172)</f>
        <v>346.56352082625017</v>
      </c>
      <c r="D173" s="378">
        <f>IF(LN_IE18=0,0,LN_IE15/LN_IE18)</f>
        <v>2822.352611499333</v>
      </c>
      <c r="E173" s="378">
        <f t="shared" si="18"/>
        <v>2475.7890906730827</v>
      </c>
      <c r="F173" s="362">
        <f t="shared" si="19"/>
        <v>7.14382484564589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876</v>
      </c>
      <c r="C174" s="378">
        <f>C61-C173</f>
        <v>7263.036114197547</v>
      </c>
      <c r="D174" s="378">
        <f>LN_IB18-LN_IE19</f>
        <v>5316.658701271628</v>
      </c>
      <c r="E174" s="378">
        <f t="shared" si="18"/>
        <v>-1946.377412925919</v>
      </c>
      <c r="F174" s="362">
        <f t="shared" si="19"/>
        <v>-0.26798399213810925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877</v>
      </c>
      <c r="C175" s="378">
        <f>C32-C173</f>
        <v>7182.28149381668</v>
      </c>
      <c r="D175" s="378">
        <f>LN_IA16-LN_IE19</f>
        <v>4447.542241299668</v>
      </c>
      <c r="E175" s="378">
        <f t="shared" si="18"/>
        <v>-2734.7392525170126</v>
      </c>
      <c r="F175" s="362">
        <f t="shared" si="19"/>
        <v>-0.380761914563135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846</v>
      </c>
      <c r="C176" s="353">
        <f>C175*C172</f>
        <v>1016816.3642049715</v>
      </c>
      <c r="D176" s="353">
        <f>LN_IE21*LN_IE18</f>
        <v>1056654.1242182215</v>
      </c>
      <c r="E176" s="353">
        <f t="shared" si="18"/>
        <v>39837.76001325005</v>
      </c>
      <c r="F176" s="362">
        <f t="shared" si="19"/>
        <v>0.03917891314072075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878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837</v>
      </c>
      <c r="C179" s="361">
        <f>C153+C168</f>
        <v>13692556</v>
      </c>
      <c r="D179" s="361">
        <f>LN_IE1+LN_IE14</f>
        <v>14280459</v>
      </c>
      <c r="E179" s="361">
        <f>D179-C179</f>
        <v>587903</v>
      </c>
      <c r="F179" s="362">
        <f>IF(C179=0,0,E179/C179)</f>
        <v>0.0429359573187066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838</v>
      </c>
      <c r="C180" s="361">
        <f>C154+C169</f>
        <v>2646305</v>
      </c>
      <c r="D180" s="361">
        <f>LN_IE15+LN_IE2</f>
        <v>2325143</v>
      </c>
      <c r="E180" s="361">
        <f>D180-C180</f>
        <v>-321162</v>
      </c>
      <c r="F180" s="362">
        <f>IF(C180=0,0,E180/C180)</f>
        <v>-0.12136242798921515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839</v>
      </c>
      <c r="C181" s="361">
        <f>C179-C180</f>
        <v>11046251</v>
      </c>
      <c r="D181" s="361">
        <f>LN_IE23-LN_IE24</f>
        <v>11955316</v>
      </c>
      <c r="E181" s="361">
        <f>D181-C181</f>
        <v>909065</v>
      </c>
      <c r="F181" s="362">
        <f>IF(C181=0,0,E181/C181)</f>
        <v>0.08229624693481978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879</v>
      </c>
      <c r="C183" s="361">
        <f>C162+C176</f>
        <v>540260.6396126496</v>
      </c>
      <c r="D183" s="361">
        <f>LN_IE10+LN_IE22</f>
        <v>1115288.1920828521</v>
      </c>
      <c r="E183" s="353">
        <f>D183-C183</f>
        <v>575027.5524702026</v>
      </c>
      <c r="F183" s="362">
        <f>IF(C183=0,0,E183/C183)</f>
        <v>1.0643521113854968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570</v>
      </c>
      <c r="B185" s="356" t="s">
        <v>880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881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821</v>
      </c>
      <c r="C188" s="361">
        <f>C118+C153</f>
        <v>12488400</v>
      </c>
      <c r="D188" s="361">
        <f>LN_ID1+LN_IE1</f>
        <v>13238883</v>
      </c>
      <c r="E188" s="361">
        <f aca="true" t="shared" si="20" ref="E188:E200">D188-C188</f>
        <v>750483</v>
      </c>
      <c r="F188" s="362">
        <f aca="true" t="shared" si="21" ref="F188:F200">IF(C188=0,0,E188/C188)</f>
        <v>0.06009440761026232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822</v>
      </c>
      <c r="C189" s="361">
        <f>C119+C154</f>
        <v>4090934</v>
      </c>
      <c r="D189" s="361">
        <f>LN_1D2+LN_IE2</f>
        <v>3731057</v>
      </c>
      <c r="E189" s="361">
        <f t="shared" si="20"/>
        <v>-359877</v>
      </c>
      <c r="F189" s="362">
        <f t="shared" si="21"/>
        <v>-0.08796939769744513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823</v>
      </c>
      <c r="C190" s="366">
        <f>IF(C188=0,0,C189/C188)</f>
        <v>0.3275787130457064</v>
      </c>
      <c r="D190" s="366">
        <f>IF(LN_IF1=0,0,LN_IF2/LN_IF1)</f>
        <v>0.28182566459723224</v>
      </c>
      <c r="E190" s="367">
        <f t="shared" si="20"/>
        <v>-0.045753048448474165</v>
      </c>
      <c r="F190" s="362">
        <f t="shared" si="21"/>
        <v>-0.13967039562210604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353</v>
      </c>
      <c r="C191" s="369">
        <f>C121+C156</f>
        <v>422</v>
      </c>
      <c r="D191" s="369">
        <f>LN_ID4+LN_IE4</f>
        <v>573</v>
      </c>
      <c r="E191" s="369">
        <f t="shared" si="20"/>
        <v>151</v>
      </c>
      <c r="F191" s="362">
        <f t="shared" si="21"/>
        <v>0.3578199052132701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824</v>
      </c>
      <c r="C192" s="372">
        <f>IF((C121+C156)=0,0,(C123+C158)/(C121+C156))</f>
        <v>1.1536741706161138</v>
      </c>
      <c r="D192" s="372">
        <f>IF((LN_ID4+LN_IE4)=0,0,(LN_ID6+LN_IE6)/(LN_ID4+LN_IE4))</f>
        <v>1.0576534031413611</v>
      </c>
      <c r="E192" s="373">
        <f t="shared" si="20"/>
        <v>-0.09602076747475263</v>
      </c>
      <c r="F192" s="362">
        <f t="shared" si="21"/>
        <v>-0.08323040414736271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825</v>
      </c>
      <c r="C193" s="376">
        <f>C123+C158</f>
        <v>486.8505</v>
      </c>
      <c r="D193" s="376">
        <f>LN_IF4*LN_IF5</f>
        <v>606.0354</v>
      </c>
      <c r="E193" s="376">
        <f t="shared" si="20"/>
        <v>119.18489999999997</v>
      </c>
      <c r="F193" s="362">
        <f t="shared" si="21"/>
        <v>0.24480800574303604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826</v>
      </c>
      <c r="C194" s="378">
        <f>IF(C193=0,0,C189/C193)</f>
        <v>8402.854675100467</v>
      </c>
      <c r="D194" s="378">
        <f>IF(LN_IF6=0,0,LN_IF2/LN_IF6)</f>
        <v>6156.500098839111</v>
      </c>
      <c r="E194" s="378">
        <f t="shared" si="20"/>
        <v>-2246.3545762613558</v>
      </c>
      <c r="F194" s="362">
        <f t="shared" si="21"/>
        <v>-0.26733231301950344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882</v>
      </c>
      <c r="C195" s="378">
        <f>C48-C194</f>
        <v>556.4078686363755</v>
      </c>
      <c r="D195" s="378">
        <f>LN_IB7-LN_IF7</f>
        <v>3818.2139378314187</v>
      </c>
      <c r="E195" s="378">
        <f t="shared" si="20"/>
        <v>3261.806069195043</v>
      </c>
      <c r="F195" s="362">
        <f t="shared" si="21"/>
        <v>5.86225726316373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883</v>
      </c>
      <c r="C196" s="378">
        <f>C21-C194</f>
        <v>-1328.824603483452</v>
      </c>
      <c r="D196" s="378">
        <f>LN_IA7-LN_IF7</f>
        <v>1041.0840161811657</v>
      </c>
      <c r="E196" s="378">
        <f t="shared" si="20"/>
        <v>2369.9086196646176</v>
      </c>
      <c r="F196" s="362">
        <f t="shared" si="21"/>
        <v>-1.7834623271212862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843</v>
      </c>
      <c r="C197" s="391">
        <f>C127+C162</f>
        <v>-646938.9226182204</v>
      </c>
      <c r="D197" s="391">
        <f>LN_IF9*LN_IF6</f>
        <v>630933.7681799592</v>
      </c>
      <c r="E197" s="391">
        <f t="shared" si="20"/>
        <v>1277872.6907981797</v>
      </c>
      <c r="F197" s="362">
        <f t="shared" si="21"/>
        <v>-1.9752601769986464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355</v>
      </c>
      <c r="C198" s="369">
        <f>C128+C163</f>
        <v>2337</v>
      </c>
      <c r="D198" s="369">
        <f>LN_ID11+LN_IE11</f>
        <v>2086</v>
      </c>
      <c r="E198" s="369">
        <f t="shared" si="20"/>
        <v>-251</v>
      </c>
      <c r="F198" s="362">
        <f t="shared" si="21"/>
        <v>-0.10740265297389816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827</v>
      </c>
      <c r="C199" s="432">
        <f>IF(C198=0,0,C189/C198)</f>
        <v>1750.5066324347454</v>
      </c>
      <c r="D199" s="432">
        <f>IF(LN_IF11=0,0,LN_IF2/LN_IF11)</f>
        <v>1788.617929050815</v>
      </c>
      <c r="E199" s="432">
        <f t="shared" si="20"/>
        <v>38.111296616069694</v>
      </c>
      <c r="F199" s="362">
        <f t="shared" si="21"/>
        <v>0.021771580815470228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828</v>
      </c>
      <c r="C200" s="379">
        <f>IF(C191=0,0,C198/C191)</f>
        <v>5.537914691943128</v>
      </c>
      <c r="D200" s="379">
        <f>IF(LN_IF4=0,0,LN_IF11/LN_IF4)</f>
        <v>3.6404886561954624</v>
      </c>
      <c r="E200" s="379">
        <f t="shared" si="20"/>
        <v>-1.897426035747666</v>
      </c>
      <c r="F200" s="362">
        <f t="shared" si="21"/>
        <v>-0.3426246414572165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884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830</v>
      </c>
      <c r="C203" s="361">
        <f>C133+C168</f>
        <v>12820998</v>
      </c>
      <c r="D203" s="361">
        <f>LN_ID14+LN_IE14</f>
        <v>18039158</v>
      </c>
      <c r="E203" s="361">
        <f aca="true" t="shared" si="22" ref="E203:E211">D203-C203</f>
        <v>5218160</v>
      </c>
      <c r="F203" s="362">
        <f aca="true" t="shared" si="23" ref="F203:F211">IF(C203=0,0,E203/C203)</f>
        <v>0.40700107745122494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831</v>
      </c>
      <c r="C204" s="361">
        <f>C134+C169</f>
        <v>1667663</v>
      </c>
      <c r="D204" s="361">
        <f>LN_ID15+LN_IE15</f>
        <v>3089932</v>
      </c>
      <c r="E204" s="361">
        <f t="shared" si="22"/>
        <v>1422269</v>
      </c>
      <c r="F204" s="362">
        <f t="shared" si="23"/>
        <v>0.8528515653342432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832</v>
      </c>
      <c r="C205" s="366">
        <f>IF(C203=0,0,C204/C203)</f>
        <v>0.1300727915252775</v>
      </c>
      <c r="D205" s="366">
        <f>IF(LN_IF14=0,0,LN_IF15/LN_IF14)</f>
        <v>0.1712902564521027</v>
      </c>
      <c r="E205" s="367">
        <f t="shared" si="22"/>
        <v>0.04121746492682518</v>
      </c>
      <c r="F205" s="362">
        <f t="shared" si="23"/>
        <v>0.3168799903768902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833</v>
      </c>
      <c r="C206" s="366">
        <f>IF(C188=0,0,C203/C188)</f>
        <v>1.0266325550110502</v>
      </c>
      <c r="D206" s="366">
        <f>IF(LN_IF1=0,0,LN_IF14/LN_IF1)</f>
        <v>1.3625891247773698</v>
      </c>
      <c r="E206" s="367">
        <f t="shared" si="22"/>
        <v>0.3359565697663196</v>
      </c>
      <c r="F206" s="362">
        <f t="shared" si="23"/>
        <v>0.3272412978981594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834</v>
      </c>
      <c r="C207" s="376">
        <f>C137+C172</f>
        <v>498.50577104684686</v>
      </c>
      <c r="D207" s="376">
        <f>LN_ID18+LN_IE18</f>
        <v>840.926561177323</v>
      </c>
      <c r="E207" s="376">
        <f t="shared" si="22"/>
        <v>342.4207901304762</v>
      </c>
      <c r="F207" s="362">
        <f t="shared" si="23"/>
        <v>0.6868943350673815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835</v>
      </c>
      <c r="C208" s="378">
        <f>IF(C207=0,0,C204/C207)</f>
        <v>3345.3233580384813</v>
      </c>
      <c r="D208" s="378">
        <f>IF(LN_IF18=0,0,LN_IF15/LN_IF18)</f>
        <v>3674.4373916243057</v>
      </c>
      <c r="E208" s="378">
        <f t="shared" si="22"/>
        <v>329.1140335858245</v>
      </c>
      <c r="F208" s="362">
        <f t="shared" si="23"/>
        <v>0.09838033528059283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885</v>
      </c>
      <c r="C209" s="378">
        <f>C61-C208</f>
        <v>4264.276276985316</v>
      </c>
      <c r="D209" s="378">
        <f>LN_IB18-LN_IF19</f>
        <v>4464.573921146655</v>
      </c>
      <c r="E209" s="378">
        <f t="shared" si="22"/>
        <v>200.29764416133912</v>
      </c>
      <c r="F209" s="362">
        <f t="shared" si="23"/>
        <v>0.046971075781924256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886</v>
      </c>
      <c r="C210" s="378">
        <f>C32-C208</f>
        <v>4183.521656604449</v>
      </c>
      <c r="D210" s="378">
        <f>LN_IA16-LN_IF19</f>
        <v>3595.457461174695</v>
      </c>
      <c r="E210" s="378">
        <f t="shared" si="22"/>
        <v>-588.0641954297544</v>
      </c>
      <c r="F210" s="362">
        <f t="shared" si="23"/>
        <v>-0.14056678647793974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846</v>
      </c>
      <c r="C211" s="391">
        <f>C141+C176</f>
        <v>2085509.689116783</v>
      </c>
      <c r="D211" s="353">
        <f>LN_IF21*LN_IF18</f>
        <v>3023515.6786849843</v>
      </c>
      <c r="E211" s="353">
        <f t="shared" si="22"/>
        <v>938005.9895682014</v>
      </c>
      <c r="F211" s="362">
        <f t="shared" si="23"/>
        <v>0.44977301925911867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887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837</v>
      </c>
      <c r="C214" s="361">
        <f>C188+C203</f>
        <v>25309398</v>
      </c>
      <c r="D214" s="361">
        <f>LN_IF1+LN_IF14</f>
        <v>31278041</v>
      </c>
      <c r="E214" s="361">
        <f>D214-C214</f>
        <v>5968643</v>
      </c>
      <c r="F214" s="362">
        <f>IF(C214=0,0,E214/C214)</f>
        <v>0.23582714215486278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838</v>
      </c>
      <c r="C215" s="361">
        <f>C189+C204</f>
        <v>5758597</v>
      </c>
      <c r="D215" s="361">
        <f>LN_IF2+LN_IF15</f>
        <v>6820989</v>
      </c>
      <c r="E215" s="361">
        <f>D215-C215</f>
        <v>1062392</v>
      </c>
      <c r="F215" s="362">
        <f>IF(C215=0,0,E215/C215)</f>
        <v>0.18448799247455586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839</v>
      </c>
      <c r="C216" s="361">
        <f>C214-C215</f>
        <v>19550801</v>
      </c>
      <c r="D216" s="361">
        <f>LN_IF23-LN_IF24</f>
        <v>24457052</v>
      </c>
      <c r="E216" s="361">
        <f>D216-C216</f>
        <v>4906251</v>
      </c>
      <c r="F216" s="362">
        <f>IF(C216=0,0,E216/C216)</f>
        <v>0.2509488485919324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582</v>
      </c>
      <c r="B218" s="356" t="s">
        <v>888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889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821</v>
      </c>
      <c r="C221" s="361">
        <v>114189</v>
      </c>
      <c r="D221" s="361">
        <v>266274</v>
      </c>
      <c r="E221" s="361">
        <f aca="true" t="shared" si="24" ref="E221:E230">D221-C221</f>
        <v>152085</v>
      </c>
      <c r="F221" s="362">
        <f aca="true" t="shared" si="25" ref="F221:F230">IF(C221=0,0,E221/C221)</f>
        <v>1.3318708457031763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822</v>
      </c>
      <c r="C222" s="361">
        <v>73230</v>
      </c>
      <c r="D222" s="361">
        <v>63719</v>
      </c>
      <c r="E222" s="361">
        <f t="shared" si="24"/>
        <v>-9511</v>
      </c>
      <c r="F222" s="362">
        <f t="shared" si="25"/>
        <v>-0.12987846510992762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823</v>
      </c>
      <c r="C223" s="366">
        <f>IF(C221=0,0,C222/C221)</f>
        <v>0.6413052045293329</v>
      </c>
      <c r="D223" s="366">
        <f>IF(LN_IG1=0,0,LN_IG2/LN_IG1)</f>
        <v>0.2392986172138474</v>
      </c>
      <c r="E223" s="367">
        <f t="shared" si="24"/>
        <v>-0.40200658731548555</v>
      </c>
      <c r="F223" s="362">
        <f t="shared" si="25"/>
        <v>-0.6268568919700667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353</v>
      </c>
      <c r="C224" s="369">
        <v>2</v>
      </c>
      <c r="D224" s="369">
        <v>6</v>
      </c>
      <c r="E224" s="369">
        <f t="shared" si="24"/>
        <v>4</v>
      </c>
      <c r="F224" s="362">
        <f t="shared" si="25"/>
        <v>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824</v>
      </c>
      <c r="C225" s="372">
        <v>0.6886</v>
      </c>
      <c r="D225" s="372">
        <v>1.4673</v>
      </c>
      <c r="E225" s="373">
        <f t="shared" si="24"/>
        <v>0.7787000000000001</v>
      </c>
      <c r="F225" s="362">
        <f t="shared" si="25"/>
        <v>1.1308451931455128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825</v>
      </c>
      <c r="C226" s="376">
        <f>C224*C225</f>
        <v>1.3772</v>
      </c>
      <c r="D226" s="376">
        <f>LN_IG3*LN_IG4</f>
        <v>8.8038</v>
      </c>
      <c r="E226" s="376">
        <f t="shared" si="24"/>
        <v>7.4266000000000005</v>
      </c>
      <c r="F226" s="362">
        <f t="shared" si="25"/>
        <v>5.392535579436538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826</v>
      </c>
      <c r="C227" s="378">
        <f>IF(C226=0,0,C222/C226)</f>
        <v>53173.10485042114</v>
      </c>
      <c r="D227" s="378">
        <f>IF(LN_IG5=0,0,LN_IG2/LN_IG5)</f>
        <v>7237.670097003566</v>
      </c>
      <c r="E227" s="378">
        <f t="shared" si="24"/>
        <v>-45935.434753417576</v>
      </c>
      <c r="F227" s="362">
        <f t="shared" si="25"/>
        <v>-0.8638847568265285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355</v>
      </c>
      <c r="C228" s="369">
        <v>5</v>
      </c>
      <c r="D228" s="369">
        <v>27</v>
      </c>
      <c r="E228" s="369">
        <f t="shared" si="24"/>
        <v>22</v>
      </c>
      <c r="F228" s="362">
        <f t="shared" si="25"/>
        <v>4.4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827</v>
      </c>
      <c r="C229" s="378">
        <f>IF(C228=0,0,C222/C228)</f>
        <v>14646</v>
      </c>
      <c r="D229" s="378">
        <f>IF(LN_IG6=0,0,LN_IG2/LN_IG6)</f>
        <v>2359.962962962963</v>
      </c>
      <c r="E229" s="378">
        <f t="shared" si="24"/>
        <v>-12286.037037037036</v>
      </c>
      <c r="F229" s="362">
        <f t="shared" si="25"/>
        <v>-0.8388663824277643</v>
      </c>
      <c r="Q229" s="330"/>
      <c r="U229" s="375"/>
    </row>
    <row r="230" spans="1:21" ht="11.25" customHeight="1">
      <c r="A230" s="364">
        <v>10</v>
      </c>
      <c r="B230" s="360" t="s">
        <v>828</v>
      </c>
      <c r="C230" s="379">
        <f>IF(C224=0,0,C228/C224)</f>
        <v>2.5</v>
      </c>
      <c r="D230" s="379">
        <f>IF(LN_IG3=0,0,LN_IG6/LN_IG3)</f>
        <v>4.5</v>
      </c>
      <c r="E230" s="379">
        <f t="shared" si="24"/>
        <v>2</v>
      </c>
      <c r="F230" s="362">
        <f t="shared" si="25"/>
        <v>0.8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890</v>
      </c>
      <c r="C232" s="330"/>
      <c r="Q232" s="330"/>
      <c r="U232" s="399"/>
    </row>
    <row r="233" spans="1:21" ht="11.25" customHeight="1">
      <c r="A233" s="364">
        <v>11</v>
      </c>
      <c r="B233" s="360" t="s">
        <v>830</v>
      </c>
      <c r="C233" s="361">
        <v>164648</v>
      </c>
      <c r="D233" s="361">
        <v>377926</v>
      </c>
      <c r="E233" s="361">
        <f>D233-C233</f>
        <v>213278</v>
      </c>
      <c r="F233" s="362">
        <f>IF(C233=0,0,E233/C233)</f>
        <v>1.2953573684466255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831</v>
      </c>
      <c r="C234" s="361">
        <v>44816</v>
      </c>
      <c r="D234" s="361">
        <v>162577</v>
      </c>
      <c r="E234" s="361">
        <f>D234-C234</f>
        <v>117761</v>
      </c>
      <c r="F234" s="362">
        <f>IF(C234=0,0,E234/C234)</f>
        <v>2.6276553016779722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891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837</v>
      </c>
      <c r="C237" s="361">
        <f>C221+C233</f>
        <v>278837</v>
      </c>
      <c r="D237" s="361">
        <f>LN_IG1+LN_IG9</f>
        <v>644200</v>
      </c>
      <c r="E237" s="361">
        <f>D237-C237</f>
        <v>365363</v>
      </c>
      <c r="F237" s="362">
        <f>IF(C237=0,0,E237/C237)</f>
        <v>1.3103103246699686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838</v>
      </c>
      <c r="C238" s="361">
        <f>C222+C234</f>
        <v>118046</v>
      </c>
      <c r="D238" s="361">
        <f>LN_IG2+LN_IG10</f>
        <v>226296</v>
      </c>
      <c r="E238" s="361">
        <f>D238-C238</f>
        <v>108250</v>
      </c>
      <c r="F238" s="362">
        <f>IF(C238=0,0,E238/C238)</f>
        <v>0.9170154007759687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839</v>
      </c>
      <c r="C239" s="361">
        <f>C237-C238</f>
        <v>160791</v>
      </c>
      <c r="D239" s="361">
        <f>LN_IG13-LN_IG14</f>
        <v>417904</v>
      </c>
      <c r="E239" s="361">
        <f>D239-C239</f>
        <v>257113</v>
      </c>
      <c r="F239" s="362">
        <f>IF(C239=0,0,E239/C239)</f>
        <v>1.5990509419059524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586</v>
      </c>
      <c r="B241" s="356" t="s">
        <v>892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893</v>
      </c>
      <c r="C243" s="361">
        <v>22699355</v>
      </c>
      <c r="D243" s="361">
        <v>24947559</v>
      </c>
      <c r="E243" s="353">
        <f>D243-C243</f>
        <v>2248204</v>
      </c>
      <c r="F243" s="415">
        <f>IF(C243=0,0,E243/C243)</f>
        <v>0.09904263799566111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894</v>
      </c>
      <c r="C244" s="361">
        <v>268866398</v>
      </c>
      <c r="D244" s="361">
        <v>283532000</v>
      </c>
      <c r="E244" s="353">
        <f>D244-C244</f>
        <v>14665602</v>
      </c>
      <c r="F244" s="415">
        <f>IF(C244=0,0,E244/C244)</f>
        <v>0.054546057480935196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895</v>
      </c>
      <c r="C245" s="400">
        <v>1146921</v>
      </c>
      <c r="D245" s="400">
        <v>1086769</v>
      </c>
      <c r="E245" s="400">
        <f>D245-C245</f>
        <v>-60152</v>
      </c>
      <c r="F245" s="401">
        <f>IF(C245=0,0,E245/C245)</f>
        <v>-0.0524465067777118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896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897</v>
      </c>
      <c r="C248" s="353">
        <v>18262127</v>
      </c>
      <c r="D248" s="353">
        <v>21129180</v>
      </c>
      <c r="E248" s="353">
        <f>D248-C248</f>
        <v>2867053</v>
      </c>
      <c r="F248" s="362">
        <f>IF(C248=0,0,E248/C248)</f>
        <v>0.15699447276869774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898</v>
      </c>
      <c r="C249" s="353">
        <v>10117227</v>
      </c>
      <c r="D249" s="353">
        <v>7851327</v>
      </c>
      <c r="E249" s="353">
        <f>D249-C249</f>
        <v>-2265900</v>
      </c>
      <c r="F249" s="362">
        <f>IF(C249=0,0,E249/C249)</f>
        <v>-0.22396453099253383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899</v>
      </c>
      <c r="C250" s="353">
        <f>C248+C249</f>
        <v>28379354</v>
      </c>
      <c r="D250" s="353">
        <f>LN_IH4+LN_IH5</f>
        <v>28980507</v>
      </c>
      <c r="E250" s="353">
        <f>D250-C250</f>
        <v>601153</v>
      </c>
      <c r="F250" s="362">
        <f>IF(C250=0,0,E250/C250)</f>
        <v>0.02118275842360612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900</v>
      </c>
      <c r="C251" s="353">
        <f>C250*C313</f>
        <v>9536773.986331778</v>
      </c>
      <c r="D251" s="353">
        <f>LN_IH6*LN_III10</f>
        <v>9380574.6654931</v>
      </c>
      <c r="E251" s="353">
        <f>D251-C251</f>
        <v>-156199.32083867677</v>
      </c>
      <c r="F251" s="362">
        <f>IF(C251=0,0,E251/C251)</f>
        <v>-0.016378632969864186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901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837</v>
      </c>
      <c r="C254" s="353">
        <f>C188+C203</f>
        <v>25309398</v>
      </c>
      <c r="D254" s="353">
        <f>LN_IF23</f>
        <v>31278041</v>
      </c>
      <c r="E254" s="353">
        <f>D254-C254</f>
        <v>5968643</v>
      </c>
      <c r="F254" s="362">
        <f>IF(C254=0,0,E254/C254)</f>
        <v>0.23582714215486278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838</v>
      </c>
      <c r="C255" s="353">
        <f>C189+C204</f>
        <v>5758597</v>
      </c>
      <c r="D255" s="353">
        <f>LN_IF24</f>
        <v>6820989</v>
      </c>
      <c r="E255" s="353">
        <f>D255-C255</f>
        <v>1062392</v>
      </c>
      <c r="F255" s="362">
        <f>IF(C255=0,0,E255/C255)</f>
        <v>0.18448799247455586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902</v>
      </c>
      <c r="C256" s="353">
        <f>C254*C313</f>
        <v>8505126.94743219</v>
      </c>
      <c r="D256" s="353">
        <f>LN_IH8*LN_III10</f>
        <v>10124253.484966792</v>
      </c>
      <c r="E256" s="353">
        <f>D256-C256</f>
        <v>1619126.537534602</v>
      </c>
      <c r="F256" s="362">
        <f>IF(C256=0,0,E256/C256)</f>
        <v>0.19037064908518944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903</v>
      </c>
      <c r="C257" s="353">
        <f>C256-C255</f>
        <v>2746529.94743219</v>
      </c>
      <c r="D257" s="353">
        <f>LN_IH10-LN_IH9</f>
        <v>3303264.484966792</v>
      </c>
      <c r="E257" s="353">
        <f>D257-C257</f>
        <v>556734.537534602</v>
      </c>
      <c r="F257" s="362">
        <f>IF(C257=0,0,E257/C257)</f>
        <v>0.20270470309457544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260</v>
      </c>
      <c r="B258" s="349" t="s">
        <v>904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230</v>
      </c>
      <c r="B260" s="359" t="s">
        <v>905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906</v>
      </c>
      <c r="C261" s="361">
        <f>C15+C42+C188+C221</f>
        <v>334089743</v>
      </c>
      <c r="D261" s="361">
        <f>LN_IA1+LN_IB1+LN_IF1+LN_IG1</f>
        <v>362534490</v>
      </c>
      <c r="E261" s="361">
        <f aca="true" t="shared" si="26" ref="E261:E274">D261-C261</f>
        <v>28444747</v>
      </c>
      <c r="F261" s="415">
        <f aca="true" t="shared" si="27" ref="F261:F274">IF(C261=0,0,E261/C261)</f>
        <v>0.08514103649090478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907</v>
      </c>
      <c r="C262" s="361">
        <f>C16+C43+C189+C222</f>
        <v>111091663</v>
      </c>
      <c r="D262" s="361">
        <f>+LN_IA2+LN_IB2+LN_IF2+LN_IG2</f>
        <v>116507014</v>
      </c>
      <c r="E262" s="361">
        <f t="shared" si="26"/>
        <v>5415351</v>
      </c>
      <c r="F262" s="415">
        <f t="shared" si="27"/>
        <v>0.04874669127961474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908</v>
      </c>
      <c r="C263" s="366">
        <f>IF(C261=0,0,C262/C261)</f>
        <v>0.3325204240107425</v>
      </c>
      <c r="D263" s="366">
        <f>IF(LN_IIA1=0,0,LN_IIA2/LN_IIA1)</f>
        <v>0.3213680827995152</v>
      </c>
      <c r="E263" s="367">
        <f t="shared" si="26"/>
        <v>-0.011152341211227323</v>
      </c>
      <c r="F263" s="371">
        <f t="shared" si="27"/>
        <v>-0.033538815681490385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909</v>
      </c>
      <c r="C264" s="369">
        <f>C18+C45+C191+C224</f>
        <v>12731</v>
      </c>
      <c r="D264" s="369">
        <f>LN_IA4+LN_IB4+LN_IF4+LN_IG3</f>
        <v>12931</v>
      </c>
      <c r="E264" s="369">
        <f t="shared" si="26"/>
        <v>200</v>
      </c>
      <c r="F264" s="415">
        <f t="shared" si="27"/>
        <v>0.015709685020815333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910</v>
      </c>
      <c r="C265" s="439">
        <f>IF(C264=0,0,C266/C264)</f>
        <v>1.0899615034168566</v>
      </c>
      <c r="D265" s="439">
        <f>IF(LN_IIA4=0,0,LN_IIA6/LN_IIA4)</f>
        <v>1.074452803340809</v>
      </c>
      <c r="E265" s="439">
        <f t="shared" si="26"/>
        <v>-0.015508700076047655</v>
      </c>
      <c r="F265" s="415">
        <f t="shared" si="27"/>
        <v>-0.014228667734989113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911</v>
      </c>
      <c r="C266" s="376">
        <f>C20+C47+C193+C226</f>
        <v>13876.299900000002</v>
      </c>
      <c r="D266" s="376">
        <f>LN_IA6+LN_IB6+LN_IF6+LN_IG5</f>
        <v>13893.7492</v>
      </c>
      <c r="E266" s="376">
        <f t="shared" si="26"/>
        <v>17.449299999998402</v>
      </c>
      <c r="F266" s="415">
        <f t="shared" si="27"/>
        <v>0.0012574893974436514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912</v>
      </c>
      <c r="C267" s="361">
        <f>C27+C56+C203+C233</f>
        <v>438960026</v>
      </c>
      <c r="D267" s="361">
        <f>LN_IA11+LN_IB13+LN_IF14+LN_IG9</f>
        <v>467346952</v>
      </c>
      <c r="E267" s="361">
        <f t="shared" si="26"/>
        <v>28386926</v>
      </c>
      <c r="F267" s="415">
        <f t="shared" si="27"/>
        <v>0.06466859011895539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833</v>
      </c>
      <c r="C268" s="366">
        <f>IF(C261=0,0,C267/C261)</f>
        <v>1.3138985413269633</v>
      </c>
      <c r="D268" s="366">
        <f>IF(LN_IIA1=0,0,LN_IIA7/LN_IIA1)</f>
        <v>1.2891103188554556</v>
      </c>
      <c r="E268" s="367">
        <f t="shared" si="26"/>
        <v>-0.024788222471507693</v>
      </c>
      <c r="F268" s="371">
        <f t="shared" si="27"/>
        <v>-0.018866161801559648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913</v>
      </c>
      <c r="C269" s="361">
        <f>C28+C57+C204+C234</f>
        <v>145472315</v>
      </c>
      <c r="D269" s="361">
        <f>LN_IA12+LN_IB14+LN_IF15+LN_IG10</f>
        <v>149419602</v>
      </c>
      <c r="E269" s="361">
        <f t="shared" si="26"/>
        <v>3947287</v>
      </c>
      <c r="F269" s="415">
        <f t="shared" si="27"/>
        <v>0.02713428324832804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832</v>
      </c>
      <c r="C270" s="366">
        <f>IF(C267=0,0,C269/C267)</f>
        <v>0.3314021924174025</v>
      </c>
      <c r="D270" s="366">
        <f>IF(LN_IIA7=0,0,LN_IIA9/LN_IIA7)</f>
        <v>0.31971878999223685</v>
      </c>
      <c r="E270" s="367">
        <f t="shared" si="26"/>
        <v>-0.011683402425165634</v>
      </c>
      <c r="F270" s="371">
        <f t="shared" si="27"/>
        <v>-0.03525445121512757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914</v>
      </c>
      <c r="C271" s="353">
        <f>C261+C267</f>
        <v>773049769</v>
      </c>
      <c r="D271" s="353">
        <f>LN_IIA1+LN_IIA7</f>
        <v>829881442</v>
      </c>
      <c r="E271" s="353">
        <f t="shared" si="26"/>
        <v>56831673</v>
      </c>
      <c r="F271" s="415">
        <f t="shared" si="27"/>
        <v>0.07351618909803982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915</v>
      </c>
      <c r="C272" s="353">
        <f>C262+C269</f>
        <v>256563978</v>
      </c>
      <c r="D272" s="353">
        <f>LN_IIA2+LN_IIA9</f>
        <v>265926616</v>
      </c>
      <c r="E272" s="353">
        <f t="shared" si="26"/>
        <v>9362638</v>
      </c>
      <c r="F272" s="415">
        <f t="shared" si="27"/>
        <v>0.036492410481723976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916</v>
      </c>
      <c r="C273" s="366">
        <f>IF(C271=0,0,C272/C271)</f>
        <v>0.33188545975750755</v>
      </c>
      <c r="D273" s="366">
        <f>IF(LN_IIA11=0,0,LN_IIA12/LN_IIA11)</f>
        <v>0.3204392851093542</v>
      </c>
      <c r="E273" s="367">
        <f t="shared" si="26"/>
        <v>-0.01144617464815334</v>
      </c>
      <c r="F273" s="371">
        <f t="shared" si="27"/>
        <v>-0.03448832816151843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355</v>
      </c>
      <c r="C274" s="421">
        <f>C22+C51+C198+C228</f>
        <v>51700</v>
      </c>
      <c r="D274" s="421">
        <f>LN_IA8+LN_IB10+LN_IF11+LN_IG6</f>
        <v>50149</v>
      </c>
      <c r="E274" s="442">
        <f t="shared" si="26"/>
        <v>-1551</v>
      </c>
      <c r="F274" s="371">
        <f t="shared" si="27"/>
        <v>-0.03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242</v>
      </c>
      <c r="B276" s="359" t="s">
        <v>917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918</v>
      </c>
      <c r="C277" s="361">
        <f>C15+C188+C221</f>
        <v>187131675</v>
      </c>
      <c r="D277" s="361">
        <f>LN_IA1+LN_IF1+LN_IG1</f>
        <v>204980686</v>
      </c>
      <c r="E277" s="361">
        <f aca="true" t="shared" si="28" ref="E277:E291">D277-C277</f>
        <v>17849011</v>
      </c>
      <c r="F277" s="415">
        <f aca="true" t="shared" si="29" ref="F277:F291">IF(C277=0,0,E277/C277)</f>
        <v>0.09538209391862708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919</v>
      </c>
      <c r="C278" s="361">
        <f>C16+C189+C222</f>
        <v>53018689</v>
      </c>
      <c r="D278" s="361">
        <f>LN_IA2+LN_IF2+LN_IG2</f>
        <v>54958450</v>
      </c>
      <c r="E278" s="361">
        <f t="shared" si="28"/>
        <v>1939761</v>
      </c>
      <c r="F278" s="415">
        <f t="shared" si="29"/>
        <v>0.03658636297098934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920</v>
      </c>
      <c r="C279" s="366">
        <f>IF(C277=0,0,C278/C277)</f>
        <v>0.28332290083974293</v>
      </c>
      <c r="D279" s="366">
        <f>IF(D277=0,0,LN_IIB2/D277)</f>
        <v>0.26811526038116584</v>
      </c>
      <c r="E279" s="367">
        <f t="shared" si="28"/>
        <v>-0.015207640458577087</v>
      </c>
      <c r="F279" s="371">
        <f t="shared" si="29"/>
        <v>-0.05367600152865527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921</v>
      </c>
      <c r="C280" s="369">
        <f>C18+C191+C224</f>
        <v>5164</v>
      </c>
      <c r="D280" s="369">
        <f>LN_IA4+LN_IF4+LN_IG3</f>
        <v>5633</v>
      </c>
      <c r="E280" s="369">
        <f t="shared" si="28"/>
        <v>469</v>
      </c>
      <c r="F280" s="415">
        <f t="shared" si="29"/>
        <v>0.09082106893880712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922</v>
      </c>
      <c r="C281" s="439">
        <f>IF(C280=0,0,C282/C280)</f>
        <v>1.431914736638265</v>
      </c>
      <c r="D281" s="439">
        <f>IF(LN_IIB4=0,0,LN_IIB6/LN_IIB4)</f>
        <v>1.371079389312977</v>
      </c>
      <c r="E281" s="439">
        <f t="shared" si="28"/>
        <v>-0.06083534732528806</v>
      </c>
      <c r="F281" s="415">
        <f t="shared" si="29"/>
        <v>-0.04248531408239602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923</v>
      </c>
      <c r="C282" s="376">
        <f>C20+C193+C226</f>
        <v>7394.407700000001</v>
      </c>
      <c r="D282" s="376">
        <f>LN_IA6+LN_IF6+LN_IG5</f>
        <v>7723.2901999999995</v>
      </c>
      <c r="E282" s="376">
        <f t="shared" si="28"/>
        <v>328.8824999999988</v>
      </c>
      <c r="F282" s="415">
        <f t="shared" si="29"/>
        <v>0.04447719321724697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924</v>
      </c>
      <c r="C283" s="361">
        <f>C27+C203+C233</f>
        <v>136537760</v>
      </c>
      <c r="D283" s="361">
        <f>LN_IA11+LN_IF14+LN_IG9</f>
        <v>143104166</v>
      </c>
      <c r="E283" s="361">
        <f t="shared" si="28"/>
        <v>6566406</v>
      </c>
      <c r="F283" s="415">
        <f t="shared" si="29"/>
        <v>0.04809223470489043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925</v>
      </c>
      <c r="C284" s="366">
        <f>IF(C277=0,0,C283/C277)</f>
        <v>0.72963468103409</v>
      </c>
      <c r="D284" s="366">
        <f>IF(D277=0,0,LN_IIB7/D277)</f>
        <v>0.698134876961042</v>
      </c>
      <c r="E284" s="367">
        <f t="shared" si="28"/>
        <v>-0.03149980407304798</v>
      </c>
      <c r="F284" s="371">
        <f t="shared" si="29"/>
        <v>-0.04317202141269412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926</v>
      </c>
      <c r="C285" s="361">
        <f>C28+C204+C234</f>
        <v>26975720</v>
      </c>
      <c r="D285" s="361">
        <f>LN_IA12+LN_IF15+LN_IG10</f>
        <v>27178589</v>
      </c>
      <c r="E285" s="361">
        <f t="shared" si="28"/>
        <v>202869</v>
      </c>
      <c r="F285" s="415">
        <f t="shared" si="29"/>
        <v>0.007520429482512422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927</v>
      </c>
      <c r="C286" s="366">
        <f>IF(C283=0,0,C285/C283)</f>
        <v>0.1975696686396496</v>
      </c>
      <c r="D286" s="366">
        <f>IF(LN_IIB7=0,0,LN_IIB9/LN_IIB7)</f>
        <v>0.18992171758298076</v>
      </c>
      <c r="E286" s="367">
        <f t="shared" si="28"/>
        <v>-0.0076479510566688225</v>
      </c>
      <c r="F286" s="371">
        <f t="shared" si="29"/>
        <v>-0.038710147713098816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928</v>
      </c>
      <c r="C287" s="353">
        <f>C277+C283</f>
        <v>323669435</v>
      </c>
      <c r="D287" s="353">
        <f>D277+LN_IIB7</f>
        <v>348084852</v>
      </c>
      <c r="E287" s="353">
        <f t="shared" si="28"/>
        <v>24415417</v>
      </c>
      <c r="F287" s="415">
        <f t="shared" si="29"/>
        <v>0.0754331869489005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929</v>
      </c>
      <c r="C288" s="353">
        <f>C278+C285</f>
        <v>79994409</v>
      </c>
      <c r="D288" s="353">
        <f>LN_IIB2+LN_IIB9</f>
        <v>82137039</v>
      </c>
      <c r="E288" s="353">
        <f t="shared" si="28"/>
        <v>2142630</v>
      </c>
      <c r="F288" s="415">
        <f t="shared" si="29"/>
        <v>0.0267847469190003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930</v>
      </c>
      <c r="C289" s="366">
        <f>IF(C287=0,0,C288/C287)</f>
        <v>0.2471484803623796</v>
      </c>
      <c r="D289" s="366">
        <f>IF(LN_IIB11=0,0,LN_IIB12/LN_IIB11)</f>
        <v>0.23596843852314492</v>
      </c>
      <c r="E289" s="367">
        <f t="shared" si="28"/>
        <v>-0.011180041839234683</v>
      </c>
      <c r="F289" s="371">
        <f t="shared" si="29"/>
        <v>-0.04523613425760106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355</v>
      </c>
      <c r="C290" s="421">
        <f>C22+C198+C228</f>
        <v>26773</v>
      </c>
      <c r="D290" s="421">
        <f>LN_IA8+LN_IF11+LN_IG6</f>
        <v>26302</v>
      </c>
      <c r="E290" s="442">
        <f t="shared" si="28"/>
        <v>-471</v>
      </c>
      <c r="F290" s="371">
        <f t="shared" si="29"/>
        <v>-0.017592350502371793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931</v>
      </c>
      <c r="C291" s="361">
        <f>C287-C288</f>
        <v>243675026</v>
      </c>
      <c r="D291" s="429">
        <f>LN_IIB11-LN_IIB12</f>
        <v>265947813</v>
      </c>
      <c r="E291" s="353">
        <f t="shared" si="28"/>
        <v>22272787</v>
      </c>
      <c r="F291" s="415">
        <f t="shared" si="29"/>
        <v>0.09140365086079852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252</v>
      </c>
      <c r="B293" s="358" t="s">
        <v>828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819</v>
      </c>
      <c r="C294" s="379">
        <f>IF(C18=0,0,C22/C18)</f>
        <v>5.1542194092827005</v>
      </c>
      <c r="D294" s="379">
        <f>IF(LN_IA4=0,0,LN_IA8/LN_IA4)</f>
        <v>4.786110011871784</v>
      </c>
      <c r="E294" s="379">
        <f aca="true" t="shared" si="30" ref="E294:E300">D294-C294</f>
        <v>-0.3681093974109162</v>
      </c>
      <c r="F294" s="415">
        <f aca="true" t="shared" si="31" ref="F294:F300">IF(C294=0,0,E294/C294)</f>
        <v>-0.07141903907853722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840</v>
      </c>
      <c r="C295" s="379">
        <f>IF(C45=0,0,C51/C45)</f>
        <v>3.294172062904718</v>
      </c>
      <c r="D295" s="379">
        <f>IF(LN_IB4=0,0,(LN_IB10)/(LN_IB4))</f>
        <v>3.2676075637160866</v>
      </c>
      <c r="E295" s="379">
        <f t="shared" si="30"/>
        <v>-0.026564499188631352</v>
      </c>
      <c r="F295" s="415">
        <f t="shared" si="31"/>
        <v>-0.008064089756503929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855</v>
      </c>
      <c r="C296" s="379">
        <f>IF(C86=0,0,C93/C86)</f>
        <v>3.3370535714285716</v>
      </c>
      <c r="D296" s="379">
        <f>IF(LN_IC4=0,0,LN_IC11/LN_IC4)</f>
        <v>3.3783783783783785</v>
      </c>
      <c r="E296" s="379">
        <f t="shared" si="30"/>
        <v>0.04132480694980689</v>
      </c>
      <c r="F296" s="415">
        <f t="shared" si="31"/>
        <v>0.012383621079273235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330</v>
      </c>
      <c r="C297" s="379">
        <f>IF(C121=0,0,C128/C121)</f>
        <v>5.0186335403726705</v>
      </c>
      <c r="D297" s="379">
        <f>IF(LN_ID4=0,0,LN_ID11/LN_ID4)</f>
        <v>3.36085626911315</v>
      </c>
      <c r="E297" s="379">
        <f t="shared" si="30"/>
        <v>-1.6577772712595205</v>
      </c>
      <c r="F297" s="415">
        <f t="shared" si="31"/>
        <v>-0.3303244315257213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932</v>
      </c>
      <c r="C298" s="379">
        <f>IF(C156=0,0,C163/C156)</f>
        <v>5.85823754789272</v>
      </c>
      <c r="D298" s="379">
        <f>IF(LN_IE4=0,0,LN_IE11/LN_IE4)</f>
        <v>4.012195121951219</v>
      </c>
      <c r="E298" s="379">
        <f t="shared" si="30"/>
        <v>-1.8460424259415014</v>
      </c>
      <c r="F298" s="415">
        <f t="shared" si="31"/>
        <v>-0.3151190799023753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634</v>
      </c>
      <c r="C299" s="379">
        <f>IF(C224=0,0,C228/C224)</f>
        <v>2.5</v>
      </c>
      <c r="D299" s="379">
        <f>IF(LN_IG3=0,0,LN_IG6/LN_IG3)</f>
        <v>4.5</v>
      </c>
      <c r="E299" s="379">
        <f t="shared" si="30"/>
        <v>2</v>
      </c>
      <c r="F299" s="415">
        <f t="shared" si="31"/>
        <v>0.8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933</v>
      </c>
      <c r="C300" s="379">
        <f>IF(C264=0,0,C274/C264)</f>
        <v>4.060953577880763</v>
      </c>
      <c r="D300" s="379">
        <f>IF(LN_IIA4=0,0,LN_IIA14/LN_IIA4)</f>
        <v>3.878199675199134</v>
      </c>
      <c r="E300" s="379">
        <f t="shared" si="30"/>
        <v>-0.1827539026816294</v>
      </c>
      <c r="F300" s="415">
        <f t="shared" si="31"/>
        <v>-0.04500270667388441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351</v>
      </c>
      <c r="B302" s="446" t="s">
        <v>934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928</v>
      </c>
      <c r="C304" s="353">
        <f>C35+C66+C214+C221+C233</f>
        <v>773049769</v>
      </c>
      <c r="D304" s="353">
        <f>LN_IIA11</f>
        <v>829881442</v>
      </c>
      <c r="E304" s="353">
        <f aca="true" t="shared" si="32" ref="E304:E316">D304-C304</f>
        <v>56831673</v>
      </c>
      <c r="F304" s="362">
        <f>IF(C304=0,0,E304/C304)</f>
        <v>0.07351618909803982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931</v>
      </c>
      <c r="C305" s="353">
        <f>C291</f>
        <v>243675026</v>
      </c>
      <c r="D305" s="353">
        <f>LN_IIB14</f>
        <v>265947813</v>
      </c>
      <c r="E305" s="353">
        <f t="shared" si="32"/>
        <v>22272787</v>
      </c>
      <c r="F305" s="362">
        <f>IF(C305=0,0,E305/C305)</f>
        <v>0.09140365086079852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935</v>
      </c>
      <c r="C306" s="353">
        <f>C250</f>
        <v>28379354</v>
      </c>
      <c r="D306" s="353">
        <f>LN_IH6</f>
        <v>28980507</v>
      </c>
      <c r="E306" s="353">
        <f t="shared" si="32"/>
        <v>601153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936</v>
      </c>
      <c r="C307" s="353">
        <f>C73-C74</f>
        <v>232982643</v>
      </c>
      <c r="D307" s="353">
        <f>LN_IB32-LN_IB33</f>
        <v>255384753</v>
      </c>
      <c r="E307" s="353">
        <f t="shared" si="32"/>
        <v>22402110</v>
      </c>
      <c r="F307" s="362">
        <f aca="true" t="shared" si="33" ref="F307:F316">IF(C307=0,0,E307/C307)</f>
        <v>0.09615355767081757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937</v>
      </c>
      <c r="C308" s="353">
        <v>9379232</v>
      </c>
      <c r="D308" s="353">
        <v>12034412</v>
      </c>
      <c r="E308" s="353">
        <f t="shared" si="32"/>
        <v>2655180</v>
      </c>
      <c r="F308" s="362">
        <f t="shared" si="33"/>
        <v>0.283091408763532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938</v>
      </c>
      <c r="C309" s="353">
        <f>C305+C307+C308+C306</f>
        <v>514416255</v>
      </c>
      <c r="D309" s="353">
        <f>LN_III2+LN_III3+LN_III4+LN_III5</f>
        <v>562347485</v>
      </c>
      <c r="E309" s="353">
        <f t="shared" si="32"/>
        <v>47931230</v>
      </c>
      <c r="F309" s="362">
        <f t="shared" si="33"/>
        <v>0.09317596311181885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939</v>
      </c>
      <c r="C310" s="353">
        <f>C304-C309</f>
        <v>258633514</v>
      </c>
      <c r="D310" s="353">
        <f>LN_III1-LN_III6</f>
        <v>267533957</v>
      </c>
      <c r="E310" s="353">
        <f t="shared" si="32"/>
        <v>8900443</v>
      </c>
      <c r="F310" s="362">
        <f t="shared" si="33"/>
        <v>0.03441333979632663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940</v>
      </c>
      <c r="C311" s="353">
        <f>C245</f>
        <v>1146921</v>
      </c>
      <c r="D311" s="353">
        <f>LN_IH3</f>
        <v>1086769</v>
      </c>
      <c r="E311" s="353">
        <f t="shared" si="32"/>
        <v>-60152</v>
      </c>
      <c r="F311" s="362">
        <f t="shared" si="33"/>
        <v>-0.0524465067777118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941</v>
      </c>
      <c r="C312" s="353">
        <f>C310+C311</f>
        <v>259780435</v>
      </c>
      <c r="D312" s="353">
        <f>LN_III7+LN_III8</f>
        <v>268620726</v>
      </c>
      <c r="E312" s="353">
        <f t="shared" si="32"/>
        <v>8840291</v>
      </c>
      <c r="F312" s="362">
        <f t="shared" si="33"/>
        <v>0.03402985679040841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942</v>
      </c>
      <c r="C313" s="448">
        <f>IF(C304=0,0,C312/C304)</f>
        <v>0.3360461970463379</v>
      </c>
      <c r="D313" s="448">
        <f>IF(LN_III1=0,0,LN_III9/LN_III1)</f>
        <v>0.3236856644879643</v>
      </c>
      <c r="E313" s="448">
        <f t="shared" si="32"/>
        <v>-0.012360532558373605</v>
      </c>
      <c r="F313" s="362">
        <f t="shared" si="33"/>
        <v>-0.03678224204593273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900</v>
      </c>
      <c r="C314" s="353">
        <f>C306*C313</f>
        <v>9536773.986331778</v>
      </c>
      <c r="D314" s="353">
        <f>D313*LN_III5</f>
        <v>9380574.6654931</v>
      </c>
      <c r="E314" s="353">
        <f t="shared" si="32"/>
        <v>-156199.32083867677</v>
      </c>
      <c r="F314" s="362">
        <f t="shared" si="33"/>
        <v>-0.016378632969864186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903</v>
      </c>
      <c r="C315" s="353">
        <f>(C214*C313)-C215</f>
        <v>2746529.94743219</v>
      </c>
      <c r="D315" s="353">
        <f>D313*LN_IH8-LN_IH9</f>
        <v>3303264.484966792</v>
      </c>
      <c r="E315" s="353">
        <f t="shared" si="32"/>
        <v>556734.537534602</v>
      </c>
      <c r="F315" s="362">
        <f t="shared" si="33"/>
        <v>0.20270470309457544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943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944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945</v>
      </c>
      <c r="C318" s="353">
        <f>C314+C315+C316</f>
        <v>12283303.933763968</v>
      </c>
      <c r="D318" s="353">
        <f>D314+D315+D316</f>
        <v>12683839.150459893</v>
      </c>
      <c r="E318" s="353">
        <f>D318-C318</f>
        <v>400535.2166959252</v>
      </c>
      <c r="F318" s="362">
        <f>IF(C318=0,0,E318/C318)</f>
        <v>0.03260810111479423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360</v>
      </c>
      <c r="B320" s="445" t="s">
        <v>946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330</v>
      </c>
      <c r="C322" s="353">
        <f>C141</f>
        <v>1068693.3249118116</v>
      </c>
      <c r="D322" s="353">
        <f>LN_ID22</f>
        <v>1966861.5544667635</v>
      </c>
      <c r="E322" s="353">
        <f>LN_IV2-C322</f>
        <v>898168.2295549519</v>
      </c>
      <c r="F322" s="362">
        <f>IF(C322=0,0,E322/C322)</f>
        <v>0.8404358936452313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932</v>
      </c>
      <c r="C323" s="353">
        <f>C162+C176</f>
        <v>540260.6396126496</v>
      </c>
      <c r="D323" s="353">
        <f>LN_IE10+LN_IE22</f>
        <v>1115288.1920828521</v>
      </c>
      <c r="E323" s="353">
        <f>LN_IV3-C323</f>
        <v>575027.5524702026</v>
      </c>
      <c r="F323" s="362">
        <f>IF(C323=0,0,E323/C323)</f>
        <v>1.0643521113854968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947</v>
      </c>
      <c r="C324" s="353">
        <f>C92+C106</f>
        <v>6320666.868457596</v>
      </c>
      <c r="D324" s="353">
        <f>LN_IC10+LN_IC22</f>
        <v>4250354.214621667</v>
      </c>
      <c r="E324" s="353">
        <f>LN_IV1-C324</f>
        <v>-2070312.653835929</v>
      </c>
      <c r="F324" s="362">
        <f>IF(C324=0,0,E324/C324)</f>
        <v>-0.3275465543307677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948</v>
      </c>
      <c r="C325" s="429">
        <f>C324+C322+C323</f>
        <v>7929620.832982057</v>
      </c>
      <c r="D325" s="429">
        <f>LN_IV1+LN_IV2+LN_IV3</f>
        <v>7332503.961171282</v>
      </c>
      <c r="E325" s="353">
        <f>LN_IV4-C325</f>
        <v>-597116.8718107743</v>
      </c>
      <c r="F325" s="362">
        <f>IF(C325=0,0,E325/C325)</f>
        <v>-0.07530207110624472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949</v>
      </c>
      <c r="B327" s="446" t="s">
        <v>950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951</v>
      </c>
      <c r="C329" s="431">
        <v>14281313</v>
      </c>
      <c r="D329" s="431">
        <v>18106348</v>
      </c>
      <c r="E329" s="431">
        <f aca="true" t="shared" si="34" ref="E329:E335">D329-C329</f>
        <v>3825035</v>
      </c>
      <c r="F329" s="462">
        <f aca="true" t="shared" si="35" ref="F329:F335">IF(C329=0,0,E329/C329)</f>
        <v>0.2678349672750678</v>
      </c>
    </row>
    <row r="330" spans="1:6" s="333" customFormat="1" ht="11.25" customHeight="1">
      <c r="A330" s="364">
        <v>2</v>
      </c>
      <c r="B330" s="360" t="s">
        <v>952</v>
      </c>
      <c r="C330" s="429">
        <v>5382101</v>
      </c>
      <c r="D330" s="429">
        <v>3232038</v>
      </c>
      <c r="E330" s="431">
        <f t="shared" si="34"/>
        <v>-2150063</v>
      </c>
      <c r="F330" s="463">
        <f t="shared" si="35"/>
        <v>-0.39948395617250587</v>
      </c>
    </row>
    <row r="331" spans="1:6" s="333" customFormat="1" ht="11.25" customHeight="1">
      <c r="A331" s="339">
        <v>3</v>
      </c>
      <c r="B331" s="360" t="s">
        <v>953</v>
      </c>
      <c r="C331" s="429">
        <v>263093000</v>
      </c>
      <c r="D331" s="429">
        <v>270245423</v>
      </c>
      <c r="E331" s="431">
        <f t="shared" si="34"/>
        <v>7152423</v>
      </c>
      <c r="F331" s="462">
        <f t="shared" si="35"/>
        <v>0.027185911445762524</v>
      </c>
    </row>
    <row r="332" spans="1:6" s="333" customFormat="1" ht="11.25" customHeight="1">
      <c r="A332" s="364">
        <v>4</v>
      </c>
      <c r="B332" s="360" t="s">
        <v>954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955</v>
      </c>
      <c r="C333" s="429">
        <v>773049769</v>
      </c>
      <c r="D333" s="429">
        <v>829881442</v>
      </c>
      <c r="E333" s="431">
        <f t="shared" si="34"/>
        <v>56831673</v>
      </c>
      <c r="F333" s="462">
        <f t="shared" si="35"/>
        <v>0.07351618909803982</v>
      </c>
    </row>
    <row r="334" spans="1:6" s="333" customFormat="1" ht="11.25" customHeight="1">
      <c r="A334" s="339">
        <v>6</v>
      </c>
      <c r="B334" s="360" t="s">
        <v>956</v>
      </c>
      <c r="C334" s="429">
        <v>3982302</v>
      </c>
      <c r="D334" s="429">
        <v>4056046</v>
      </c>
      <c r="E334" s="429">
        <f t="shared" si="34"/>
        <v>73744</v>
      </c>
      <c r="F334" s="463">
        <f t="shared" si="35"/>
        <v>0.01851793259275665</v>
      </c>
    </row>
    <row r="335" spans="1:6" s="333" customFormat="1" ht="11.25" customHeight="1">
      <c r="A335" s="364">
        <v>7</v>
      </c>
      <c r="B335" s="360" t="s">
        <v>957</v>
      </c>
      <c r="C335" s="429">
        <v>32361656</v>
      </c>
      <c r="D335" s="429">
        <v>33036553</v>
      </c>
      <c r="E335" s="429">
        <f t="shared" si="34"/>
        <v>674897</v>
      </c>
      <c r="F335" s="462">
        <f t="shared" si="35"/>
        <v>0.020854835117214025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FILING&amp;RGREENWICH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216</v>
      </c>
      <c r="B2" s="710"/>
      <c r="C2" s="710"/>
      <c r="D2" s="710"/>
      <c r="E2" s="710"/>
    </row>
    <row r="3" spans="1:5" s="338" customFormat="1" ht="15.75" customHeight="1">
      <c r="A3" s="709" t="s">
        <v>810</v>
      </c>
      <c r="B3" s="709"/>
      <c r="C3" s="709"/>
      <c r="D3" s="709"/>
      <c r="E3" s="709"/>
    </row>
    <row r="4" spans="1:5" s="338" customFormat="1" ht="15.75" customHeight="1">
      <c r="A4" s="709" t="s">
        <v>218</v>
      </c>
      <c r="B4" s="709"/>
      <c r="C4" s="709"/>
      <c r="D4" s="709"/>
      <c r="E4" s="709"/>
    </row>
    <row r="5" spans="1:5" s="338" customFormat="1" ht="15.75" customHeight="1">
      <c r="A5" s="709" t="s">
        <v>958</v>
      </c>
      <c r="B5" s="709"/>
      <c r="C5" s="709"/>
      <c r="D5" s="709"/>
      <c r="E5" s="709"/>
    </row>
    <row r="6" spans="1:5" s="338" customFormat="1" ht="15.75" customHeight="1">
      <c r="A6" s="709" t="s">
        <v>959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224</v>
      </c>
      <c r="B9" s="493" t="s">
        <v>225</v>
      </c>
      <c r="C9" s="494" t="s">
        <v>960</v>
      </c>
      <c r="D9" s="494" t="s">
        <v>961</v>
      </c>
      <c r="E9" s="495" t="s">
        <v>962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228</v>
      </c>
      <c r="B11" s="501" t="s">
        <v>963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230</v>
      </c>
      <c r="B13" s="509" t="s">
        <v>964</v>
      </c>
      <c r="C13" s="510"/>
      <c r="D13" s="340"/>
      <c r="E13" s="511"/>
    </row>
    <row r="14" spans="1:5" s="506" customFormat="1" ht="12.75">
      <c r="A14" s="512">
        <v>1</v>
      </c>
      <c r="B14" s="511" t="s">
        <v>840</v>
      </c>
      <c r="C14" s="513">
        <v>146958068</v>
      </c>
      <c r="D14" s="513">
        <v>157553804</v>
      </c>
      <c r="E14" s="514">
        <f aca="true" t="shared" si="0" ref="E14:E22">D14-C14</f>
        <v>10595736</v>
      </c>
    </row>
    <row r="15" spans="1:5" s="506" customFormat="1" ht="12.75">
      <c r="A15" s="512">
        <v>2</v>
      </c>
      <c r="B15" s="511" t="s">
        <v>819</v>
      </c>
      <c r="C15" s="513">
        <v>174529086</v>
      </c>
      <c r="D15" s="515">
        <v>191475529</v>
      </c>
      <c r="E15" s="514">
        <f t="shared" si="0"/>
        <v>16946443</v>
      </c>
    </row>
    <row r="16" spans="1:5" s="506" customFormat="1" ht="12.75">
      <c r="A16" s="512">
        <v>3</v>
      </c>
      <c r="B16" s="511" t="s">
        <v>965</v>
      </c>
      <c r="C16" s="513">
        <v>12488400</v>
      </c>
      <c r="D16" s="515">
        <v>13238883</v>
      </c>
      <c r="E16" s="514">
        <f t="shared" si="0"/>
        <v>750483</v>
      </c>
    </row>
    <row r="17" spans="1:5" s="506" customFormat="1" ht="12.75">
      <c r="A17" s="512">
        <v>4</v>
      </c>
      <c r="B17" s="511" t="s">
        <v>330</v>
      </c>
      <c r="C17" s="513">
        <v>3611108</v>
      </c>
      <c r="D17" s="515">
        <v>5974353</v>
      </c>
      <c r="E17" s="514">
        <f t="shared" si="0"/>
        <v>2363245</v>
      </c>
    </row>
    <row r="18" spans="1:5" s="506" customFormat="1" ht="12.75">
      <c r="A18" s="512">
        <v>5</v>
      </c>
      <c r="B18" s="511" t="s">
        <v>932</v>
      </c>
      <c r="C18" s="513">
        <v>8877292</v>
      </c>
      <c r="D18" s="515">
        <v>7264530</v>
      </c>
      <c r="E18" s="514">
        <f t="shared" si="0"/>
        <v>-1612762</v>
      </c>
    </row>
    <row r="19" spans="1:5" s="506" customFormat="1" ht="12.75">
      <c r="A19" s="512">
        <v>6</v>
      </c>
      <c r="B19" s="511" t="s">
        <v>634</v>
      </c>
      <c r="C19" s="513">
        <v>114189</v>
      </c>
      <c r="D19" s="515">
        <v>266274</v>
      </c>
      <c r="E19" s="514">
        <f t="shared" si="0"/>
        <v>152085</v>
      </c>
    </row>
    <row r="20" spans="1:5" s="506" customFormat="1" ht="12.75">
      <c r="A20" s="512">
        <v>7</v>
      </c>
      <c r="B20" s="511" t="s">
        <v>947</v>
      </c>
      <c r="C20" s="513">
        <v>9747769</v>
      </c>
      <c r="D20" s="515">
        <v>8103855</v>
      </c>
      <c r="E20" s="514">
        <f t="shared" si="0"/>
        <v>-1643914</v>
      </c>
    </row>
    <row r="21" spans="1:5" s="506" customFormat="1" ht="12.75">
      <c r="A21" s="512"/>
      <c r="B21" s="516" t="s">
        <v>966</v>
      </c>
      <c r="C21" s="517">
        <f>SUM(C15+C16+C19)</f>
        <v>187131675</v>
      </c>
      <c r="D21" s="517">
        <f>SUM(D15+D16+D19)</f>
        <v>204980686</v>
      </c>
      <c r="E21" s="517">
        <f t="shared" si="0"/>
        <v>17849011</v>
      </c>
    </row>
    <row r="22" spans="1:5" s="506" customFormat="1" ht="12.75">
      <c r="A22" s="512"/>
      <c r="B22" s="516" t="s">
        <v>906</v>
      </c>
      <c r="C22" s="517">
        <f>SUM(C14+C21)</f>
        <v>334089743</v>
      </c>
      <c r="D22" s="517">
        <f>SUM(D14+D21)</f>
        <v>362534490</v>
      </c>
      <c r="E22" s="517">
        <f t="shared" si="0"/>
        <v>28444747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242</v>
      </c>
      <c r="B24" s="509" t="s">
        <v>967</v>
      </c>
      <c r="C24" s="511"/>
      <c r="D24" s="511"/>
      <c r="E24" s="511"/>
    </row>
    <row r="25" spans="1:5" s="506" customFormat="1" ht="12.75">
      <c r="A25" s="512">
        <v>1</v>
      </c>
      <c r="B25" s="511" t="s">
        <v>840</v>
      </c>
      <c r="C25" s="513">
        <v>302422266</v>
      </c>
      <c r="D25" s="513">
        <v>324242786</v>
      </c>
      <c r="E25" s="514">
        <f aca="true" t="shared" si="1" ref="E25:E33">D25-C25</f>
        <v>21820520</v>
      </c>
    </row>
    <row r="26" spans="1:5" s="506" customFormat="1" ht="12.75">
      <c r="A26" s="512">
        <v>2</v>
      </c>
      <c r="B26" s="511" t="s">
        <v>819</v>
      </c>
      <c r="C26" s="513">
        <v>123552114</v>
      </c>
      <c r="D26" s="515">
        <v>124687082</v>
      </c>
      <c r="E26" s="514">
        <f t="shared" si="1"/>
        <v>1134968</v>
      </c>
    </row>
    <row r="27" spans="1:5" s="506" customFormat="1" ht="12.75">
      <c r="A27" s="512">
        <v>3</v>
      </c>
      <c r="B27" s="511" t="s">
        <v>965</v>
      </c>
      <c r="C27" s="513">
        <v>12820998</v>
      </c>
      <c r="D27" s="515">
        <v>18039158</v>
      </c>
      <c r="E27" s="514">
        <f t="shared" si="1"/>
        <v>5218160</v>
      </c>
    </row>
    <row r="28" spans="1:5" s="506" customFormat="1" ht="12.75">
      <c r="A28" s="512">
        <v>4</v>
      </c>
      <c r="B28" s="511" t="s">
        <v>330</v>
      </c>
      <c r="C28" s="513">
        <v>8005734</v>
      </c>
      <c r="D28" s="515">
        <v>11023229</v>
      </c>
      <c r="E28" s="514">
        <f t="shared" si="1"/>
        <v>3017495</v>
      </c>
    </row>
    <row r="29" spans="1:5" s="506" customFormat="1" ht="12.75">
      <c r="A29" s="512">
        <v>5</v>
      </c>
      <c r="B29" s="511" t="s">
        <v>932</v>
      </c>
      <c r="C29" s="513">
        <v>4815264</v>
      </c>
      <c r="D29" s="515">
        <v>7015929</v>
      </c>
      <c r="E29" s="514">
        <f t="shared" si="1"/>
        <v>2200665</v>
      </c>
    </row>
    <row r="30" spans="1:5" s="506" customFormat="1" ht="12.75">
      <c r="A30" s="512">
        <v>6</v>
      </c>
      <c r="B30" s="511" t="s">
        <v>634</v>
      </c>
      <c r="C30" s="513">
        <v>164648</v>
      </c>
      <c r="D30" s="515">
        <v>377926</v>
      </c>
      <c r="E30" s="514">
        <f t="shared" si="1"/>
        <v>213278</v>
      </c>
    </row>
    <row r="31" spans="1:5" s="506" customFormat="1" ht="12.75">
      <c r="A31" s="512">
        <v>7</v>
      </c>
      <c r="B31" s="511" t="s">
        <v>947</v>
      </c>
      <c r="C31" s="514">
        <v>23234227</v>
      </c>
      <c r="D31" s="518">
        <v>25299716</v>
      </c>
      <c r="E31" s="514">
        <f t="shared" si="1"/>
        <v>2065489</v>
      </c>
    </row>
    <row r="32" spans="1:5" s="506" customFormat="1" ht="12.75">
      <c r="A32" s="512"/>
      <c r="B32" s="516" t="s">
        <v>968</v>
      </c>
      <c r="C32" s="517">
        <f>SUM(C26+C27+C30)</f>
        <v>136537760</v>
      </c>
      <c r="D32" s="517">
        <f>SUM(D26+D27+D30)</f>
        <v>143104166</v>
      </c>
      <c r="E32" s="517">
        <f t="shared" si="1"/>
        <v>6566406</v>
      </c>
    </row>
    <row r="33" spans="1:5" s="506" customFormat="1" ht="12.75">
      <c r="A33" s="512"/>
      <c r="B33" s="516" t="s">
        <v>912</v>
      </c>
      <c r="C33" s="517">
        <f>SUM(C25+C32)</f>
        <v>438960026</v>
      </c>
      <c r="D33" s="517">
        <f>SUM(D25+D32)</f>
        <v>467346952</v>
      </c>
      <c r="E33" s="517">
        <f t="shared" si="1"/>
        <v>28386926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252</v>
      </c>
      <c r="B35" s="509" t="s">
        <v>837</v>
      </c>
      <c r="C35" s="514"/>
      <c r="D35" s="514"/>
      <c r="E35" s="511"/>
    </row>
    <row r="36" spans="1:5" s="506" customFormat="1" ht="12.75">
      <c r="A36" s="512">
        <v>1</v>
      </c>
      <c r="B36" s="511" t="s">
        <v>969</v>
      </c>
      <c r="C36" s="514">
        <f aca="true" t="shared" si="2" ref="C36:D42">C14+C25</f>
        <v>449380334</v>
      </c>
      <c r="D36" s="514">
        <f t="shared" si="2"/>
        <v>481796590</v>
      </c>
      <c r="E36" s="514">
        <f aca="true" t="shared" si="3" ref="E36:E44">D36-C36</f>
        <v>32416256</v>
      </c>
    </row>
    <row r="37" spans="1:5" s="506" customFormat="1" ht="12.75">
      <c r="A37" s="512">
        <v>2</v>
      </c>
      <c r="B37" s="511" t="s">
        <v>970</v>
      </c>
      <c r="C37" s="514">
        <f t="shared" si="2"/>
        <v>298081200</v>
      </c>
      <c r="D37" s="514">
        <f t="shared" si="2"/>
        <v>316162611</v>
      </c>
      <c r="E37" s="514">
        <f t="shared" si="3"/>
        <v>18081411</v>
      </c>
    </row>
    <row r="38" spans="1:5" s="506" customFormat="1" ht="12.75">
      <c r="A38" s="512">
        <v>3</v>
      </c>
      <c r="B38" s="511" t="s">
        <v>971</v>
      </c>
      <c r="C38" s="514">
        <f t="shared" si="2"/>
        <v>25309398</v>
      </c>
      <c r="D38" s="514">
        <f t="shared" si="2"/>
        <v>31278041</v>
      </c>
      <c r="E38" s="514">
        <f t="shared" si="3"/>
        <v>5968643</v>
      </c>
    </row>
    <row r="39" spans="1:5" s="506" customFormat="1" ht="12.75">
      <c r="A39" s="512">
        <v>4</v>
      </c>
      <c r="B39" s="511" t="s">
        <v>972</v>
      </c>
      <c r="C39" s="514">
        <f t="shared" si="2"/>
        <v>11616842</v>
      </c>
      <c r="D39" s="514">
        <f t="shared" si="2"/>
        <v>16997582</v>
      </c>
      <c r="E39" s="514">
        <f t="shared" si="3"/>
        <v>5380740</v>
      </c>
    </row>
    <row r="40" spans="1:5" s="506" customFormat="1" ht="12.75">
      <c r="A40" s="512">
        <v>5</v>
      </c>
      <c r="B40" s="511" t="s">
        <v>973</v>
      </c>
      <c r="C40" s="514">
        <f t="shared" si="2"/>
        <v>13692556</v>
      </c>
      <c r="D40" s="514">
        <f t="shared" si="2"/>
        <v>14280459</v>
      </c>
      <c r="E40" s="514">
        <f t="shared" si="3"/>
        <v>587903</v>
      </c>
    </row>
    <row r="41" spans="1:5" s="506" customFormat="1" ht="12.75">
      <c r="A41" s="512">
        <v>6</v>
      </c>
      <c r="B41" s="511" t="s">
        <v>974</v>
      </c>
      <c r="C41" s="514">
        <f t="shared" si="2"/>
        <v>278837</v>
      </c>
      <c r="D41" s="514">
        <f t="shared" si="2"/>
        <v>644200</v>
      </c>
      <c r="E41" s="514">
        <f t="shared" si="3"/>
        <v>365363</v>
      </c>
    </row>
    <row r="42" spans="1:5" s="506" customFormat="1" ht="12.75">
      <c r="A42" s="512">
        <v>7</v>
      </c>
      <c r="B42" s="511" t="s">
        <v>975</v>
      </c>
      <c r="C42" s="514">
        <f t="shared" si="2"/>
        <v>32981996</v>
      </c>
      <c r="D42" s="514">
        <f t="shared" si="2"/>
        <v>33403571</v>
      </c>
      <c r="E42" s="514">
        <f t="shared" si="3"/>
        <v>421575</v>
      </c>
    </row>
    <row r="43" spans="1:5" s="506" customFormat="1" ht="12.75">
      <c r="A43" s="512"/>
      <c r="B43" s="516" t="s">
        <v>976</v>
      </c>
      <c r="C43" s="517">
        <f>SUM(C37+C38+C41)</f>
        <v>323669435</v>
      </c>
      <c r="D43" s="517">
        <f>SUM(D37+D38+D41)</f>
        <v>348084852</v>
      </c>
      <c r="E43" s="517">
        <f t="shared" si="3"/>
        <v>24415417</v>
      </c>
    </row>
    <row r="44" spans="1:5" s="506" customFormat="1" ht="12.75">
      <c r="A44" s="512"/>
      <c r="B44" s="516" t="s">
        <v>914</v>
      </c>
      <c r="C44" s="517">
        <f>SUM(C36+C43)</f>
        <v>773049769</v>
      </c>
      <c r="D44" s="517">
        <f>SUM(D36+D43)</f>
        <v>829881442</v>
      </c>
      <c r="E44" s="517">
        <f t="shared" si="3"/>
        <v>56831673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537</v>
      </c>
      <c r="B46" s="509" t="s">
        <v>977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840</v>
      </c>
      <c r="C47" s="513">
        <v>58072974</v>
      </c>
      <c r="D47" s="513">
        <v>61548564</v>
      </c>
      <c r="E47" s="514">
        <f aca="true" t="shared" si="4" ref="E47:E55">D47-C47</f>
        <v>3475590</v>
      </c>
    </row>
    <row r="48" spans="1:5" s="506" customFormat="1" ht="12.75">
      <c r="A48" s="512">
        <v>2</v>
      </c>
      <c r="B48" s="511" t="s">
        <v>819</v>
      </c>
      <c r="C48" s="513">
        <v>48854525</v>
      </c>
      <c r="D48" s="515">
        <v>51163674</v>
      </c>
      <c r="E48" s="514">
        <f t="shared" si="4"/>
        <v>2309149</v>
      </c>
    </row>
    <row r="49" spans="1:5" s="506" customFormat="1" ht="12.75">
      <c r="A49" s="512">
        <v>3</v>
      </c>
      <c r="B49" s="511" t="s">
        <v>965</v>
      </c>
      <c r="C49" s="513">
        <v>4090934</v>
      </c>
      <c r="D49" s="515">
        <v>3731057</v>
      </c>
      <c r="E49" s="514">
        <f t="shared" si="4"/>
        <v>-359877</v>
      </c>
    </row>
    <row r="50" spans="1:5" s="506" customFormat="1" ht="12.75">
      <c r="A50" s="512">
        <v>4</v>
      </c>
      <c r="B50" s="511" t="s">
        <v>330</v>
      </c>
      <c r="C50" s="513">
        <v>1493693</v>
      </c>
      <c r="D50" s="515">
        <v>2076453</v>
      </c>
      <c r="E50" s="514">
        <f t="shared" si="4"/>
        <v>582760</v>
      </c>
    </row>
    <row r="51" spans="1:5" s="506" customFormat="1" ht="12.75">
      <c r="A51" s="512">
        <v>5</v>
      </c>
      <c r="B51" s="511" t="s">
        <v>932</v>
      </c>
      <c r="C51" s="513">
        <v>2597241</v>
      </c>
      <c r="D51" s="515">
        <v>1654604</v>
      </c>
      <c r="E51" s="514">
        <f t="shared" si="4"/>
        <v>-942637</v>
      </c>
    </row>
    <row r="52" spans="1:5" s="506" customFormat="1" ht="12.75">
      <c r="A52" s="512">
        <v>6</v>
      </c>
      <c r="B52" s="511" t="s">
        <v>634</v>
      </c>
      <c r="C52" s="513">
        <v>73230</v>
      </c>
      <c r="D52" s="515">
        <v>63719</v>
      </c>
      <c r="E52" s="514">
        <f t="shared" si="4"/>
        <v>-9511</v>
      </c>
    </row>
    <row r="53" spans="1:5" s="506" customFormat="1" ht="12.75">
      <c r="A53" s="512">
        <v>7</v>
      </c>
      <c r="B53" s="511" t="s">
        <v>947</v>
      </c>
      <c r="C53" s="513">
        <v>1360302</v>
      </c>
      <c r="D53" s="515">
        <v>1073055</v>
      </c>
      <c r="E53" s="514">
        <f t="shared" si="4"/>
        <v>-287247</v>
      </c>
    </row>
    <row r="54" spans="1:5" s="506" customFormat="1" ht="12.75">
      <c r="A54" s="512"/>
      <c r="B54" s="516" t="s">
        <v>978</v>
      </c>
      <c r="C54" s="517">
        <f>SUM(C48+C49+C52)</f>
        <v>53018689</v>
      </c>
      <c r="D54" s="517">
        <f>SUM(D48+D49+D52)</f>
        <v>54958450</v>
      </c>
      <c r="E54" s="517">
        <f t="shared" si="4"/>
        <v>1939761</v>
      </c>
    </row>
    <row r="55" spans="1:5" s="506" customFormat="1" ht="12.75">
      <c r="A55" s="512"/>
      <c r="B55" s="516" t="s">
        <v>907</v>
      </c>
      <c r="C55" s="517">
        <f>SUM(C47+C54)</f>
        <v>111091663</v>
      </c>
      <c r="D55" s="517">
        <f>SUM(D47+D54)</f>
        <v>116507014</v>
      </c>
      <c r="E55" s="517">
        <f t="shared" si="4"/>
        <v>5415351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558</v>
      </c>
      <c r="B57" s="509" t="s">
        <v>979</v>
      </c>
      <c r="C57" s="499"/>
      <c r="D57" s="515"/>
      <c r="E57" s="511"/>
    </row>
    <row r="58" spans="1:5" s="506" customFormat="1" ht="12.75">
      <c r="A58" s="512">
        <v>1</v>
      </c>
      <c r="B58" s="511" t="s">
        <v>840</v>
      </c>
      <c r="C58" s="513">
        <v>118496595</v>
      </c>
      <c r="D58" s="513">
        <v>122241013</v>
      </c>
      <c r="E58" s="514">
        <f aca="true" t="shared" si="5" ref="E58:E66">D58-C58</f>
        <v>3744418</v>
      </c>
    </row>
    <row r="59" spans="1:5" s="506" customFormat="1" ht="12.75">
      <c r="A59" s="512">
        <v>2</v>
      </c>
      <c r="B59" s="511" t="s">
        <v>819</v>
      </c>
      <c r="C59" s="513">
        <v>25263241</v>
      </c>
      <c r="D59" s="515">
        <v>23926080</v>
      </c>
      <c r="E59" s="514">
        <f t="shared" si="5"/>
        <v>-1337161</v>
      </c>
    </row>
    <row r="60" spans="1:5" s="506" customFormat="1" ht="12.75">
      <c r="A60" s="512">
        <v>3</v>
      </c>
      <c r="B60" s="511" t="s">
        <v>965</v>
      </c>
      <c r="C60" s="513">
        <f>C61+C62</f>
        <v>1667663</v>
      </c>
      <c r="D60" s="515">
        <f>D61+D62</f>
        <v>3089932</v>
      </c>
      <c r="E60" s="514">
        <f t="shared" si="5"/>
        <v>1422269</v>
      </c>
    </row>
    <row r="61" spans="1:5" s="506" customFormat="1" ht="12.75">
      <c r="A61" s="512">
        <v>4</v>
      </c>
      <c r="B61" s="511" t="s">
        <v>330</v>
      </c>
      <c r="C61" s="513">
        <v>1618599</v>
      </c>
      <c r="D61" s="515">
        <v>2419393</v>
      </c>
      <c r="E61" s="514">
        <f t="shared" si="5"/>
        <v>800794</v>
      </c>
    </row>
    <row r="62" spans="1:5" s="506" customFormat="1" ht="12.75">
      <c r="A62" s="512">
        <v>5</v>
      </c>
      <c r="B62" s="511" t="s">
        <v>932</v>
      </c>
      <c r="C62" s="513">
        <v>49064</v>
      </c>
      <c r="D62" s="515">
        <v>670539</v>
      </c>
      <c r="E62" s="514">
        <f t="shared" si="5"/>
        <v>621475</v>
      </c>
    </row>
    <row r="63" spans="1:5" s="506" customFormat="1" ht="12.75">
      <c r="A63" s="512">
        <v>6</v>
      </c>
      <c r="B63" s="511" t="s">
        <v>634</v>
      </c>
      <c r="C63" s="513">
        <v>44816</v>
      </c>
      <c r="D63" s="515">
        <v>162577</v>
      </c>
      <c r="E63" s="514">
        <f t="shared" si="5"/>
        <v>117761</v>
      </c>
    </row>
    <row r="64" spans="1:5" s="506" customFormat="1" ht="12.75">
      <c r="A64" s="512">
        <v>7</v>
      </c>
      <c r="B64" s="511" t="s">
        <v>947</v>
      </c>
      <c r="C64" s="513">
        <v>3245647</v>
      </c>
      <c r="D64" s="515">
        <v>3350009</v>
      </c>
      <c r="E64" s="514">
        <f t="shared" si="5"/>
        <v>104362</v>
      </c>
    </row>
    <row r="65" spans="1:5" s="506" customFormat="1" ht="12.75">
      <c r="A65" s="512"/>
      <c r="B65" s="516" t="s">
        <v>980</v>
      </c>
      <c r="C65" s="517">
        <f>SUM(C59+C60+C63)</f>
        <v>26975720</v>
      </c>
      <c r="D65" s="517">
        <f>SUM(D59+D60+D63)</f>
        <v>27178589</v>
      </c>
      <c r="E65" s="517">
        <f t="shared" si="5"/>
        <v>202869</v>
      </c>
    </row>
    <row r="66" spans="1:5" s="506" customFormat="1" ht="12.75">
      <c r="A66" s="512"/>
      <c r="B66" s="516" t="s">
        <v>913</v>
      </c>
      <c r="C66" s="517">
        <f>SUM(C58+C65)</f>
        <v>145472315</v>
      </c>
      <c r="D66" s="517">
        <f>SUM(D58+D65)</f>
        <v>149419602</v>
      </c>
      <c r="E66" s="517">
        <f t="shared" si="5"/>
        <v>3947287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570</v>
      </c>
      <c r="B68" s="521" t="s">
        <v>838</v>
      </c>
      <c r="C68" s="511"/>
      <c r="D68" s="511"/>
      <c r="E68" s="511"/>
    </row>
    <row r="69" spans="1:5" s="506" customFormat="1" ht="12.75">
      <c r="A69" s="512">
        <v>1</v>
      </c>
      <c r="B69" s="511" t="s">
        <v>969</v>
      </c>
      <c r="C69" s="514">
        <f aca="true" t="shared" si="6" ref="C69:D75">C47+C58</f>
        <v>176569569</v>
      </c>
      <c r="D69" s="514">
        <f t="shared" si="6"/>
        <v>183789577</v>
      </c>
      <c r="E69" s="514">
        <f aca="true" t="shared" si="7" ref="E69:E77">D69-C69</f>
        <v>7220008</v>
      </c>
    </row>
    <row r="70" spans="1:5" s="506" customFormat="1" ht="12.75">
      <c r="A70" s="512">
        <v>2</v>
      </c>
      <c r="B70" s="511" t="s">
        <v>970</v>
      </c>
      <c r="C70" s="514">
        <f t="shared" si="6"/>
        <v>74117766</v>
      </c>
      <c r="D70" s="514">
        <f t="shared" si="6"/>
        <v>75089754</v>
      </c>
      <c r="E70" s="514">
        <f t="shared" si="7"/>
        <v>971988</v>
      </c>
    </row>
    <row r="71" spans="1:5" s="506" customFormat="1" ht="12.75">
      <c r="A71" s="512">
        <v>3</v>
      </c>
      <c r="B71" s="511" t="s">
        <v>971</v>
      </c>
      <c r="C71" s="514">
        <f t="shared" si="6"/>
        <v>5758597</v>
      </c>
      <c r="D71" s="514">
        <f t="shared" si="6"/>
        <v>6820989</v>
      </c>
      <c r="E71" s="514">
        <f t="shared" si="7"/>
        <v>1062392</v>
      </c>
    </row>
    <row r="72" spans="1:5" s="506" customFormat="1" ht="12.75">
      <c r="A72" s="512">
        <v>4</v>
      </c>
      <c r="B72" s="511" t="s">
        <v>972</v>
      </c>
      <c r="C72" s="514">
        <f t="shared" si="6"/>
        <v>3112292</v>
      </c>
      <c r="D72" s="514">
        <f t="shared" si="6"/>
        <v>4495846</v>
      </c>
      <c r="E72" s="514">
        <f t="shared" si="7"/>
        <v>1383554</v>
      </c>
    </row>
    <row r="73" spans="1:5" s="506" customFormat="1" ht="12.75">
      <c r="A73" s="512">
        <v>5</v>
      </c>
      <c r="B73" s="511" t="s">
        <v>973</v>
      </c>
      <c r="C73" s="514">
        <f t="shared" si="6"/>
        <v>2646305</v>
      </c>
      <c r="D73" s="514">
        <f t="shared" si="6"/>
        <v>2325143</v>
      </c>
      <c r="E73" s="514">
        <f t="shared" si="7"/>
        <v>-321162</v>
      </c>
    </row>
    <row r="74" spans="1:5" s="506" customFormat="1" ht="12.75">
      <c r="A74" s="512">
        <v>6</v>
      </c>
      <c r="B74" s="511" t="s">
        <v>974</v>
      </c>
      <c r="C74" s="514">
        <f t="shared" si="6"/>
        <v>118046</v>
      </c>
      <c r="D74" s="514">
        <f t="shared" si="6"/>
        <v>226296</v>
      </c>
      <c r="E74" s="514">
        <f t="shared" si="7"/>
        <v>108250</v>
      </c>
    </row>
    <row r="75" spans="1:5" s="506" customFormat="1" ht="12.75">
      <c r="A75" s="512">
        <v>7</v>
      </c>
      <c r="B75" s="511" t="s">
        <v>975</v>
      </c>
      <c r="C75" s="514">
        <f t="shared" si="6"/>
        <v>4605949</v>
      </c>
      <c r="D75" s="514">
        <f t="shared" si="6"/>
        <v>4423064</v>
      </c>
      <c r="E75" s="514">
        <f t="shared" si="7"/>
        <v>-182885</v>
      </c>
    </row>
    <row r="76" spans="1:5" s="506" customFormat="1" ht="12.75">
      <c r="A76" s="512"/>
      <c r="B76" s="516" t="s">
        <v>0</v>
      </c>
      <c r="C76" s="517">
        <f>SUM(C70+C71+C74)</f>
        <v>79994409</v>
      </c>
      <c r="D76" s="517">
        <f>SUM(D70+D71+D74)</f>
        <v>82137039</v>
      </c>
      <c r="E76" s="517">
        <f t="shared" si="7"/>
        <v>2142630</v>
      </c>
    </row>
    <row r="77" spans="1:5" s="506" customFormat="1" ht="12.75">
      <c r="A77" s="512"/>
      <c r="B77" s="516" t="s">
        <v>915</v>
      </c>
      <c r="C77" s="517">
        <f>SUM(C69+C76)</f>
        <v>256563978</v>
      </c>
      <c r="D77" s="517">
        <f>SUM(D69+D76)</f>
        <v>265926616</v>
      </c>
      <c r="E77" s="517">
        <f t="shared" si="7"/>
        <v>9362638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260</v>
      </c>
      <c r="B79" s="501" t="s">
        <v>1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230</v>
      </c>
      <c r="B81" s="522" t="s">
        <v>2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840</v>
      </c>
      <c r="C83" s="523">
        <f aca="true" t="shared" si="8" ref="C83:D89">IF(C$44=0,0,C14/C$44)</f>
        <v>0.19010169059373977</v>
      </c>
      <c r="D83" s="523">
        <f t="shared" si="8"/>
        <v>0.18985097873775564</v>
      </c>
      <c r="E83" s="523">
        <f aca="true" t="shared" si="9" ref="E83:E91">D83-C83</f>
        <v>-0.0002507118559841315</v>
      </c>
    </row>
    <row r="84" spans="1:5" s="506" customFormat="1" ht="12.75">
      <c r="A84" s="512">
        <v>2</v>
      </c>
      <c r="B84" s="511" t="s">
        <v>819</v>
      </c>
      <c r="C84" s="523">
        <f t="shared" si="8"/>
        <v>0.2257669467074118</v>
      </c>
      <c r="D84" s="523">
        <f t="shared" si="8"/>
        <v>0.23072636561018556</v>
      </c>
      <c r="E84" s="523">
        <f t="shared" si="9"/>
        <v>0.004959418902773766</v>
      </c>
    </row>
    <row r="85" spans="1:5" s="506" customFormat="1" ht="12.75">
      <c r="A85" s="512">
        <v>3</v>
      </c>
      <c r="B85" s="511" t="s">
        <v>965</v>
      </c>
      <c r="C85" s="523">
        <f t="shared" si="8"/>
        <v>0.01615471668293067</v>
      </c>
      <c r="D85" s="523">
        <f t="shared" si="8"/>
        <v>0.015952740150562375</v>
      </c>
      <c r="E85" s="523">
        <f t="shared" si="9"/>
        <v>-0.00020197653236829483</v>
      </c>
    </row>
    <row r="86" spans="1:5" s="506" customFormat="1" ht="12.75">
      <c r="A86" s="512">
        <v>4</v>
      </c>
      <c r="B86" s="511" t="s">
        <v>330</v>
      </c>
      <c r="C86" s="523">
        <f t="shared" si="8"/>
        <v>0.0046712490512366995</v>
      </c>
      <c r="D86" s="523">
        <f t="shared" si="8"/>
        <v>0.00719904398103169</v>
      </c>
      <c r="E86" s="523">
        <f t="shared" si="9"/>
        <v>0.002527794929794991</v>
      </c>
    </row>
    <row r="87" spans="1:5" s="506" customFormat="1" ht="12.75">
      <c r="A87" s="512">
        <v>5</v>
      </c>
      <c r="B87" s="511" t="s">
        <v>932</v>
      </c>
      <c r="C87" s="523">
        <f t="shared" si="8"/>
        <v>0.011483467631693969</v>
      </c>
      <c r="D87" s="523">
        <f t="shared" si="8"/>
        <v>0.008753696169530683</v>
      </c>
      <c r="E87" s="523">
        <f t="shared" si="9"/>
        <v>-0.0027297714621632857</v>
      </c>
    </row>
    <row r="88" spans="1:5" s="506" customFormat="1" ht="12.75">
      <c r="A88" s="512">
        <v>6</v>
      </c>
      <c r="B88" s="511" t="s">
        <v>634</v>
      </c>
      <c r="C88" s="523">
        <f t="shared" si="8"/>
        <v>0.00014771235252771935</v>
      </c>
      <c r="D88" s="523">
        <f t="shared" si="8"/>
        <v>0.0003208578798415883</v>
      </c>
      <c r="E88" s="523">
        <f t="shared" si="9"/>
        <v>0.00017314552731386893</v>
      </c>
    </row>
    <row r="89" spans="1:5" s="506" customFormat="1" ht="12.75">
      <c r="A89" s="512">
        <v>7</v>
      </c>
      <c r="B89" s="511" t="s">
        <v>947</v>
      </c>
      <c r="C89" s="523">
        <f t="shared" si="8"/>
        <v>0.012609497332376799</v>
      </c>
      <c r="D89" s="523">
        <f t="shared" si="8"/>
        <v>0.00976507557569892</v>
      </c>
      <c r="E89" s="523">
        <f t="shared" si="9"/>
        <v>-0.002844421756677878</v>
      </c>
    </row>
    <row r="90" spans="1:5" s="506" customFormat="1" ht="12.75">
      <c r="A90" s="512"/>
      <c r="B90" s="516" t="s">
        <v>3</v>
      </c>
      <c r="C90" s="524">
        <f>SUM(C84+C85+C88)</f>
        <v>0.24206937574287019</v>
      </c>
      <c r="D90" s="524">
        <f>SUM(D84+D85+D88)</f>
        <v>0.24699996364058951</v>
      </c>
      <c r="E90" s="525">
        <f t="shared" si="9"/>
        <v>0.00493058789771933</v>
      </c>
    </row>
    <row r="91" spans="1:5" s="506" customFormat="1" ht="12.75">
      <c r="A91" s="512"/>
      <c r="B91" s="516" t="s">
        <v>4</v>
      </c>
      <c r="C91" s="524">
        <f>SUM(C83+C90)</f>
        <v>0.43217106633660995</v>
      </c>
      <c r="D91" s="524">
        <f>SUM(D83+D90)</f>
        <v>0.43685094237834515</v>
      </c>
      <c r="E91" s="525">
        <f t="shared" si="9"/>
        <v>0.004679876041735198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242</v>
      </c>
      <c r="B93" s="522" t="s">
        <v>5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840</v>
      </c>
      <c r="C95" s="523">
        <f aca="true" t="shared" si="10" ref="C95:D101">IF(C$44=0,0,C25/C$44)</f>
        <v>0.3912067219051197</v>
      </c>
      <c r="D95" s="523">
        <f t="shared" si="10"/>
        <v>0.39070976839605</v>
      </c>
      <c r="E95" s="523">
        <f aca="true" t="shared" si="11" ref="E95:E103">D95-C95</f>
        <v>-0.0004969535090696975</v>
      </c>
    </row>
    <row r="96" spans="1:5" s="506" customFormat="1" ht="12.75">
      <c r="A96" s="512">
        <v>2</v>
      </c>
      <c r="B96" s="511" t="s">
        <v>819</v>
      </c>
      <c r="C96" s="523">
        <f t="shared" si="10"/>
        <v>0.1598242687011268</v>
      </c>
      <c r="D96" s="523">
        <f t="shared" si="10"/>
        <v>0.15024686140649957</v>
      </c>
      <c r="E96" s="523">
        <f t="shared" si="11"/>
        <v>-0.009577407294627222</v>
      </c>
    </row>
    <row r="97" spans="1:5" s="506" customFormat="1" ht="12.75">
      <c r="A97" s="512">
        <v>3</v>
      </c>
      <c r="B97" s="511" t="s">
        <v>965</v>
      </c>
      <c r="C97" s="523">
        <f t="shared" si="10"/>
        <v>0.01658495806367675</v>
      </c>
      <c r="D97" s="523">
        <f t="shared" si="10"/>
        <v>0.02173703023955559</v>
      </c>
      <c r="E97" s="523">
        <f t="shared" si="11"/>
        <v>0.00515207217587884</v>
      </c>
    </row>
    <row r="98" spans="1:5" s="506" customFormat="1" ht="12.75">
      <c r="A98" s="512">
        <v>4</v>
      </c>
      <c r="B98" s="511" t="s">
        <v>330</v>
      </c>
      <c r="C98" s="523">
        <f t="shared" si="10"/>
        <v>0.010356039573436572</v>
      </c>
      <c r="D98" s="523">
        <f t="shared" si="10"/>
        <v>0.013282896136867705</v>
      </c>
      <c r="E98" s="523">
        <f t="shared" si="11"/>
        <v>0.0029268565634311336</v>
      </c>
    </row>
    <row r="99" spans="1:5" s="506" customFormat="1" ht="12.75">
      <c r="A99" s="512">
        <v>5</v>
      </c>
      <c r="B99" s="511" t="s">
        <v>932</v>
      </c>
      <c r="C99" s="523">
        <f t="shared" si="10"/>
        <v>0.00622891849024018</v>
      </c>
      <c r="D99" s="523">
        <f t="shared" si="10"/>
        <v>0.008454134102687888</v>
      </c>
      <c r="E99" s="523">
        <f t="shared" si="11"/>
        <v>0.002225215612447708</v>
      </c>
    </row>
    <row r="100" spans="1:5" s="506" customFormat="1" ht="12.75">
      <c r="A100" s="512">
        <v>6</v>
      </c>
      <c r="B100" s="511" t="s">
        <v>634</v>
      </c>
      <c r="C100" s="523">
        <f t="shared" si="10"/>
        <v>0.0002129849934668307</v>
      </c>
      <c r="D100" s="523">
        <f t="shared" si="10"/>
        <v>0.00045539757954968224</v>
      </c>
      <c r="E100" s="523">
        <f t="shared" si="11"/>
        <v>0.00024241258608285153</v>
      </c>
    </row>
    <row r="101" spans="1:5" s="506" customFormat="1" ht="12.75">
      <c r="A101" s="512">
        <v>7</v>
      </c>
      <c r="B101" s="511" t="s">
        <v>947</v>
      </c>
      <c r="C101" s="523">
        <f t="shared" si="10"/>
        <v>0.030055279662078264</v>
      </c>
      <c r="D101" s="523">
        <f t="shared" si="10"/>
        <v>0.03048594018324849</v>
      </c>
      <c r="E101" s="523">
        <f t="shared" si="11"/>
        <v>0.0004306605211702244</v>
      </c>
    </row>
    <row r="102" spans="1:5" s="506" customFormat="1" ht="12.75">
      <c r="A102" s="512"/>
      <c r="B102" s="516" t="s">
        <v>6</v>
      </c>
      <c r="C102" s="524">
        <f>SUM(C96+C97+C100)</f>
        <v>0.17662221175827036</v>
      </c>
      <c r="D102" s="524">
        <f>SUM(D96+D97+D100)</f>
        <v>0.17243928922560484</v>
      </c>
      <c r="E102" s="525">
        <f t="shared" si="11"/>
        <v>-0.004182922532665528</v>
      </c>
    </row>
    <row r="103" spans="1:5" s="506" customFormat="1" ht="12.75">
      <c r="A103" s="512"/>
      <c r="B103" s="516" t="s">
        <v>7</v>
      </c>
      <c r="C103" s="524">
        <f>SUM(C95+C102)</f>
        <v>0.56782893366339</v>
      </c>
      <c r="D103" s="524">
        <f>SUM(D95+D102)</f>
        <v>0.5631490576216548</v>
      </c>
      <c r="E103" s="525">
        <f t="shared" si="11"/>
        <v>-0.004679876041735254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252</v>
      </c>
      <c r="B107" s="522" t="s">
        <v>9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840</v>
      </c>
      <c r="C109" s="523">
        <f aca="true" t="shared" si="12" ref="C109:D115">IF(C$77=0,0,C47/C$77)</f>
        <v>0.2263488992207628</v>
      </c>
      <c r="D109" s="523">
        <f t="shared" si="12"/>
        <v>0.23144943114682437</v>
      </c>
      <c r="E109" s="523">
        <f aca="true" t="shared" si="13" ref="E109:E117">D109-C109</f>
        <v>0.00510053192606158</v>
      </c>
    </row>
    <row r="110" spans="1:5" s="506" customFormat="1" ht="12.75">
      <c r="A110" s="512">
        <v>2</v>
      </c>
      <c r="B110" s="511" t="s">
        <v>819</v>
      </c>
      <c r="C110" s="523">
        <f t="shared" si="12"/>
        <v>0.19041848891195473</v>
      </c>
      <c r="D110" s="523">
        <f t="shared" si="12"/>
        <v>0.1923977177222456</v>
      </c>
      <c r="E110" s="523">
        <f t="shared" si="13"/>
        <v>0.0019792288102908617</v>
      </c>
    </row>
    <row r="111" spans="1:5" s="506" customFormat="1" ht="12.75">
      <c r="A111" s="512">
        <v>3</v>
      </c>
      <c r="B111" s="511" t="s">
        <v>965</v>
      </c>
      <c r="C111" s="523">
        <f t="shared" si="12"/>
        <v>0.01594508329614378</v>
      </c>
      <c r="D111" s="523">
        <f t="shared" si="12"/>
        <v>0.014030400777934918</v>
      </c>
      <c r="E111" s="523">
        <f t="shared" si="13"/>
        <v>-0.0019146825182088604</v>
      </c>
    </row>
    <row r="112" spans="1:5" s="506" customFormat="1" ht="12.75">
      <c r="A112" s="512">
        <v>4</v>
      </c>
      <c r="B112" s="511" t="s">
        <v>330</v>
      </c>
      <c r="C112" s="523">
        <f t="shared" si="12"/>
        <v>0.005821912380856521</v>
      </c>
      <c r="D112" s="523">
        <f t="shared" si="12"/>
        <v>0.007808368456055561</v>
      </c>
      <c r="E112" s="523">
        <f t="shared" si="13"/>
        <v>0.00198645607519904</v>
      </c>
    </row>
    <row r="113" spans="1:5" s="506" customFormat="1" ht="12.75">
      <c r="A113" s="512">
        <v>5</v>
      </c>
      <c r="B113" s="511" t="s">
        <v>932</v>
      </c>
      <c r="C113" s="523">
        <f t="shared" si="12"/>
        <v>0.010123170915287258</v>
      </c>
      <c r="D113" s="523">
        <f t="shared" si="12"/>
        <v>0.006222032321879356</v>
      </c>
      <c r="E113" s="523">
        <f t="shared" si="13"/>
        <v>-0.003901138593407902</v>
      </c>
    </row>
    <row r="114" spans="1:5" s="506" customFormat="1" ht="12.75">
      <c r="A114" s="512">
        <v>6</v>
      </c>
      <c r="B114" s="511" t="s">
        <v>634</v>
      </c>
      <c r="C114" s="523">
        <f t="shared" si="12"/>
        <v>0.000285425883130016</v>
      </c>
      <c r="D114" s="523">
        <f t="shared" si="12"/>
        <v>0.00023961121665234142</v>
      </c>
      <c r="E114" s="523">
        <f t="shared" si="13"/>
        <v>-4.5814666477674595E-05</v>
      </c>
    </row>
    <row r="115" spans="1:5" s="506" customFormat="1" ht="12.75">
      <c r="A115" s="512">
        <v>7</v>
      </c>
      <c r="B115" s="511" t="s">
        <v>947</v>
      </c>
      <c r="C115" s="523">
        <f t="shared" si="12"/>
        <v>0.005301999176205476</v>
      </c>
      <c r="D115" s="523">
        <f t="shared" si="12"/>
        <v>0.004035154570612819</v>
      </c>
      <c r="E115" s="523">
        <f t="shared" si="13"/>
        <v>-0.0012668446055926572</v>
      </c>
    </row>
    <row r="116" spans="1:5" s="506" customFormat="1" ht="12.75">
      <c r="A116" s="512"/>
      <c r="B116" s="516" t="s">
        <v>3</v>
      </c>
      <c r="C116" s="524">
        <f>SUM(C110+C111+C114)</f>
        <v>0.20664899809122853</v>
      </c>
      <c r="D116" s="524">
        <f>SUM(D110+D111+D114)</f>
        <v>0.20666772971683284</v>
      </c>
      <c r="E116" s="525">
        <f t="shared" si="13"/>
        <v>1.8731625604312407E-05</v>
      </c>
    </row>
    <row r="117" spans="1:5" s="506" customFormat="1" ht="12.75">
      <c r="A117" s="512"/>
      <c r="B117" s="516" t="s">
        <v>4</v>
      </c>
      <c r="C117" s="524">
        <f>SUM(C109+C116)</f>
        <v>0.43299789731199134</v>
      </c>
      <c r="D117" s="524">
        <f>SUM(D109+D116)</f>
        <v>0.4381171608636572</v>
      </c>
      <c r="E117" s="525">
        <f t="shared" si="13"/>
        <v>0.005119263551665865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537</v>
      </c>
      <c r="B119" s="522" t="s">
        <v>10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840</v>
      </c>
      <c r="C121" s="523">
        <f aca="true" t="shared" si="14" ref="C121:D127">IF(C$77=0,0,C58/C$77)</f>
        <v>0.4618598289741204</v>
      </c>
      <c r="D121" s="523">
        <f t="shared" si="14"/>
        <v>0.45967949669242586</v>
      </c>
      <c r="E121" s="523">
        <f aca="true" t="shared" si="15" ref="E121:E129">D121-C121</f>
        <v>-0.0021803322816945636</v>
      </c>
    </row>
    <row r="122" spans="1:5" s="506" customFormat="1" ht="12.75">
      <c r="A122" s="512">
        <v>2</v>
      </c>
      <c r="B122" s="511" t="s">
        <v>819</v>
      </c>
      <c r="C122" s="523">
        <f t="shared" si="14"/>
        <v>0.09846760717126081</v>
      </c>
      <c r="D122" s="523">
        <f t="shared" si="14"/>
        <v>0.08997249075662288</v>
      </c>
      <c r="E122" s="523">
        <f t="shared" si="15"/>
        <v>-0.008495116414637932</v>
      </c>
    </row>
    <row r="123" spans="1:5" s="506" customFormat="1" ht="12.75">
      <c r="A123" s="512">
        <v>3</v>
      </c>
      <c r="B123" s="511" t="s">
        <v>965</v>
      </c>
      <c r="C123" s="523">
        <f t="shared" si="14"/>
        <v>0.006499988864375965</v>
      </c>
      <c r="D123" s="523">
        <f t="shared" si="14"/>
        <v>0.011619491296049885</v>
      </c>
      <c r="E123" s="523">
        <f t="shared" si="15"/>
        <v>0.00511950243167392</v>
      </c>
    </row>
    <row r="124" spans="1:5" s="506" customFormat="1" ht="12.75">
      <c r="A124" s="512">
        <v>4</v>
      </c>
      <c r="B124" s="511" t="s">
        <v>330</v>
      </c>
      <c r="C124" s="523">
        <f t="shared" si="14"/>
        <v>0.006308753912445184</v>
      </c>
      <c r="D124" s="523">
        <f t="shared" si="14"/>
        <v>0.009097972351891245</v>
      </c>
      <c r="E124" s="523">
        <f t="shared" si="15"/>
        <v>0.0027892184394460607</v>
      </c>
    </row>
    <row r="125" spans="1:5" s="506" customFormat="1" ht="12.75">
      <c r="A125" s="512">
        <v>5</v>
      </c>
      <c r="B125" s="511" t="s">
        <v>932</v>
      </c>
      <c r="C125" s="523">
        <f t="shared" si="14"/>
        <v>0.00019123495193078117</v>
      </c>
      <c r="D125" s="523">
        <f t="shared" si="14"/>
        <v>0.0025215189441586397</v>
      </c>
      <c r="E125" s="523">
        <f t="shared" si="15"/>
        <v>0.0023302839922278583</v>
      </c>
    </row>
    <row r="126" spans="1:5" s="506" customFormat="1" ht="12.75">
      <c r="A126" s="512">
        <v>6</v>
      </c>
      <c r="B126" s="511" t="s">
        <v>634</v>
      </c>
      <c r="C126" s="523">
        <f t="shared" si="14"/>
        <v>0.00017467767825146523</v>
      </c>
      <c r="D126" s="523">
        <f t="shared" si="14"/>
        <v>0.000611360391244177</v>
      </c>
      <c r="E126" s="523">
        <f t="shared" si="15"/>
        <v>0.0004366827129927117</v>
      </c>
    </row>
    <row r="127" spans="1:5" s="506" customFormat="1" ht="12.75">
      <c r="A127" s="512">
        <v>7</v>
      </c>
      <c r="B127" s="511" t="s">
        <v>947</v>
      </c>
      <c r="C127" s="523">
        <f t="shared" si="14"/>
        <v>0.01265043918207411</v>
      </c>
      <c r="D127" s="523">
        <f t="shared" si="14"/>
        <v>0.012597494189900872</v>
      </c>
      <c r="E127" s="523">
        <f t="shared" si="15"/>
        <v>-5.2944992173238614E-05</v>
      </c>
    </row>
    <row r="128" spans="1:5" s="506" customFormat="1" ht="12.75">
      <c r="A128" s="512"/>
      <c r="B128" s="516" t="s">
        <v>6</v>
      </c>
      <c r="C128" s="524">
        <f>SUM(C122+C123+C126)</f>
        <v>0.10514227371388823</v>
      </c>
      <c r="D128" s="524">
        <f>SUM(D122+D123+D126)</f>
        <v>0.10220334244391695</v>
      </c>
      <c r="E128" s="525">
        <f t="shared" si="15"/>
        <v>-0.002938931269971287</v>
      </c>
    </row>
    <row r="129" spans="1:5" s="506" customFormat="1" ht="12.75">
      <c r="A129" s="512"/>
      <c r="B129" s="516" t="s">
        <v>7</v>
      </c>
      <c r="C129" s="524">
        <f>SUM(C121+C128)</f>
        <v>0.5670021026880087</v>
      </c>
      <c r="D129" s="524">
        <f>SUM(D121+D128)</f>
        <v>0.5618828391363428</v>
      </c>
      <c r="E129" s="525">
        <f t="shared" si="15"/>
        <v>-0.005119263551665809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11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351</v>
      </c>
      <c r="B133" s="501" t="s">
        <v>12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230</v>
      </c>
      <c r="B135" s="509" t="s">
        <v>13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840</v>
      </c>
      <c r="C137" s="530">
        <v>7567</v>
      </c>
      <c r="D137" s="530">
        <v>7298</v>
      </c>
      <c r="E137" s="531">
        <f aca="true" t="shared" si="16" ref="E137:E145">D137-C137</f>
        <v>-269</v>
      </c>
    </row>
    <row r="138" spans="1:5" s="506" customFormat="1" ht="12.75">
      <c r="A138" s="512">
        <v>2</v>
      </c>
      <c r="B138" s="511" t="s">
        <v>819</v>
      </c>
      <c r="C138" s="530">
        <v>4740</v>
      </c>
      <c r="D138" s="530">
        <v>5054</v>
      </c>
      <c r="E138" s="531">
        <f t="shared" si="16"/>
        <v>314</v>
      </c>
    </row>
    <row r="139" spans="1:5" s="506" customFormat="1" ht="12.75">
      <c r="A139" s="512">
        <v>3</v>
      </c>
      <c r="B139" s="511" t="s">
        <v>965</v>
      </c>
      <c r="C139" s="530">
        <f>C140+C141</f>
        <v>422</v>
      </c>
      <c r="D139" s="530">
        <f>D140+D141</f>
        <v>573</v>
      </c>
      <c r="E139" s="531">
        <f t="shared" si="16"/>
        <v>151</v>
      </c>
    </row>
    <row r="140" spans="1:5" s="506" customFormat="1" ht="12.75">
      <c r="A140" s="512">
        <v>4</v>
      </c>
      <c r="B140" s="511" t="s">
        <v>330</v>
      </c>
      <c r="C140" s="530">
        <v>161</v>
      </c>
      <c r="D140" s="530">
        <v>327</v>
      </c>
      <c r="E140" s="531">
        <f t="shared" si="16"/>
        <v>166</v>
      </c>
    </row>
    <row r="141" spans="1:5" s="506" customFormat="1" ht="12.75">
      <c r="A141" s="512">
        <v>5</v>
      </c>
      <c r="B141" s="511" t="s">
        <v>932</v>
      </c>
      <c r="C141" s="530">
        <v>261</v>
      </c>
      <c r="D141" s="530">
        <v>246</v>
      </c>
      <c r="E141" s="531">
        <f t="shared" si="16"/>
        <v>-15</v>
      </c>
    </row>
    <row r="142" spans="1:5" s="506" customFormat="1" ht="12.75">
      <c r="A142" s="512">
        <v>6</v>
      </c>
      <c r="B142" s="511" t="s">
        <v>634</v>
      </c>
      <c r="C142" s="530">
        <v>2</v>
      </c>
      <c r="D142" s="530">
        <v>6</v>
      </c>
      <c r="E142" s="531">
        <f t="shared" si="16"/>
        <v>4</v>
      </c>
    </row>
    <row r="143" spans="1:5" s="506" customFormat="1" ht="12.75">
      <c r="A143" s="512">
        <v>7</v>
      </c>
      <c r="B143" s="511" t="s">
        <v>947</v>
      </c>
      <c r="C143" s="530">
        <v>448</v>
      </c>
      <c r="D143" s="530">
        <v>296</v>
      </c>
      <c r="E143" s="531">
        <f t="shared" si="16"/>
        <v>-152</v>
      </c>
    </row>
    <row r="144" spans="1:5" s="506" customFormat="1" ht="12.75">
      <c r="A144" s="512"/>
      <c r="B144" s="516" t="s">
        <v>14</v>
      </c>
      <c r="C144" s="532">
        <f>SUM(C138+C139+C142)</f>
        <v>5164</v>
      </c>
      <c r="D144" s="532">
        <f>SUM(D138+D139+D142)</f>
        <v>5633</v>
      </c>
      <c r="E144" s="533">
        <f t="shared" si="16"/>
        <v>469</v>
      </c>
    </row>
    <row r="145" spans="1:5" s="506" customFormat="1" ht="12.75">
      <c r="A145" s="512"/>
      <c r="B145" s="516" t="s">
        <v>909</v>
      </c>
      <c r="C145" s="532">
        <f>SUM(C137+C144)</f>
        <v>12731</v>
      </c>
      <c r="D145" s="532">
        <f>SUM(D137+D144)</f>
        <v>12931</v>
      </c>
      <c r="E145" s="533">
        <f t="shared" si="16"/>
        <v>200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242</v>
      </c>
      <c r="B147" s="509" t="s">
        <v>355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840</v>
      </c>
      <c r="C149" s="534">
        <v>24927</v>
      </c>
      <c r="D149" s="534">
        <v>23847</v>
      </c>
      <c r="E149" s="531">
        <f aca="true" t="shared" si="17" ref="E149:E157">D149-C149</f>
        <v>-1080</v>
      </c>
    </row>
    <row r="150" spans="1:5" s="506" customFormat="1" ht="12.75">
      <c r="A150" s="512">
        <v>2</v>
      </c>
      <c r="B150" s="511" t="s">
        <v>819</v>
      </c>
      <c r="C150" s="534">
        <v>24431</v>
      </c>
      <c r="D150" s="534">
        <v>24189</v>
      </c>
      <c r="E150" s="531">
        <f t="shared" si="17"/>
        <v>-242</v>
      </c>
    </row>
    <row r="151" spans="1:5" s="506" customFormat="1" ht="12.75">
      <c r="A151" s="512">
        <v>3</v>
      </c>
      <c r="B151" s="511" t="s">
        <v>965</v>
      </c>
      <c r="C151" s="534">
        <f>C152+C153</f>
        <v>2337</v>
      </c>
      <c r="D151" s="534">
        <f>D152+D153</f>
        <v>2086</v>
      </c>
      <c r="E151" s="531">
        <f t="shared" si="17"/>
        <v>-251</v>
      </c>
    </row>
    <row r="152" spans="1:5" s="506" customFormat="1" ht="12.75">
      <c r="A152" s="512">
        <v>4</v>
      </c>
      <c r="B152" s="511" t="s">
        <v>330</v>
      </c>
      <c r="C152" s="534">
        <v>808</v>
      </c>
      <c r="D152" s="534">
        <v>1099</v>
      </c>
      <c r="E152" s="531">
        <f t="shared" si="17"/>
        <v>291</v>
      </c>
    </row>
    <row r="153" spans="1:5" s="506" customFormat="1" ht="12.75">
      <c r="A153" s="512">
        <v>5</v>
      </c>
      <c r="B153" s="511" t="s">
        <v>932</v>
      </c>
      <c r="C153" s="535">
        <v>1529</v>
      </c>
      <c r="D153" s="534">
        <v>987</v>
      </c>
      <c r="E153" s="531">
        <f t="shared" si="17"/>
        <v>-542</v>
      </c>
    </row>
    <row r="154" spans="1:5" s="506" customFormat="1" ht="12.75">
      <c r="A154" s="512">
        <v>6</v>
      </c>
      <c r="B154" s="511" t="s">
        <v>634</v>
      </c>
      <c r="C154" s="534">
        <v>5</v>
      </c>
      <c r="D154" s="534">
        <v>27</v>
      </c>
      <c r="E154" s="531">
        <f t="shared" si="17"/>
        <v>22</v>
      </c>
    </row>
    <row r="155" spans="1:5" s="506" customFormat="1" ht="12.75">
      <c r="A155" s="512">
        <v>7</v>
      </c>
      <c r="B155" s="511" t="s">
        <v>947</v>
      </c>
      <c r="C155" s="534">
        <v>1495</v>
      </c>
      <c r="D155" s="534">
        <v>1000</v>
      </c>
      <c r="E155" s="531">
        <f t="shared" si="17"/>
        <v>-495</v>
      </c>
    </row>
    <row r="156" spans="1:5" s="506" customFormat="1" ht="12.75">
      <c r="A156" s="512"/>
      <c r="B156" s="516" t="s">
        <v>15</v>
      </c>
      <c r="C156" s="532">
        <f>SUM(C150+C151+C154)</f>
        <v>26773</v>
      </c>
      <c r="D156" s="532">
        <f>SUM(D150+D151+D154)</f>
        <v>26302</v>
      </c>
      <c r="E156" s="533">
        <f t="shared" si="17"/>
        <v>-471</v>
      </c>
    </row>
    <row r="157" spans="1:5" s="506" customFormat="1" ht="12.75">
      <c r="A157" s="512"/>
      <c r="B157" s="516" t="s">
        <v>16</v>
      </c>
      <c r="C157" s="532">
        <f>SUM(C149+C156)</f>
        <v>51700</v>
      </c>
      <c r="D157" s="532">
        <f>SUM(D149+D156)</f>
        <v>50149</v>
      </c>
      <c r="E157" s="533">
        <f t="shared" si="17"/>
        <v>-1551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252</v>
      </c>
      <c r="B159" s="509" t="s">
        <v>17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840</v>
      </c>
      <c r="C161" s="536">
        <f aca="true" t="shared" si="18" ref="C161:D169">IF(C137=0,0,C149/C137)</f>
        <v>3.294172062904718</v>
      </c>
      <c r="D161" s="536">
        <f t="shared" si="18"/>
        <v>3.2676075637160866</v>
      </c>
      <c r="E161" s="537">
        <f aca="true" t="shared" si="19" ref="E161:E169">D161-C161</f>
        <v>-0.026564499188631352</v>
      </c>
    </row>
    <row r="162" spans="1:5" s="506" customFormat="1" ht="12.75">
      <c r="A162" s="512">
        <v>2</v>
      </c>
      <c r="B162" s="511" t="s">
        <v>819</v>
      </c>
      <c r="C162" s="536">
        <f t="shared" si="18"/>
        <v>5.1542194092827005</v>
      </c>
      <c r="D162" s="536">
        <f t="shared" si="18"/>
        <v>4.786110011871784</v>
      </c>
      <c r="E162" s="537">
        <f t="shared" si="19"/>
        <v>-0.3681093974109162</v>
      </c>
    </row>
    <row r="163" spans="1:5" s="506" customFormat="1" ht="12.75">
      <c r="A163" s="512">
        <v>3</v>
      </c>
      <c r="B163" s="511" t="s">
        <v>965</v>
      </c>
      <c r="C163" s="536">
        <f t="shared" si="18"/>
        <v>5.537914691943128</v>
      </c>
      <c r="D163" s="536">
        <f t="shared" si="18"/>
        <v>3.6404886561954624</v>
      </c>
      <c r="E163" s="537">
        <f t="shared" si="19"/>
        <v>-1.897426035747666</v>
      </c>
    </row>
    <row r="164" spans="1:5" s="506" customFormat="1" ht="12.75">
      <c r="A164" s="512">
        <v>4</v>
      </c>
      <c r="B164" s="511" t="s">
        <v>330</v>
      </c>
      <c r="C164" s="536">
        <f t="shared" si="18"/>
        <v>5.0186335403726705</v>
      </c>
      <c r="D164" s="536">
        <f t="shared" si="18"/>
        <v>3.36085626911315</v>
      </c>
      <c r="E164" s="537">
        <f t="shared" si="19"/>
        <v>-1.6577772712595205</v>
      </c>
    </row>
    <row r="165" spans="1:5" s="506" customFormat="1" ht="12.75">
      <c r="A165" s="512">
        <v>5</v>
      </c>
      <c r="B165" s="511" t="s">
        <v>932</v>
      </c>
      <c r="C165" s="536">
        <f t="shared" si="18"/>
        <v>5.85823754789272</v>
      </c>
      <c r="D165" s="536">
        <f t="shared" si="18"/>
        <v>4.012195121951219</v>
      </c>
      <c r="E165" s="537">
        <f t="shared" si="19"/>
        <v>-1.8460424259415014</v>
      </c>
    </row>
    <row r="166" spans="1:5" s="506" customFormat="1" ht="12.75">
      <c r="A166" s="512">
        <v>6</v>
      </c>
      <c r="B166" s="511" t="s">
        <v>634</v>
      </c>
      <c r="C166" s="536">
        <f t="shared" si="18"/>
        <v>2.5</v>
      </c>
      <c r="D166" s="536">
        <f t="shared" si="18"/>
        <v>4.5</v>
      </c>
      <c r="E166" s="537">
        <f t="shared" si="19"/>
        <v>2</v>
      </c>
    </row>
    <row r="167" spans="1:5" s="506" customFormat="1" ht="12.75">
      <c r="A167" s="512">
        <v>7</v>
      </c>
      <c r="B167" s="511" t="s">
        <v>947</v>
      </c>
      <c r="C167" s="536">
        <f t="shared" si="18"/>
        <v>3.3370535714285716</v>
      </c>
      <c r="D167" s="536">
        <f t="shared" si="18"/>
        <v>3.3783783783783785</v>
      </c>
      <c r="E167" s="537">
        <f t="shared" si="19"/>
        <v>0.04132480694980689</v>
      </c>
    </row>
    <row r="168" spans="1:5" s="506" customFormat="1" ht="12.75">
      <c r="A168" s="512"/>
      <c r="B168" s="516" t="s">
        <v>18</v>
      </c>
      <c r="C168" s="538">
        <f t="shared" si="18"/>
        <v>5.184546862896979</v>
      </c>
      <c r="D168" s="538">
        <f t="shared" si="18"/>
        <v>4.669270371027872</v>
      </c>
      <c r="E168" s="539">
        <f t="shared" si="19"/>
        <v>-0.5152764918691073</v>
      </c>
    </row>
    <row r="169" spans="1:5" s="506" customFormat="1" ht="12.75">
      <c r="A169" s="512"/>
      <c r="B169" s="516" t="s">
        <v>933</v>
      </c>
      <c r="C169" s="538">
        <f t="shared" si="18"/>
        <v>4.060953577880763</v>
      </c>
      <c r="D169" s="538">
        <f t="shared" si="18"/>
        <v>3.878199675199134</v>
      </c>
      <c r="E169" s="539">
        <f t="shared" si="19"/>
        <v>-0.1827539026816294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537</v>
      </c>
      <c r="B171" s="509" t="s">
        <v>19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840</v>
      </c>
      <c r="C173" s="541">
        <f aca="true" t="shared" si="20" ref="C173:D181">IF(C137=0,0,C203/C137)</f>
        <v>0.8566</v>
      </c>
      <c r="D173" s="541">
        <f t="shared" si="20"/>
        <v>0.8455</v>
      </c>
      <c r="E173" s="542">
        <f aca="true" t="shared" si="21" ref="E173:E181">D173-C173</f>
        <v>-0.011099999999999999</v>
      </c>
    </row>
    <row r="174" spans="1:5" s="506" customFormat="1" ht="12.75">
      <c r="A174" s="512">
        <v>2</v>
      </c>
      <c r="B174" s="511" t="s">
        <v>819</v>
      </c>
      <c r="C174" s="541">
        <f t="shared" si="20"/>
        <v>1.457</v>
      </c>
      <c r="D174" s="541">
        <f t="shared" si="20"/>
        <v>1.4065</v>
      </c>
      <c r="E174" s="542">
        <f t="shared" si="21"/>
        <v>-0.05049999999999999</v>
      </c>
    </row>
    <row r="175" spans="1:5" s="506" customFormat="1" ht="12.75">
      <c r="A175" s="512">
        <v>0</v>
      </c>
      <c r="B175" s="511" t="s">
        <v>965</v>
      </c>
      <c r="C175" s="541">
        <f t="shared" si="20"/>
        <v>1.1536741706161138</v>
      </c>
      <c r="D175" s="541">
        <f t="shared" si="20"/>
        <v>1.0576534031413611</v>
      </c>
      <c r="E175" s="542">
        <f t="shared" si="21"/>
        <v>-0.09602076747475263</v>
      </c>
    </row>
    <row r="176" spans="1:5" s="506" customFormat="1" ht="12.75">
      <c r="A176" s="512">
        <v>4</v>
      </c>
      <c r="B176" s="511" t="s">
        <v>330</v>
      </c>
      <c r="C176" s="541">
        <f t="shared" si="20"/>
        <v>1.1619</v>
      </c>
      <c r="D176" s="541">
        <f t="shared" si="20"/>
        <v>1.1254</v>
      </c>
      <c r="E176" s="542">
        <f t="shared" si="21"/>
        <v>-0.03649999999999998</v>
      </c>
    </row>
    <row r="177" spans="1:5" s="506" customFormat="1" ht="12.75">
      <c r="A177" s="512">
        <v>5</v>
      </c>
      <c r="B177" s="511" t="s">
        <v>932</v>
      </c>
      <c r="C177" s="541">
        <f t="shared" si="20"/>
        <v>1.1486</v>
      </c>
      <c r="D177" s="541">
        <f t="shared" si="20"/>
        <v>0.9676</v>
      </c>
      <c r="E177" s="542">
        <f t="shared" si="21"/>
        <v>-0.18100000000000005</v>
      </c>
    </row>
    <row r="178" spans="1:5" s="506" customFormat="1" ht="12.75">
      <c r="A178" s="512">
        <v>6</v>
      </c>
      <c r="B178" s="511" t="s">
        <v>634</v>
      </c>
      <c r="C178" s="541">
        <f t="shared" si="20"/>
        <v>0.6886</v>
      </c>
      <c r="D178" s="541">
        <f t="shared" si="20"/>
        <v>1.4673</v>
      </c>
      <c r="E178" s="542">
        <f t="shared" si="21"/>
        <v>0.7787000000000001</v>
      </c>
    </row>
    <row r="179" spans="1:5" s="506" customFormat="1" ht="12.75">
      <c r="A179" s="512">
        <v>7</v>
      </c>
      <c r="B179" s="511" t="s">
        <v>947</v>
      </c>
      <c r="C179" s="541">
        <f t="shared" si="20"/>
        <v>0.9110000000000001</v>
      </c>
      <c r="D179" s="541">
        <f t="shared" si="20"/>
        <v>0.9178</v>
      </c>
      <c r="E179" s="542">
        <f t="shared" si="21"/>
        <v>0.006799999999999806</v>
      </c>
    </row>
    <row r="180" spans="1:5" s="506" customFormat="1" ht="12.75">
      <c r="A180" s="512"/>
      <c r="B180" s="516" t="s">
        <v>20</v>
      </c>
      <c r="C180" s="543">
        <f t="shared" si="20"/>
        <v>1.431914736638265</v>
      </c>
      <c r="D180" s="543">
        <f t="shared" si="20"/>
        <v>1.371079389312977</v>
      </c>
      <c r="E180" s="544">
        <f t="shared" si="21"/>
        <v>-0.06083534732528806</v>
      </c>
    </row>
    <row r="181" spans="1:5" s="506" customFormat="1" ht="12.75">
      <c r="A181" s="512"/>
      <c r="B181" s="516" t="s">
        <v>910</v>
      </c>
      <c r="C181" s="543">
        <f t="shared" si="20"/>
        <v>1.0899615034168566</v>
      </c>
      <c r="D181" s="543">
        <f t="shared" si="20"/>
        <v>1.0744528033408087</v>
      </c>
      <c r="E181" s="544">
        <f t="shared" si="21"/>
        <v>-0.015508700076047877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558</v>
      </c>
      <c r="B183" s="509" t="s">
        <v>21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22</v>
      </c>
      <c r="C185" s="513">
        <v>402395862</v>
      </c>
      <c r="D185" s="513">
        <v>430930871</v>
      </c>
      <c r="E185" s="514">
        <f>D185-C185</f>
        <v>28535009</v>
      </c>
    </row>
    <row r="186" spans="1:5" s="506" customFormat="1" ht="25.5">
      <c r="A186" s="512">
        <v>2</v>
      </c>
      <c r="B186" s="511" t="s">
        <v>23</v>
      </c>
      <c r="C186" s="513">
        <v>169413219</v>
      </c>
      <c r="D186" s="513">
        <v>175546118</v>
      </c>
      <c r="E186" s="514">
        <f>D186-C186</f>
        <v>6132899</v>
      </c>
    </row>
    <row r="187" spans="1:5" s="506" customFormat="1" ht="12.75">
      <c r="A187" s="512"/>
      <c r="B187" s="511" t="s">
        <v>852</v>
      </c>
      <c r="C187" s="510"/>
      <c r="D187" s="510"/>
      <c r="E187" s="511"/>
    </row>
    <row r="188" spans="1:5" s="506" customFormat="1" ht="12.75">
      <c r="A188" s="512">
        <v>3</v>
      </c>
      <c r="B188" s="511" t="s">
        <v>936</v>
      </c>
      <c r="C188" s="546">
        <f>+C185-C186</f>
        <v>232982643</v>
      </c>
      <c r="D188" s="546">
        <f>+D185-D186</f>
        <v>255384753</v>
      </c>
      <c r="E188" s="514">
        <f aca="true" t="shared" si="22" ref="E188:E197">D188-C188</f>
        <v>22402110</v>
      </c>
    </row>
    <row r="189" spans="1:5" s="506" customFormat="1" ht="12.75">
      <c r="A189" s="512">
        <v>4</v>
      </c>
      <c r="B189" s="511" t="s">
        <v>854</v>
      </c>
      <c r="C189" s="547">
        <f>IF(C185=0,0,+C188/C185)</f>
        <v>0.5789886651468598</v>
      </c>
      <c r="D189" s="547">
        <f>IF(D185=0,0,+D188/D185)</f>
        <v>0.5926350841548319</v>
      </c>
      <c r="E189" s="523">
        <f t="shared" si="22"/>
        <v>0.013646419007972144</v>
      </c>
    </row>
    <row r="190" spans="1:5" s="506" customFormat="1" ht="12.75">
      <c r="A190" s="512">
        <v>5</v>
      </c>
      <c r="B190" s="511" t="s">
        <v>951</v>
      </c>
      <c r="C190" s="513">
        <v>14281313</v>
      </c>
      <c r="D190" s="513">
        <v>18106348</v>
      </c>
      <c r="E190" s="546">
        <f t="shared" si="22"/>
        <v>3825035</v>
      </c>
    </row>
    <row r="191" spans="1:5" s="506" customFormat="1" ht="12.75">
      <c r="A191" s="512">
        <v>6</v>
      </c>
      <c r="B191" s="511" t="s">
        <v>937</v>
      </c>
      <c r="C191" s="513">
        <v>9379232</v>
      </c>
      <c r="D191" s="513">
        <v>12034412</v>
      </c>
      <c r="E191" s="546">
        <f t="shared" si="22"/>
        <v>2655180</v>
      </c>
    </row>
    <row r="192" spans="1:5" ht="29.25">
      <c r="A192" s="512">
        <v>7</v>
      </c>
      <c r="B192" s="548" t="s">
        <v>24</v>
      </c>
      <c r="C192" s="513">
        <v>1146921</v>
      </c>
      <c r="D192" s="513">
        <v>1086769</v>
      </c>
      <c r="E192" s="546">
        <f t="shared" si="22"/>
        <v>-60152</v>
      </c>
    </row>
    <row r="193" spans="1:5" s="506" customFormat="1" ht="12.75">
      <c r="A193" s="512">
        <v>8</v>
      </c>
      <c r="B193" s="511" t="s">
        <v>25</v>
      </c>
      <c r="C193" s="513">
        <v>18262127</v>
      </c>
      <c r="D193" s="513">
        <v>21129180</v>
      </c>
      <c r="E193" s="546">
        <f t="shared" si="22"/>
        <v>2867053</v>
      </c>
    </row>
    <row r="194" spans="1:5" s="506" customFormat="1" ht="12.75">
      <c r="A194" s="512">
        <v>9</v>
      </c>
      <c r="B194" s="511" t="s">
        <v>26</v>
      </c>
      <c r="C194" s="513">
        <v>10117227</v>
      </c>
      <c r="D194" s="513">
        <v>7851327</v>
      </c>
      <c r="E194" s="546">
        <f t="shared" si="22"/>
        <v>-2265900</v>
      </c>
    </row>
    <row r="195" spans="1:5" s="506" customFormat="1" ht="12.75">
      <c r="A195" s="512">
        <v>10</v>
      </c>
      <c r="B195" s="511" t="s">
        <v>27</v>
      </c>
      <c r="C195" s="513">
        <f>+C193+C194</f>
        <v>28379354</v>
      </c>
      <c r="D195" s="513">
        <f>+D193+D194</f>
        <v>28980507</v>
      </c>
      <c r="E195" s="549">
        <f t="shared" si="22"/>
        <v>601153</v>
      </c>
    </row>
    <row r="196" spans="1:5" s="506" customFormat="1" ht="12.75">
      <c r="A196" s="512">
        <v>11</v>
      </c>
      <c r="B196" s="511" t="s">
        <v>28</v>
      </c>
      <c r="C196" s="513">
        <v>402395862</v>
      </c>
      <c r="D196" s="513">
        <v>430930871</v>
      </c>
      <c r="E196" s="546">
        <f t="shared" si="22"/>
        <v>28535009</v>
      </c>
    </row>
    <row r="197" spans="1:5" s="506" customFormat="1" ht="12.75">
      <c r="A197" s="512">
        <v>12</v>
      </c>
      <c r="B197" s="511" t="s">
        <v>894</v>
      </c>
      <c r="C197" s="513">
        <v>268866398</v>
      </c>
      <c r="D197" s="513">
        <v>283532000</v>
      </c>
      <c r="E197" s="546">
        <f t="shared" si="22"/>
        <v>14665602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360</v>
      </c>
      <c r="B199" s="550" t="s">
        <v>29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230</v>
      </c>
      <c r="B201" s="509" t="s">
        <v>30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840</v>
      </c>
      <c r="C203" s="553">
        <v>6481.8922</v>
      </c>
      <c r="D203" s="553">
        <v>6170.459</v>
      </c>
      <c r="E203" s="554">
        <f aca="true" t="shared" si="23" ref="E203:E211">D203-C203</f>
        <v>-311.4332000000004</v>
      </c>
    </row>
    <row r="204" spans="1:5" s="506" customFormat="1" ht="12.75">
      <c r="A204" s="512">
        <v>2</v>
      </c>
      <c r="B204" s="511" t="s">
        <v>819</v>
      </c>
      <c r="C204" s="553">
        <v>6906.18</v>
      </c>
      <c r="D204" s="553">
        <v>7108.451</v>
      </c>
      <c r="E204" s="554">
        <f t="shared" si="23"/>
        <v>202.27099999999973</v>
      </c>
    </row>
    <row r="205" spans="1:5" s="506" customFormat="1" ht="12.75">
      <c r="A205" s="512">
        <v>3</v>
      </c>
      <c r="B205" s="511" t="s">
        <v>965</v>
      </c>
      <c r="C205" s="553">
        <f>C206+C207</f>
        <v>486.8505</v>
      </c>
      <c r="D205" s="553">
        <f>D206+D207</f>
        <v>606.0354</v>
      </c>
      <c r="E205" s="554">
        <f t="shared" si="23"/>
        <v>119.18489999999997</v>
      </c>
    </row>
    <row r="206" spans="1:5" s="506" customFormat="1" ht="12.75">
      <c r="A206" s="512">
        <v>4</v>
      </c>
      <c r="B206" s="511" t="s">
        <v>330</v>
      </c>
      <c r="C206" s="553">
        <v>187.0659</v>
      </c>
      <c r="D206" s="553">
        <v>368.00579999999997</v>
      </c>
      <c r="E206" s="554">
        <f t="shared" si="23"/>
        <v>180.93989999999997</v>
      </c>
    </row>
    <row r="207" spans="1:5" s="506" customFormat="1" ht="12.75">
      <c r="A207" s="512">
        <v>5</v>
      </c>
      <c r="B207" s="511" t="s">
        <v>932</v>
      </c>
      <c r="C207" s="553">
        <v>299.7846</v>
      </c>
      <c r="D207" s="553">
        <v>238.02960000000002</v>
      </c>
      <c r="E207" s="554">
        <f t="shared" si="23"/>
        <v>-61.754999999999995</v>
      </c>
    </row>
    <row r="208" spans="1:5" s="506" customFormat="1" ht="12.75">
      <c r="A208" s="512">
        <v>6</v>
      </c>
      <c r="B208" s="511" t="s">
        <v>634</v>
      </c>
      <c r="C208" s="553">
        <v>1.3772</v>
      </c>
      <c r="D208" s="553">
        <v>8.8038</v>
      </c>
      <c r="E208" s="554">
        <f t="shared" si="23"/>
        <v>7.4266000000000005</v>
      </c>
    </row>
    <row r="209" spans="1:5" s="506" customFormat="1" ht="12.75">
      <c r="A209" s="512">
        <v>7</v>
      </c>
      <c r="B209" s="511" t="s">
        <v>947</v>
      </c>
      <c r="C209" s="553">
        <v>408.12800000000004</v>
      </c>
      <c r="D209" s="553">
        <v>271.6688</v>
      </c>
      <c r="E209" s="554">
        <f t="shared" si="23"/>
        <v>-136.45920000000007</v>
      </c>
    </row>
    <row r="210" spans="1:5" s="506" customFormat="1" ht="12.75">
      <c r="A210" s="512"/>
      <c r="B210" s="516" t="s">
        <v>31</v>
      </c>
      <c r="C210" s="555">
        <f>C204+C205+C208</f>
        <v>7394.407700000001</v>
      </c>
      <c r="D210" s="555">
        <f>D204+D205+D208</f>
        <v>7723.2901999999995</v>
      </c>
      <c r="E210" s="556">
        <f t="shared" si="23"/>
        <v>328.8824999999988</v>
      </c>
    </row>
    <row r="211" spans="1:5" s="506" customFormat="1" ht="12.75">
      <c r="A211" s="512"/>
      <c r="B211" s="516" t="s">
        <v>911</v>
      </c>
      <c r="C211" s="555">
        <f>C210+C203</f>
        <v>13876.299900000002</v>
      </c>
      <c r="D211" s="555">
        <f>D210+D203</f>
        <v>13893.749199999998</v>
      </c>
      <c r="E211" s="556">
        <f t="shared" si="23"/>
        <v>17.449299999996583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242</v>
      </c>
      <c r="B213" s="509" t="s">
        <v>32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840</v>
      </c>
      <c r="C215" s="557">
        <f>IF(C14*C137=0,0,C25/C14*C137)</f>
        <v>15571.988104947051</v>
      </c>
      <c r="D215" s="557">
        <f>IF(D14*D137=0,0,D25/D14*D137)</f>
        <v>15019.147695272404</v>
      </c>
      <c r="E215" s="557">
        <f aca="true" t="shared" si="24" ref="E215:E223">D215-C215</f>
        <v>-552.8404096746472</v>
      </c>
    </row>
    <row r="216" spans="1:5" s="506" customFormat="1" ht="12.75">
      <c r="A216" s="512">
        <v>2</v>
      </c>
      <c r="B216" s="511" t="s">
        <v>819</v>
      </c>
      <c r="C216" s="557">
        <f>IF(C15*C138=0,0,C26/C15*C138)</f>
        <v>3355.5267708214546</v>
      </c>
      <c r="D216" s="557">
        <f>IF(D15*D138=0,0,D26/D15*D138)</f>
        <v>3291.1177512819404</v>
      </c>
      <c r="E216" s="557">
        <f t="shared" si="24"/>
        <v>-64.40901953951425</v>
      </c>
    </row>
    <row r="217" spans="1:5" s="506" customFormat="1" ht="12.75">
      <c r="A217" s="512">
        <v>3</v>
      </c>
      <c r="B217" s="511" t="s">
        <v>965</v>
      </c>
      <c r="C217" s="557">
        <f>C218+C219</f>
        <v>498.50577104684686</v>
      </c>
      <c r="D217" s="557">
        <f>D218+D219</f>
        <v>840.926561177323</v>
      </c>
      <c r="E217" s="557">
        <f t="shared" si="24"/>
        <v>342.4207901304762</v>
      </c>
    </row>
    <row r="218" spans="1:5" s="506" customFormat="1" ht="12.75">
      <c r="A218" s="512">
        <v>4</v>
      </c>
      <c r="B218" s="511" t="s">
        <v>330</v>
      </c>
      <c r="C218" s="557">
        <f aca="true" t="shared" si="25" ref="C218:D221">IF(C17*C140=0,0,C28/C17*C140)</f>
        <v>356.9328787729417</v>
      </c>
      <c r="D218" s="557">
        <f t="shared" si="25"/>
        <v>603.3449786110731</v>
      </c>
      <c r="E218" s="557">
        <f t="shared" si="24"/>
        <v>246.41209983813138</v>
      </c>
    </row>
    <row r="219" spans="1:5" s="506" customFormat="1" ht="12.75">
      <c r="A219" s="512">
        <v>5</v>
      </c>
      <c r="B219" s="511" t="s">
        <v>932</v>
      </c>
      <c r="C219" s="557">
        <f t="shared" si="25"/>
        <v>141.57289227390515</v>
      </c>
      <c r="D219" s="557">
        <f t="shared" si="25"/>
        <v>237.58158256624998</v>
      </c>
      <c r="E219" s="557">
        <f t="shared" si="24"/>
        <v>96.00869029234482</v>
      </c>
    </row>
    <row r="220" spans="1:5" s="506" customFormat="1" ht="12.75">
      <c r="A220" s="512">
        <v>6</v>
      </c>
      <c r="B220" s="511" t="s">
        <v>634</v>
      </c>
      <c r="C220" s="557">
        <f t="shared" si="25"/>
        <v>2.8837803991627915</v>
      </c>
      <c r="D220" s="557">
        <f t="shared" si="25"/>
        <v>8.51587462538588</v>
      </c>
      <c r="E220" s="557">
        <f t="shared" si="24"/>
        <v>5.632094226223089</v>
      </c>
    </row>
    <row r="221" spans="1:5" s="506" customFormat="1" ht="12.75">
      <c r="A221" s="512">
        <v>7</v>
      </c>
      <c r="B221" s="511" t="s">
        <v>947</v>
      </c>
      <c r="C221" s="557">
        <f t="shared" si="25"/>
        <v>1067.8272839662081</v>
      </c>
      <c r="D221" s="557">
        <f t="shared" si="25"/>
        <v>924.09303177315</v>
      </c>
      <c r="E221" s="557">
        <f t="shared" si="24"/>
        <v>-143.73425219305818</v>
      </c>
    </row>
    <row r="222" spans="1:5" s="506" customFormat="1" ht="12.75">
      <c r="A222" s="512"/>
      <c r="B222" s="516" t="s">
        <v>33</v>
      </c>
      <c r="C222" s="558">
        <f>C216+C218+C219+C220</f>
        <v>3856.9163222674642</v>
      </c>
      <c r="D222" s="558">
        <f>D216+D218+D219+D220</f>
        <v>4140.560187084649</v>
      </c>
      <c r="E222" s="558">
        <f t="shared" si="24"/>
        <v>283.6438648171852</v>
      </c>
    </row>
    <row r="223" spans="1:5" s="506" customFormat="1" ht="12.75">
      <c r="A223" s="512"/>
      <c r="B223" s="516" t="s">
        <v>34</v>
      </c>
      <c r="C223" s="558">
        <f>C215+C222</f>
        <v>19428.904427214515</v>
      </c>
      <c r="D223" s="558">
        <f>D215+D222</f>
        <v>19159.707882357055</v>
      </c>
      <c r="E223" s="558">
        <f t="shared" si="24"/>
        <v>-269.19654485745923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252</v>
      </c>
      <c r="B225" s="509" t="s">
        <v>35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840</v>
      </c>
      <c r="C227" s="560">
        <f aca="true" t="shared" si="26" ref="C227:D235">IF(C203=0,0,C47/C203)</f>
        <v>8959.262543736842</v>
      </c>
      <c r="D227" s="560">
        <f t="shared" si="26"/>
        <v>9974.71403667053</v>
      </c>
      <c r="E227" s="560">
        <f aca="true" t="shared" si="27" ref="E227:E235">D227-C227</f>
        <v>1015.4514929336874</v>
      </c>
    </row>
    <row r="228" spans="1:5" s="506" customFormat="1" ht="12.75">
      <c r="A228" s="512">
        <v>2</v>
      </c>
      <c r="B228" s="511" t="s">
        <v>819</v>
      </c>
      <c r="C228" s="560">
        <f t="shared" si="26"/>
        <v>7074.030071617015</v>
      </c>
      <c r="D228" s="560">
        <f t="shared" si="26"/>
        <v>7197.584115020277</v>
      </c>
      <c r="E228" s="560">
        <f t="shared" si="27"/>
        <v>123.55404340326186</v>
      </c>
    </row>
    <row r="229" spans="1:5" s="506" customFormat="1" ht="12.75">
      <c r="A229" s="512">
        <v>3</v>
      </c>
      <c r="B229" s="511" t="s">
        <v>965</v>
      </c>
      <c r="C229" s="560">
        <f t="shared" si="26"/>
        <v>8402.854675100467</v>
      </c>
      <c r="D229" s="560">
        <f t="shared" si="26"/>
        <v>6156.500098839111</v>
      </c>
      <c r="E229" s="560">
        <f t="shared" si="27"/>
        <v>-2246.3545762613558</v>
      </c>
    </row>
    <row r="230" spans="1:5" s="506" customFormat="1" ht="12.75">
      <c r="A230" s="512">
        <v>4</v>
      </c>
      <c r="B230" s="511" t="s">
        <v>330</v>
      </c>
      <c r="C230" s="560">
        <f t="shared" si="26"/>
        <v>7984.849189510221</v>
      </c>
      <c r="D230" s="560">
        <f t="shared" si="26"/>
        <v>5642.446396225278</v>
      </c>
      <c r="E230" s="560">
        <f t="shared" si="27"/>
        <v>-2342.402793284943</v>
      </c>
    </row>
    <row r="231" spans="1:5" s="506" customFormat="1" ht="12.75">
      <c r="A231" s="512">
        <v>5</v>
      </c>
      <c r="B231" s="511" t="s">
        <v>932</v>
      </c>
      <c r="C231" s="560">
        <f t="shared" si="26"/>
        <v>8663.690529800397</v>
      </c>
      <c r="D231" s="560">
        <f t="shared" si="26"/>
        <v>6951.253121460524</v>
      </c>
      <c r="E231" s="560">
        <f t="shared" si="27"/>
        <v>-1712.4374083398725</v>
      </c>
    </row>
    <row r="232" spans="1:5" s="506" customFormat="1" ht="12.75">
      <c r="A232" s="512">
        <v>6</v>
      </c>
      <c r="B232" s="511" t="s">
        <v>634</v>
      </c>
      <c r="C232" s="560">
        <f t="shared" si="26"/>
        <v>53173.10485042114</v>
      </c>
      <c r="D232" s="560">
        <f t="shared" si="26"/>
        <v>7237.670097003566</v>
      </c>
      <c r="E232" s="560">
        <f t="shared" si="27"/>
        <v>-45935.434753417576</v>
      </c>
    </row>
    <row r="233" spans="1:5" s="506" customFormat="1" ht="12.75">
      <c r="A233" s="512">
        <v>7</v>
      </c>
      <c r="B233" s="511" t="s">
        <v>947</v>
      </c>
      <c r="C233" s="560">
        <f t="shared" si="26"/>
        <v>3333.0278736082796</v>
      </c>
      <c r="D233" s="560">
        <f t="shared" si="26"/>
        <v>3949.864688179136</v>
      </c>
      <c r="E233" s="560">
        <f t="shared" si="27"/>
        <v>616.8368145708564</v>
      </c>
    </row>
    <row r="234" spans="1:5" ht="12.75">
      <c r="A234" s="512"/>
      <c r="B234" s="516" t="s">
        <v>36</v>
      </c>
      <c r="C234" s="561">
        <f t="shared" si="26"/>
        <v>7170.106268281636</v>
      </c>
      <c r="D234" s="561">
        <f t="shared" si="26"/>
        <v>7115.937453703345</v>
      </c>
      <c r="E234" s="561">
        <f t="shared" si="27"/>
        <v>-54.16881457829095</v>
      </c>
    </row>
    <row r="235" spans="1:5" s="506" customFormat="1" ht="12.75">
      <c r="A235" s="512"/>
      <c r="B235" s="516" t="s">
        <v>37</v>
      </c>
      <c r="C235" s="561">
        <f t="shared" si="26"/>
        <v>8005.856301794111</v>
      </c>
      <c r="D235" s="561">
        <f t="shared" si="26"/>
        <v>8385.570541319403</v>
      </c>
      <c r="E235" s="561">
        <f t="shared" si="27"/>
        <v>379.7142395252922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537</v>
      </c>
      <c r="B237" s="509" t="s">
        <v>38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840</v>
      </c>
      <c r="C239" s="560">
        <f aca="true" t="shared" si="28" ref="C239:D247">IF(C215=0,0,C58/C215)</f>
        <v>7609.599635023797</v>
      </c>
      <c r="D239" s="560">
        <f t="shared" si="28"/>
        <v>8139.011312770961</v>
      </c>
      <c r="E239" s="562">
        <f aca="true" t="shared" si="29" ref="E239:E247">D239-C239</f>
        <v>529.4116777471636</v>
      </c>
    </row>
    <row r="240" spans="1:5" s="506" customFormat="1" ht="12.75">
      <c r="A240" s="512">
        <v>2</v>
      </c>
      <c r="B240" s="511" t="s">
        <v>819</v>
      </c>
      <c r="C240" s="560">
        <f t="shared" si="28"/>
        <v>7528.84501464293</v>
      </c>
      <c r="D240" s="560">
        <f t="shared" si="28"/>
        <v>7269.894852799001</v>
      </c>
      <c r="E240" s="562">
        <f t="shared" si="29"/>
        <v>-258.9501618439299</v>
      </c>
    </row>
    <row r="241" spans="1:5" ht="12.75">
      <c r="A241" s="512">
        <v>3</v>
      </c>
      <c r="B241" s="511" t="s">
        <v>965</v>
      </c>
      <c r="C241" s="560">
        <f t="shared" si="28"/>
        <v>3345.3233580384813</v>
      </c>
      <c r="D241" s="560">
        <f t="shared" si="28"/>
        <v>3674.4373916243057</v>
      </c>
      <c r="E241" s="562">
        <f t="shared" si="29"/>
        <v>329.1140335858245</v>
      </c>
    </row>
    <row r="242" spans="1:5" ht="12.75">
      <c r="A242" s="512">
        <v>4</v>
      </c>
      <c r="B242" s="511" t="s">
        <v>330</v>
      </c>
      <c r="C242" s="560">
        <f t="shared" si="28"/>
        <v>4534.743354449146</v>
      </c>
      <c r="D242" s="560">
        <f t="shared" si="28"/>
        <v>4009.966247783399</v>
      </c>
      <c r="E242" s="562">
        <f t="shared" si="29"/>
        <v>-524.7771066657469</v>
      </c>
    </row>
    <row r="243" spans="1:5" ht="12.75">
      <c r="A243" s="512">
        <v>5</v>
      </c>
      <c r="B243" s="511" t="s">
        <v>932</v>
      </c>
      <c r="C243" s="560">
        <f t="shared" si="28"/>
        <v>346.56352082625017</v>
      </c>
      <c r="D243" s="560">
        <f t="shared" si="28"/>
        <v>2822.352611499333</v>
      </c>
      <c r="E243" s="562">
        <f t="shared" si="29"/>
        <v>2475.7890906730827</v>
      </c>
    </row>
    <row r="244" spans="1:5" ht="12.75">
      <c r="A244" s="512">
        <v>6</v>
      </c>
      <c r="B244" s="511" t="s">
        <v>634</v>
      </c>
      <c r="C244" s="560">
        <f t="shared" si="28"/>
        <v>15540.71177299451</v>
      </c>
      <c r="D244" s="560">
        <f t="shared" si="28"/>
        <v>19091.051377782955</v>
      </c>
      <c r="E244" s="562">
        <f t="shared" si="29"/>
        <v>3550.3396047884453</v>
      </c>
    </row>
    <row r="245" spans="1:5" ht="12.75">
      <c r="A245" s="512">
        <v>7</v>
      </c>
      <c r="B245" s="511" t="s">
        <v>947</v>
      </c>
      <c r="C245" s="560">
        <f t="shared" si="28"/>
        <v>3039.486861531354</v>
      </c>
      <c r="D245" s="560">
        <f t="shared" si="28"/>
        <v>3625.185868539666</v>
      </c>
      <c r="E245" s="562">
        <f t="shared" si="29"/>
        <v>585.699007008312</v>
      </c>
    </row>
    <row r="246" spans="1:5" ht="25.5">
      <c r="A246" s="512"/>
      <c r="B246" s="516" t="s">
        <v>39</v>
      </c>
      <c r="C246" s="561">
        <f t="shared" si="28"/>
        <v>6994.115958455924</v>
      </c>
      <c r="D246" s="561">
        <f t="shared" si="28"/>
        <v>6563.988390937104</v>
      </c>
      <c r="E246" s="563">
        <f t="shared" si="29"/>
        <v>-430.1275675188199</v>
      </c>
    </row>
    <row r="247" spans="1:5" ht="12.75">
      <c r="A247" s="512"/>
      <c r="B247" s="516" t="s">
        <v>40</v>
      </c>
      <c r="C247" s="561">
        <f t="shared" si="28"/>
        <v>7487.417293392703</v>
      </c>
      <c r="D247" s="561">
        <f t="shared" si="28"/>
        <v>7798.636749446004</v>
      </c>
      <c r="E247" s="563">
        <f t="shared" si="29"/>
        <v>311.21945605330075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949</v>
      </c>
      <c r="B249" s="550" t="s">
        <v>946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330</v>
      </c>
      <c r="C251" s="546">
        <f>((IF((IF(C15=0,0,C26/C15)*C138)=0,0,C59/(IF(C15=0,0,C26/C15)*C138)))-(IF((IF(C17=0,0,C28/C17)*C140)=0,0,C61/(IF(C17=0,0,C28/C17)*C140))))*(IF(C17=0,0,C28/C17)*C140)</f>
        <v>1068693.3249118116</v>
      </c>
      <c r="D251" s="546">
        <f>((IF((IF(D15=0,0,D26/D15)*D138)=0,0,D59/(IF(D15=0,0,D26/D15)*D138)))-(IF((IF(D17=0,0,D28/D17)*D140)=0,0,D61/(IF(D17=0,0,D28/D17)*D140))))*(IF(D17=0,0,D28/D17)*D140)</f>
        <v>1966861.5544667635</v>
      </c>
      <c r="E251" s="546">
        <f>D251-C251</f>
        <v>898168.2295549519</v>
      </c>
    </row>
    <row r="252" spans="1:5" ht="12.75">
      <c r="A252" s="512">
        <v>2</v>
      </c>
      <c r="B252" s="511" t="s">
        <v>932</v>
      </c>
      <c r="C252" s="546">
        <f>IF(C231=0,0,(C228-C231)*C207)+IF(C243=0,0,(C240-C243)*C219)</f>
        <v>540260.6396126496</v>
      </c>
      <c r="D252" s="546">
        <f>IF(D231=0,0,(D228-D231)*D207)+IF(D243=0,0,(D240-D243)*D219)</f>
        <v>1115288.1920828521</v>
      </c>
      <c r="E252" s="546">
        <f>D252-C252</f>
        <v>575027.5524702026</v>
      </c>
    </row>
    <row r="253" spans="1:5" ht="12.75">
      <c r="A253" s="512">
        <v>3</v>
      </c>
      <c r="B253" s="511" t="s">
        <v>947</v>
      </c>
      <c r="C253" s="546">
        <f>IF(C233=0,0,(C228-C233)*C209+IF(C221=0,0,(C240-C245)*C221))</f>
        <v>6320666.868457596</v>
      </c>
      <c r="D253" s="546">
        <f>IF(D233=0,0,(D228-D233)*D209+IF(D221=0,0,(D240-D245)*D221))</f>
        <v>4250354.214621667</v>
      </c>
      <c r="E253" s="546">
        <f>D253-C253</f>
        <v>-2070312.653835929</v>
      </c>
    </row>
    <row r="254" spans="1:5" ht="15" customHeight="1">
      <c r="A254" s="512"/>
      <c r="B254" s="516" t="s">
        <v>948</v>
      </c>
      <c r="C254" s="564">
        <f>+C251+C252+C253</f>
        <v>7929620.832982057</v>
      </c>
      <c r="D254" s="564">
        <f>+D251+D252+D253</f>
        <v>7332503.961171282</v>
      </c>
      <c r="E254" s="564">
        <f>D254-C254</f>
        <v>-597116.8718107743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41</v>
      </c>
      <c r="B256" s="550" t="s">
        <v>42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914</v>
      </c>
      <c r="C258" s="546">
        <f>+C44</f>
        <v>773049769</v>
      </c>
      <c r="D258" s="549">
        <f>+D44</f>
        <v>829881442</v>
      </c>
      <c r="E258" s="546">
        <f aca="true" t="shared" si="30" ref="E258:E271">D258-C258</f>
        <v>56831673</v>
      </c>
    </row>
    <row r="259" spans="1:5" ht="12.75">
      <c r="A259" s="512">
        <v>2</v>
      </c>
      <c r="B259" s="511" t="s">
        <v>931</v>
      </c>
      <c r="C259" s="546">
        <f>+(C43-C76)</f>
        <v>243675026</v>
      </c>
      <c r="D259" s="549">
        <f>+(D43-D76)</f>
        <v>265947813</v>
      </c>
      <c r="E259" s="546">
        <f t="shared" si="30"/>
        <v>22272787</v>
      </c>
    </row>
    <row r="260" spans="1:5" ht="12.75">
      <c r="A260" s="512">
        <v>3</v>
      </c>
      <c r="B260" s="511" t="s">
        <v>935</v>
      </c>
      <c r="C260" s="546">
        <f>C195</f>
        <v>28379354</v>
      </c>
      <c r="D260" s="546">
        <f>D195</f>
        <v>28980507</v>
      </c>
      <c r="E260" s="546">
        <f t="shared" si="30"/>
        <v>601153</v>
      </c>
    </row>
    <row r="261" spans="1:5" ht="12.75">
      <c r="A261" s="512">
        <v>4</v>
      </c>
      <c r="B261" s="511" t="s">
        <v>936</v>
      </c>
      <c r="C261" s="546">
        <f>C188</f>
        <v>232982643</v>
      </c>
      <c r="D261" s="546">
        <f>D188</f>
        <v>255384753</v>
      </c>
      <c r="E261" s="546">
        <f t="shared" si="30"/>
        <v>22402110</v>
      </c>
    </row>
    <row r="262" spans="1:5" ht="12.75">
      <c r="A262" s="512">
        <v>5</v>
      </c>
      <c r="B262" s="511" t="s">
        <v>937</v>
      </c>
      <c r="C262" s="546">
        <f>C191</f>
        <v>9379232</v>
      </c>
      <c r="D262" s="546">
        <f>D191</f>
        <v>12034412</v>
      </c>
      <c r="E262" s="546">
        <f t="shared" si="30"/>
        <v>2655180</v>
      </c>
    </row>
    <row r="263" spans="1:5" ht="12.75">
      <c r="A263" s="512">
        <v>6</v>
      </c>
      <c r="B263" s="511" t="s">
        <v>938</v>
      </c>
      <c r="C263" s="546">
        <f>+C259+C260+C261+C262</f>
        <v>514416255</v>
      </c>
      <c r="D263" s="546">
        <f>+D259+D260+D261+D262</f>
        <v>562347485</v>
      </c>
      <c r="E263" s="546">
        <f t="shared" si="30"/>
        <v>47931230</v>
      </c>
    </row>
    <row r="264" spans="1:5" ht="12.75">
      <c r="A264" s="512">
        <v>7</v>
      </c>
      <c r="B264" s="511" t="s">
        <v>838</v>
      </c>
      <c r="C264" s="546">
        <f>+C258-C263</f>
        <v>258633514</v>
      </c>
      <c r="D264" s="546">
        <f>+D258-D263</f>
        <v>267533957</v>
      </c>
      <c r="E264" s="546">
        <f t="shared" si="30"/>
        <v>8900443</v>
      </c>
    </row>
    <row r="265" spans="1:5" ht="12.75">
      <c r="A265" s="512">
        <v>8</v>
      </c>
      <c r="B265" s="511" t="s">
        <v>43</v>
      </c>
      <c r="C265" s="565">
        <f>C192</f>
        <v>1146921</v>
      </c>
      <c r="D265" s="565">
        <f>D192</f>
        <v>1086769</v>
      </c>
      <c r="E265" s="546">
        <f t="shared" si="30"/>
        <v>-60152</v>
      </c>
    </row>
    <row r="266" spans="1:5" ht="12.75">
      <c r="A266" s="512">
        <v>9</v>
      </c>
      <c r="B266" s="511" t="s">
        <v>44</v>
      </c>
      <c r="C266" s="546">
        <f>+C264+C265</f>
        <v>259780435</v>
      </c>
      <c r="D266" s="546">
        <f>+D264+D265</f>
        <v>268620726</v>
      </c>
      <c r="E266" s="565">
        <f t="shared" si="30"/>
        <v>8840291</v>
      </c>
    </row>
    <row r="267" spans="1:5" ht="12.75">
      <c r="A267" s="512">
        <v>10</v>
      </c>
      <c r="B267" s="511" t="s">
        <v>45</v>
      </c>
      <c r="C267" s="566">
        <f>IF(C258=0,0,C266/C258)</f>
        <v>0.3360461970463379</v>
      </c>
      <c r="D267" s="566">
        <f>IF(D258=0,0,D266/D258)</f>
        <v>0.3236856644879643</v>
      </c>
      <c r="E267" s="567">
        <f t="shared" si="30"/>
        <v>-0.012360532558373605</v>
      </c>
    </row>
    <row r="268" spans="1:5" ht="12.75">
      <c r="A268" s="512">
        <v>11</v>
      </c>
      <c r="B268" s="511" t="s">
        <v>900</v>
      </c>
      <c r="C268" s="546">
        <f>+C260*C267</f>
        <v>9536773.986331778</v>
      </c>
      <c r="D268" s="568">
        <f>+D260*D267</f>
        <v>9380574.6654931</v>
      </c>
      <c r="E268" s="546">
        <f t="shared" si="30"/>
        <v>-156199.32083867677</v>
      </c>
    </row>
    <row r="269" spans="1:5" ht="12.75">
      <c r="A269" s="512">
        <v>12</v>
      </c>
      <c r="B269" s="511" t="s">
        <v>46</v>
      </c>
      <c r="C269" s="546">
        <f>((C17+C18+C28+C29)*C267)-(C50+C51+C61+C62)</f>
        <v>2746529.94743219</v>
      </c>
      <c r="D269" s="568">
        <f>((D17+D18+D28+D29)*D267)-(D50+D51+D61+D62)</f>
        <v>3303264.484966792</v>
      </c>
      <c r="E269" s="546">
        <f t="shared" si="30"/>
        <v>556734.537534602</v>
      </c>
    </row>
    <row r="270" spans="1:5" s="569" customFormat="1" ht="12.75">
      <c r="A270" s="570">
        <v>13</v>
      </c>
      <c r="B270" s="571" t="s">
        <v>47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48</v>
      </c>
      <c r="C271" s="546">
        <f>+C268+C269+C270</f>
        <v>12283303.933763968</v>
      </c>
      <c r="D271" s="546">
        <f>+D268+D269+D270</f>
        <v>12683839.150459893</v>
      </c>
      <c r="E271" s="549">
        <f t="shared" si="30"/>
        <v>400535.2166959252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49</v>
      </c>
      <c r="B273" s="550" t="s">
        <v>50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230</v>
      </c>
      <c r="B275" s="509" t="s">
        <v>51</v>
      </c>
      <c r="C275" s="340"/>
      <c r="D275" s="340"/>
      <c r="E275" s="520"/>
    </row>
    <row r="276" spans="1:5" ht="12.75">
      <c r="A276" s="512">
        <v>1</v>
      </c>
      <c r="B276" s="511" t="s">
        <v>840</v>
      </c>
      <c r="C276" s="547">
        <f aca="true" t="shared" si="31" ref="C276:D284">IF(C14=0,0,+C47/C14)</f>
        <v>0.39516696694733355</v>
      </c>
      <c r="D276" s="547">
        <f t="shared" si="31"/>
        <v>0.39065108196308607</v>
      </c>
      <c r="E276" s="574">
        <f aca="true" t="shared" si="32" ref="E276:E284">D276-C276</f>
        <v>-0.004515884984247487</v>
      </c>
    </row>
    <row r="277" spans="1:5" ht="12.75">
      <c r="A277" s="512">
        <v>2</v>
      </c>
      <c r="B277" s="511" t="s">
        <v>819</v>
      </c>
      <c r="C277" s="547">
        <f t="shared" si="31"/>
        <v>0.27992196670301706</v>
      </c>
      <c r="D277" s="547">
        <f t="shared" si="31"/>
        <v>0.26720737771143593</v>
      </c>
      <c r="E277" s="574">
        <f t="shared" si="32"/>
        <v>-0.012714588991581122</v>
      </c>
    </row>
    <row r="278" spans="1:5" ht="12.75">
      <c r="A278" s="512">
        <v>3</v>
      </c>
      <c r="B278" s="511" t="s">
        <v>965</v>
      </c>
      <c r="C278" s="547">
        <f t="shared" si="31"/>
        <v>0.3275787130457064</v>
      </c>
      <c r="D278" s="547">
        <f t="shared" si="31"/>
        <v>0.28182566459723224</v>
      </c>
      <c r="E278" s="574">
        <f t="shared" si="32"/>
        <v>-0.045753048448474165</v>
      </c>
    </row>
    <row r="279" spans="1:5" ht="12.75">
      <c r="A279" s="512">
        <v>4</v>
      </c>
      <c r="B279" s="511" t="s">
        <v>330</v>
      </c>
      <c r="C279" s="547">
        <f t="shared" si="31"/>
        <v>0.41363841790386774</v>
      </c>
      <c r="D279" s="547">
        <f t="shared" si="31"/>
        <v>0.34756115013625744</v>
      </c>
      <c r="E279" s="574">
        <f t="shared" si="32"/>
        <v>-0.0660772677676103</v>
      </c>
    </row>
    <row r="280" spans="1:5" ht="12.75">
      <c r="A280" s="512">
        <v>5</v>
      </c>
      <c r="B280" s="511" t="s">
        <v>932</v>
      </c>
      <c r="C280" s="547">
        <f t="shared" si="31"/>
        <v>0.2925713156669849</v>
      </c>
      <c r="D280" s="547">
        <f t="shared" si="31"/>
        <v>0.22776476936567128</v>
      </c>
      <c r="E280" s="574">
        <f t="shared" si="32"/>
        <v>-0.06480654630131363</v>
      </c>
    </row>
    <row r="281" spans="1:5" ht="12.75">
      <c r="A281" s="512">
        <v>6</v>
      </c>
      <c r="B281" s="511" t="s">
        <v>634</v>
      </c>
      <c r="C281" s="547">
        <f t="shared" si="31"/>
        <v>0.6413052045293329</v>
      </c>
      <c r="D281" s="547">
        <f t="shared" si="31"/>
        <v>0.2392986172138474</v>
      </c>
      <c r="E281" s="574">
        <f t="shared" si="32"/>
        <v>-0.40200658731548555</v>
      </c>
    </row>
    <row r="282" spans="1:5" ht="12.75">
      <c r="A282" s="512">
        <v>7</v>
      </c>
      <c r="B282" s="511" t="s">
        <v>947</v>
      </c>
      <c r="C282" s="547">
        <f t="shared" si="31"/>
        <v>0.13955008576834352</v>
      </c>
      <c r="D282" s="547">
        <f t="shared" si="31"/>
        <v>0.13241290719046675</v>
      </c>
      <c r="E282" s="574">
        <f t="shared" si="32"/>
        <v>-0.007137178577876768</v>
      </c>
    </row>
    <row r="283" spans="1:5" ht="29.25" customHeight="1">
      <c r="A283" s="512"/>
      <c r="B283" s="516" t="s">
        <v>52</v>
      </c>
      <c r="C283" s="575">
        <f t="shared" si="31"/>
        <v>0.28332290083974293</v>
      </c>
      <c r="D283" s="575">
        <f t="shared" si="31"/>
        <v>0.26811526038116584</v>
      </c>
      <c r="E283" s="576">
        <f t="shared" si="32"/>
        <v>-0.015207640458577087</v>
      </c>
    </row>
    <row r="284" spans="1:5" ht="12.75">
      <c r="A284" s="512"/>
      <c r="B284" s="516" t="s">
        <v>53</v>
      </c>
      <c r="C284" s="575">
        <f t="shared" si="31"/>
        <v>0.3325204240107425</v>
      </c>
      <c r="D284" s="575">
        <f t="shared" si="31"/>
        <v>0.3213680827995152</v>
      </c>
      <c r="E284" s="576">
        <f t="shared" si="32"/>
        <v>-0.011152341211227323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242</v>
      </c>
      <c r="B286" s="509" t="s">
        <v>54</v>
      </c>
      <c r="C286" s="520"/>
      <c r="D286" s="520"/>
      <c r="E286" s="520"/>
    </row>
    <row r="287" spans="1:5" ht="12.75">
      <c r="A287" s="512">
        <v>1</v>
      </c>
      <c r="B287" s="511" t="s">
        <v>840</v>
      </c>
      <c r="C287" s="547">
        <f aca="true" t="shared" si="33" ref="C287:D295">IF(C25=0,0,+C58/C25)</f>
        <v>0.3918249689988104</v>
      </c>
      <c r="D287" s="547">
        <f t="shared" si="33"/>
        <v>0.3770045727401318</v>
      </c>
      <c r="E287" s="574">
        <f aca="true" t="shared" si="34" ref="E287:E295">D287-C287</f>
        <v>-0.014820396258678592</v>
      </c>
    </row>
    <row r="288" spans="1:5" ht="12.75">
      <c r="A288" s="512">
        <v>2</v>
      </c>
      <c r="B288" s="511" t="s">
        <v>819</v>
      </c>
      <c r="C288" s="547">
        <f t="shared" si="33"/>
        <v>0.20447437265217494</v>
      </c>
      <c r="D288" s="547">
        <f t="shared" si="33"/>
        <v>0.19188900418729823</v>
      </c>
      <c r="E288" s="574">
        <f t="shared" si="34"/>
        <v>-0.012585368464876706</v>
      </c>
    </row>
    <row r="289" spans="1:5" ht="12.75">
      <c r="A289" s="512">
        <v>3</v>
      </c>
      <c r="B289" s="511" t="s">
        <v>965</v>
      </c>
      <c r="C289" s="547">
        <f t="shared" si="33"/>
        <v>0.1300727915252775</v>
      </c>
      <c r="D289" s="547">
        <f t="shared" si="33"/>
        <v>0.1712902564521027</v>
      </c>
      <c r="E289" s="574">
        <f t="shared" si="34"/>
        <v>0.04121746492682518</v>
      </c>
    </row>
    <row r="290" spans="1:5" ht="12.75">
      <c r="A290" s="512">
        <v>4</v>
      </c>
      <c r="B290" s="511" t="s">
        <v>330</v>
      </c>
      <c r="C290" s="547">
        <f t="shared" si="33"/>
        <v>0.20217996251186962</v>
      </c>
      <c r="D290" s="547">
        <f t="shared" si="33"/>
        <v>0.21948133346408752</v>
      </c>
      <c r="E290" s="574">
        <f t="shared" si="34"/>
        <v>0.017301370952217898</v>
      </c>
    </row>
    <row r="291" spans="1:5" ht="12.75">
      <c r="A291" s="512">
        <v>5</v>
      </c>
      <c r="B291" s="511" t="s">
        <v>932</v>
      </c>
      <c r="C291" s="547">
        <f t="shared" si="33"/>
        <v>0.010189264804588077</v>
      </c>
      <c r="D291" s="547">
        <f t="shared" si="33"/>
        <v>0.09557380070408353</v>
      </c>
      <c r="E291" s="574">
        <f t="shared" si="34"/>
        <v>0.08538453589949545</v>
      </c>
    </row>
    <row r="292" spans="1:5" ht="12.75">
      <c r="A292" s="512">
        <v>6</v>
      </c>
      <c r="B292" s="511" t="s">
        <v>634</v>
      </c>
      <c r="C292" s="547">
        <f t="shared" si="33"/>
        <v>0.27219279918371314</v>
      </c>
      <c r="D292" s="547">
        <f t="shared" si="33"/>
        <v>0.43018209914110167</v>
      </c>
      <c r="E292" s="574">
        <f t="shared" si="34"/>
        <v>0.15798929995738853</v>
      </c>
    </row>
    <row r="293" spans="1:5" ht="12.75">
      <c r="A293" s="512">
        <v>7</v>
      </c>
      <c r="B293" s="511" t="s">
        <v>947</v>
      </c>
      <c r="C293" s="547">
        <f t="shared" si="33"/>
        <v>0.139692489016312</v>
      </c>
      <c r="D293" s="547">
        <f t="shared" si="33"/>
        <v>0.1324129092990609</v>
      </c>
      <c r="E293" s="574">
        <f t="shared" si="34"/>
        <v>-0.0072795797172511</v>
      </c>
    </row>
    <row r="294" spans="1:5" ht="29.25" customHeight="1">
      <c r="A294" s="512"/>
      <c r="B294" s="516" t="s">
        <v>55</v>
      </c>
      <c r="C294" s="575">
        <f t="shared" si="33"/>
        <v>0.1975696686396496</v>
      </c>
      <c r="D294" s="575">
        <f t="shared" si="33"/>
        <v>0.18992171758298076</v>
      </c>
      <c r="E294" s="576">
        <f t="shared" si="34"/>
        <v>-0.0076479510566688225</v>
      </c>
    </row>
    <row r="295" spans="1:5" ht="12.75">
      <c r="A295" s="512"/>
      <c r="B295" s="516" t="s">
        <v>56</v>
      </c>
      <c r="C295" s="575">
        <f t="shared" si="33"/>
        <v>0.3314021924174025</v>
      </c>
      <c r="D295" s="575">
        <f t="shared" si="33"/>
        <v>0.31971878999223685</v>
      </c>
      <c r="E295" s="576">
        <f t="shared" si="34"/>
        <v>-0.011683402425165634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57</v>
      </c>
      <c r="B297" s="501" t="s">
        <v>58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230</v>
      </c>
      <c r="B299" s="509" t="s">
        <v>59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838</v>
      </c>
      <c r="C301" s="514">
        <f>+C48+C47+C50+C51+C52+C59+C58+C61+C62+C63</f>
        <v>256563978</v>
      </c>
      <c r="D301" s="514">
        <f>+D48+D47+D50+D51+D52+D59+D58+D61+D62+D63</f>
        <v>265926616</v>
      </c>
      <c r="E301" s="514">
        <f>D301-C301</f>
        <v>9362638</v>
      </c>
    </row>
    <row r="302" spans="1:5" ht="25.5">
      <c r="A302" s="512">
        <v>2</v>
      </c>
      <c r="B302" s="511" t="s">
        <v>60</v>
      </c>
      <c r="C302" s="546">
        <f>C265</f>
        <v>1146921</v>
      </c>
      <c r="D302" s="546">
        <f>D265</f>
        <v>1086769</v>
      </c>
      <c r="E302" s="514">
        <f>D302-C302</f>
        <v>-60152</v>
      </c>
    </row>
    <row r="303" spans="1:5" ht="12.75">
      <c r="A303" s="512"/>
      <c r="B303" s="516" t="s">
        <v>61</v>
      </c>
      <c r="C303" s="517">
        <f>+C301+C302</f>
        <v>257710899</v>
      </c>
      <c r="D303" s="517">
        <f>+D301+D302</f>
        <v>267013385</v>
      </c>
      <c r="E303" s="517">
        <f>D303-C303</f>
        <v>9302486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62</v>
      </c>
      <c r="C305" s="513">
        <v>5382101</v>
      </c>
      <c r="D305" s="578">
        <v>3232038</v>
      </c>
      <c r="E305" s="579">
        <f>D305-C305</f>
        <v>-2150063</v>
      </c>
    </row>
    <row r="306" spans="1:5" ht="12.75">
      <c r="A306" s="512">
        <v>4</v>
      </c>
      <c r="B306" s="516" t="s">
        <v>63</v>
      </c>
      <c r="C306" s="580">
        <f>+C303+C305+C194+C190-C191</f>
        <v>278112308</v>
      </c>
      <c r="D306" s="580">
        <f>+D303+D305</f>
        <v>270245423</v>
      </c>
      <c r="E306" s="580">
        <f>D306-C306</f>
        <v>-7866885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64</v>
      </c>
      <c r="C308" s="513">
        <v>263093000</v>
      </c>
      <c r="D308" s="513">
        <v>270245423</v>
      </c>
      <c r="E308" s="514">
        <f>D308-C308</f>
        <v>7152423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65</v>
      </c>
      <c r="C310" s="581">
        <f>C306-C308</f>
        <v>15019308</v>
      </c>
      <c r="D310" s="582">
        <f>D306-D308</f>
        <v>0</v>
      </c>
      <c r="E310" s="580">
        <f>D310-C310</f>
        <v>-15019308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242</v>
      </c>
      <c r="B312" s="509" t="s">
        <v>66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67</v>
      </c>
      <c r="C314" s="514">
        <f>+C14+C15+C16+C19+C25+C26+C27+C30</f>
        <v>773049769</v>
      </c>
      <c r="D314" s="514">
        <f>+D14+D15+D16+D19+D25+D26+D27+D30</f>
        <v>829881442</v>
      </c>
      <c r="E314" s="514">
        <f>D314-C314</f>
        <v>56831673</v>
      </c>
    </row>
    <row r="315" spans="1:5" ht="12.75">
      <c r="A315" s="512">
        <v>2</v>
      </c>
      <c r="B315" s="583" t="s">
        <v>68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69</v>
      </c>
      <c r="C316" s="581">
        <f>C314+C315</f>
        <v>773049769</v>
      </c>
      <c r="D316" s="581">
        <f>D314+D315</f>
        <v>829881442</v>
      </c>
      <c r="E316" s="517">
        <f>D316-C316</f>
        <v>56831673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70</v>
      </c>
      <c r="C318" s="513">
        <v>773049769</v>
      </c>
      <c r="D318" s="513">
        <v>829881442</v>
      </c>
      <c r="E318" s="514">
        <f>D318-C318</f>
        <v>56831673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65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252</v>
      </c>
      <c r="B322" s="509" t="s">
        <v>71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72</v>
      </c>
      <c r="C324" s="513">
        <f>+C193+C194</f>
        <v>28379354</v>
      </c>
      <c r="D324" s="513">
        <f>+D193+D194</f>
        <v>28980507</v>
      </c>
      <c r="E324" s="514">
        <f>D324-C324</f>
        <v>601153</v>
      </c>
    </row>
    <row r="325" spans="1:5" ht="12.75">
      <c r="A325" s="512">
        <v>2</v>
      </c>
      <c r="B325" s="511" t="s">
        <v>73</v>
      </c>
      <c r="C325" s="513">
        <v>3982302</v>
      </c>
      <c r="D325" s="513">
        <v>4056046</v>
      </c>
      <c r="E325" s="514">
        <f>D325-C325</f>
        <v>73744</v>
      </c>
    </row>
    <row r="326" spans="1:5" ht="12.75">
      <c r="A326" s="512"/>
      <c r="B326" s="516" t="s">
        <v>74</v>
      </c>
      <c r="C326" s="581">
        <f>C324+C325</f>
        <v>32361656</v>
      </c>
      <c r="D326" s="581">
        <f>D324+D325</f>
        <v>33036553</v>
      </c>
      <c r="E326" s="517">
        <f>D326-C326</f>
        <v>674897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75</v>
      </c>
      <c r="C328" s="513">
        <v>32361656</v>
      </c>
      <c r="D328" s="513">
        <v>33036553</v>
      </c>
      <c r="E328" s="514">
        <f>D328-C328</f>
        <v>674897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76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FILING&amp;RGREENWICH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216</v>
      </c>
      <c r="B2" s="705"/>
      <c r="C2" s="705"/>
      <c r="D2" s="585"/>
    </row>
    <row r="3" spans="1:4" s="338" customFormat="1" ht="15.75" customHeight="1">
      <c r="A3" s="695" t="s">
        <v>810</v>
      </c>
      <c r="B3" s="696"/>
      <c r="C3" s="697"/>
      <c r="D3" s="585"/>
    </row>
    <row r="4" spans="1:4" s="338" customFormat="1" ht="15.75" customHeight="1">
      <c r="A4" s="695" t="s">
        <v>218</v>
      </c>
      <c r="B4" s="696"/>
      <c r="C4" s="697"/>
      <c r="D4" s="585"/>
    </row>
    <row r="5" spans="1:4" s="338" customFormat="1" ht="15.75" customHeight="1">
      <c r="A5" s="695" t="s">
        <v>77</v>
      </c>
      <c r="B5" s="696"/>
      <c r="C5" s="697"/>
      <c r="D5" s="585"/>
    </row>
    <row r="6" spans="1:4" s="338" customFormat="1" ht="15.75" customHeight="1">
      <c r="A6" s="695" t="s">
        <v>78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224</v>
      </c>
      <c r="B9" s="493" t="s">
        <v>225</v>
      </c>
      <c r="C9" s="494" t="s">
        <v>79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228</v>
      </c>
      <c r="B11" s="501" t="s">
        <v>80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230</v>
      </c>
      <c r="B13" s="509" t="s">
        <v>964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840</v>
      </c>
      <c r="C14" s="513">
        <v>157553804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819</v>
      </c>
      <c r="C15" s="515">
        <v>191475529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965</v>
      </c>
      <c r="C16" s="515">
        <v>13238883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330</v>
      </c>
      <c r="C17" s="515">
        <v>5974353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932</v>
      </c>
      <c r="C18" s="515">
        <v>7264530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634</v>
      </c>
      <c r="C19" s="515">
        <v>266274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947</v>
      </c>
      <c r="C20" s="515">
        <v>8103855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966</v>
      </c>
      <c r="C21" s="517">
        <f>SUM(C15+C16+C19)</f>
        <v>204980686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906</v>
      </c>
      <c r="C22" s="517">
        <f>SUM(C14+C21)</f>
        <v>362534490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242</v>
      </c>
      <c r="B24" s="509" t="s">
        <v>967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840</v>
      </c>
      <c r="C25" s="513">
        <v>324242786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819</v>
      </c>
      <c r="C26" s="515">
        <v>124687082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965</v>
      </c>
      <c r="C27" s="515">
        <v>18039158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330</v>
      </c>
      <c r="C28" s="515">
        <v>11023229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932</v>
      </c>
      <c r="C29" s="515">
        <v>7015929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634</v>
      </c>
      <c r="C30" s="515">
        <v>377926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947</v>
      </c>
      <c r="C31" s="518">
        <v>25299716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968</v>
      </c>
      <c r="C32" s="517">
        <f>SUM(C26+C27+C30)</f>
        <v>143104166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912</v>
      </c>
      <c r="C33" s="517">
        <f>SUM(C25+C32)</f>
        <v>467346952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252</v>
      </c>
      <c r="B35" s="509" t="s">
        <v>837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81</v>
      </c>
      <c r="C36" s="514">
        <f>SUM(C14+C25)</f>
        <v>481796590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82</v>
      </c>
      <c r="C37" s="518">
        <f>SUM(C21+C32)</f>
        <v>348084852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837</v>
      </c>
      <c r="C38" s="517">
        <f>SUM(+C36+C37)</f>
        <v>829881442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537</v>
      </c>
      <c r="B40" s="509" t="s">
        <v>977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840</v>
      </c>
      <c r="C41" s="513">
        <v>61548564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819</v>
      </c>
      <c r="C42" s="515">
        <v>51163674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965</v>
      </c>
      <c r="C43" s="515">
        <v>3731057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330</v>
      </c>
      <c r="C44" s="515">
        <v>2076453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932</v>
      </c>
      <c r="C45" s="515">
        <v>1654604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634</v>
      </c>
      <c r="C46" s="515">
        <v>63719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947</v>
      </c>
      <c r="C47" s="515">
        <v>1073055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978</v>
      </c>
      <c r="C48" s="517">
        <f>SUM(C42+C43+C46)</f>
        <v>54958450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907</v>
      </c>
      <c r="C49" s="517">
        <f>SUM(C41+C48)</f>
        <v>116507014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558</v>
      </c>
      <c r="B51" s="509" t="s">
        <v>979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840</v>
      </c>
      <c r="C52" s="513">
        <v>122241013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819</v>
      </c>
      <c r="C53" s="515">
        <v>23926080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965</v>
      </c>
      <c r="C54" s="515">
        <v>3089932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330</v>
      </c>
      <c r="C55" s="515">
        <v>2419393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932</v>
      </c>
      <c r="C56" s="515">
        <v>670539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634</v>
      </c>
      <c r="C57" s="515">
        <v>162577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947</v>
      </c>
      <c r="C58" s="515">
        <v>3350009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980</v>
      </c>
      <c r="C59" s="517">
        <f>SUM(C53+C54+C57)</f>
        <v>27178589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913</v>
      </c>
      <c r="C60" s="517">
        <f>SUM(C52+C59)</f>
        <v>149419602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570</v>
      </c>
      <c r="B62" s="521" t="s">
        <v>838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83</v>
      </c>
      <c r="C63" s="514">
        <f>SUM(C41+C52)</f>
        <v>183789577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84</v>
      </c>
      <c r="C64" s="518">
        <f>SUM(C48+C59)</f>
        <v>82137039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838</v>
      </c>
      <c r="C65" s="517">
        <f>SUM(+C63+C64)</f>
        <v>265926616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260</v>
      </c>
      <c r="B67" s="501" t="s">
        <v>85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230</v>
      </c>
      <c r="B69" s="509" t="s">
        <v>86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840</v>
      </c>
      <c r="C70" s="530">
        <v>7298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819</v>
      </c>
      <c r="C71" s="530">
        <v>5054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965</v>
      </c>
      <c r="C72" s="530">
        <v>573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330</v>
      </c>
      <c r="C73" s="530">
        <v>327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932</v>
      </c>
      <c r="C74" s="530">
        <v>246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634</v>
      </c>
      <c r="C75" s="545">
        <v>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947</v>
      </c>
      <c r="C76" s="545">
        <v>296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14</v>
      </c>
      <c r="C77" s="532">
        <f>SUM(C71+C72+C75)</f>
        <v>5633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909</v>
      </c>
      <c r="C78" s="596">
        <f>SUM(C70+C77)</f>
        <v>12931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242</v>
      </c>
      <c r="B80" s="509" t="s">
        <v>19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840</v>
      </c>
      <c r="C81" s="541">
        <v>0.8455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819</v>
      </c>
      <c r="C82" s="541">
        <v>1.4065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965</v>
      </c>
      <c r="C83" s="541">
        <f>((C73*C84)+(C74*C85))/(C73+C74)</f>
        <v>1.0576534031413611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330</v>
      </c>
      <c r="C84" s="541">
        <v>1.1254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932</v>
      </c>
      <c r="C85" s="541">
        <v>0.9676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634</v>
      </c>
      <c r="C86" s="541">
        <v>1.4673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947</v>
      </c>
      <c r="C87" s="541">
        <v>0.9178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20</v>
      </c>
      <c r="C88" s="543">
        <f>((C71*C82)+(C73*C84)+(C74*C85)+(C75*C86))/(C71+C73+C74+C75)</f>
        <v>1.371079389312977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910</v>
      </c>
      <c r="C89" s="543">
        <f>((C70*C81)+(C71*C82)+(C73*C84)+(C74*C85)+(C75*C86))/(C70+C71+C73+C74+C75)</f>
        <v>1.074452803340809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252</v>
      </c>
      <c r="B91" s="509" t="s">
        <v>21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22</v>
      </c>
      <c r="C92" s="513">
        <v>430930871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23</v>
      </c>
      <c r="C93" s="546">
        <v>175546118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852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936</v>
      </c>
      <c r="C95" s="513">
        <f>+C92-C93</f>
        <v>255384753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854</v>
      </c>
      <c r="C96" s="597">
        <f>(+C92-C93)/C92</f>
        <v>0.5926350841548319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951</v>
      </c>
      <c r="C98" s="513">
        <v>18106348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937</v>
      </c>
      <c r="C99" s="513">
        <v>12034412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87</v>
      </c>
      <c r="C101" s="513">
        <v>1086769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25</v>
      </c>
      <c r="C103" s="513">
        <v>21129180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26</v>
      </c>
      <c r="C104" s="513">
        <v>7851327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27</v>
      </c>
      <c r="C105" s="578">
        <f>+C103+C104</f>
        <v>28980507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28</v>
      </c>
      <c r="C107" s="513">
        <v>24947559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894</v>
      </c>
      <c r="C108" s="513">
        <v>283532000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351</v>
      </c>
      <c r="B110" s="501" t="s">
        <v>58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230</v>
      </c>
      <c r="B112" s="509" t="s">
        <v>59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838</v>
      </c>
      <c r="C114" s="514">
        <f>+C65</f>
        <v>265926616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60</v>
      </c>
      <c r="C115" s="546">
        <f>+C101</f>
        <v>1086769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61</v>
      </c>
      <c r="C116" s="517">
        <f>+C114+C115</f>
        <v>267013385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62</v>
      </c>
      <c r="C118" s="578">
        <v>3232038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63</v>
      </c>
      <c r="C119" s="580">
        <f>+C116+C118</f>
        <v>270245423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64</v>
      </c>
      <c r="C121" s="513">
        <v>270245423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65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242</v>
      </c>
      <c r="B125" s="509" t="s">
        <v>66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67</v>
      </c>
      <c r="C127" s="514">
        <f>+C38</f>
        <v>829881442</v>
      </c>
      <c r="D127" s="588"/>
      <c r="AR127" s="507"/>
    </row>
    <row r="128" spans="1:44" s="506" customFormat="1" ht="12.75">
      <c r="A128" s="512">
        <v>2</v>
      </c>
      <c r="B128" s="583" t="s">
        <v>68</v>
      </c>
      <c r="C128" s="513">
        <v>0</v>
      </c>
      <c r="D128" s="588"/>
      <c r="AR128" s="507"/>
    </row>
    <row r="129" spans="1:44" s="506" customFormat="1" ht="12.75">
      <c r="A129" s="512"/>
      <c r="B129" s="516" t="s">
        <v>69</v>
      </c>
      <c r="C129" s="581">
        <f>C127+C128</f>
        <v>829881442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70</v>
      </c>
      <c r="C131" s="513">
        <v>829881442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65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252</v>
      </c>
      <c r="B135" s="509" t="s">
        <v>71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72</v>
      </c>
      <c r="C137" s="513">
        <f>C105</f>
        <v>28980507</v>
      </c>
      <c r="D137" s="588"/>
      <c r="AR137" s="507"/>
    </row>
    <row r="138" spans="1:44" s="506" customFormat="1" ht="12.75">
      <c r="A138" s="512">
        <v>2</v>
      </c>
      <c r="B138" s="511" t="s">
        <v>88</v>
      </c>
      <c r="C138" s="513">
        <v>4056046</v>
      </c>
      <c r="D138" s="588"/>
      <c r="AR138" s="507"/>
    </row>
    <row r="139" spans="1:44" s="506" customFormat="1" ht="12.75">
      <c r="A139" s="512"/>
      <c r="B139" s="516" t="s">
        <v>74</v>
      </c>
      <c r="C139" s="581">
        <f>C137+C138</f>
        <v>33036553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89</v>
      </c>
      <c r="C141" s="513">
        <v>33036553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76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&amp;LOFFICE OF HEALTH CARE ACCESS&amp;CTWELVE MONTHS ACTUAL FILING&amp;RGREENWICH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216</v>
      </c>
      <c r="B2" s="715"/>
      <c r="C2" s="715"/>
      <c r="D2" s="715"/>
      <c r="E2" s="715"/>
      <c r="F2" s="716"/>
    </row>
    <row r="3" spans="1:6" ht="15.75" customHeight="1">
      <c r="A3" s="714" t="s">
        <v>810</v>
      </c>
      <c r="B3" s="715"/>
      <c r="C3" s="715"/>
      <c r="D3" s="715"/>
      <c r="E3" s="715"/>
      <c r="F3" s="716"/>
    </row>
    <row r="4" spans="1:6" ht="15.75" customHeight="1">
      <c r="A4" s="714" t="s">
        <v>811</v>
      </c>
      <c r="B4" s="715"/>
      <c r="C4" s="715"/>
      <c r="D4" s="715"/>
      <c r="E4" s="715"/>
      <c r="F4" s="716"/>
    </row>
    <row r="5" spans="1:6" ht="15.75" customHeight="1">
      <c r="A5" s="714" t="s">
        <v>90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814</v>
      </c>
      <c r="D8" s="35" t="s">
        <v>814</v>
      </c>
      <c r="E8" s="35" t="s">
        <v>222</v>
      </c>
      <c r="F8" s="35" t="s">
        <v>223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224</v>
      </c>
      <c r="B9" s="606" t="s">
        <v>225</v>
      </c>
      <c r="C9" s="607" t="s">
        <v>816</v>
      </c>
      <c r="D9" s="607" t="s">
        <v>817</v>
      </c>
      <c r="E9" s="605" t="s">
        <v>227</v>
      </c>
      <c r="F9" s="605" t="s">
        <v>227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230</v>
      </c>
      <c r="B11" s="606" t="s">
        <v>91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92</v>
      </c>
      <c r="C12" s="49">
        <v>3026</v>
      </c>
      <c r="D12" s="49">
        <v>3635</v>
      </c>
      <c r="E12" s="49">
        <f>+D12-C12</f>
        <v>609</v>
      </c>
      <c r="F12" s="70">
        <f>IF(C12=0,0,+E12/C12)</f>
        <v>0.20125578321216128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93</v>
      </c>
      <c r="C13" s="49">
        <v>2542</v>
      </c>
      <c r="D13" s="49">
        <v>3414</v>
      </c>
      <c r="E13" s="49">
        <f>+D13-C13</f>
        <v>872</v>
      </c>
      <c r="F13" s="70">
        <f>IF(C13=0,0,+E13/C13)</f>
        <v>0.3430369787568843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94</v>
      </c>
      <c r="C15" s="51">
        <v>18262127</v>
      </c>
      <c r="D15" s="51">
        <v>21129180</v>
      </c>
      <c r="E15" s="51">
        <f>+D15-C15</f>
        <v>2867053</v>
      </c>
      <c r="F15" s="70">
        <f>IF(C15=0,0,+E15/C15)</f>
        <v>0.15699447276869774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95</v>
      </c>
      <c r="C16" s="27">
        <f>IF(C13=0,0,+C15/+C13)</f>
        <v>7184.156963021243</v>
      </c>
      <c r="D16" s="27">
        <f>IF(D13=0,0,+D15/+D13)</f>
        <v>6188.980667838313</v>
      </c>
      <c r="E16" s="27">
        <f>+D16-C16</f>
        <v>-995.1762951829305</v>
      </c>
      <c r="F16" s="28">
        <f>IF(C16=0,0,+E16/C16)</f>
        <v>-0.13852374054539263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96</v>
      </c>
      <c r="C18" s="210">
        <v>0.366313</v>
      </c>
      <c r="D18" s="210">
        <v>0.337878</v>
      </c>
      <c r="E18" s="210">
        <f>+D18-C18</f>
        <v>-0.028434999999999988</v>
      </c>
      <c r="F18" s="70">
        <f>IF(C18=0,0,+E18/C18)</f>
        <v>-0.07762487271813992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</v>
      </c>
      <c r="C19" s="27">
        <f>+C15*C18</f>
        <v>6689654.527751</v>
      </c>
      <c r="D19" s="27">
        <f>+D15*D18</f>
        <v>7139085.08004</v>
      </c>
      <c r="E19" s="27">
        <f>+D19-C19</f>
        <v>449430.5522890007</v>
      </c>
      <c r="F19" s="28">
        <f>IF(C19=0,0,+E19/C19)</f>
        <v>0.06718292408443625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98</v>
      </c>
      <c r="C20" s="27">
        <f>IF(C13=0,0,+C19/C13)</f>
        <v>2631.6500895952004</v>
      </c>
      <c r="D20" s="27">
        <f>IF(D13=0,0,+D19/D13)</f>
        <v>2091.1204100878736</v>
      </c>
      <c r="E20" s="27">
        <f>+D20-C20</f>
        <v>-540.5296795073268</v>
      </c>
      <c r="F20" s="28">
        <f>IF(C20=0,0,+E20/C20)</f>
        <v>-0.2053957255352557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99</v>
      </c>
      <c r="C22" s="51">
        <v>5856627</v>
      </c>
      <c r="D22" s="51">
        <v>6441909</v>
      </c>
      <c r="E22" s="51">
        <f>+D22-C22</f>
        <v>585282</v>
      </c>
      <c r="F22" s="70">
        <f>IF(C22=0,0,+E22/C22)</f>
        <v>0.09993499671397889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100</v>
      </c>
      <c r="C23" s="49">
        <v>7158100</v>
      </c>
      <c r="D23" s="49">
        <v>9404286</v>
      </c>
      <c r="E23" s="49">
        <f>+D23-C23</f>
        <v>2246186</v>
      </c>
      <c r="F23" s="70">
        <f>IF(C23=0,0,+E23/C23)</f>
        <v>0.3137963984856317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101</v>
      </c>
      <c r="C24" s="49">
        <v>5247400</v>
      </c>
      <c r="D24" s="49">
        <v>5282985</v>
      </c>
      <c r="E24" s="49">
        <f>+D24-C24</f>
        <v>35585</v>
      </c>
      <c r="F24" s="70">
        <f>IF(C24=0,0,+E24/C24)</f>
        <v>0.006781453672294851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94</v>
      </c>
      <c r="C25" s="27">
        <f>+C22+C23+C24</f>
        <v>18262127</v>
      </c>
      <c r="D25" s="27">
        <f>+D22+D23+D24</f>
        <v>21129180</v>
      </c>
      <c r="E25" s="27">
        <f>+E22+E23+E24</f>
        <v>2867053</v>
      </c>
      <c r="F25" s="28">
        <f>IF(C25=0,0,+E25/C25)</f>
        <v>0.15699447276869774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102</v>
      </c>
      <c r="C27" s="49">
        <v>2144</v>
      </c>
      <c r="D27" s="49">
        <v>3040</v>
      </c>
      <c r="E27" s="49">
        <f>+D27-C27</f>
        <v>896</v>
      </c>
      <c r="F27" s="70">
        <f>IF(C27=0,0,+E27/C27)</f>
        <v>0.417910447761194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103</v>
      </c>
      <c r="C28" s="49">
        <v>574</v>
      </c>
      <c r="D28" s="49">
        <v>557</v>
      </c>
      <c r="E28" s="49">
        <f>+D28-C28</f>
        <v>-17</v>
      </c>
      <c r="F28" s="70">
        <f>IF(C28=0,0,+E28/C28)</f>
        <v>-0.029616724738675958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104</v>
      </c>
      <c r="C29" s="49">
        <v>2486</v>
      </c>
      <c r="D29" s="49">
        <v>2906</v>
      </c>
      <c r="E29" s="49">
        <f>+D29-C29</f>
        <v>420</v>
      </c>
      <c r="F29" s="70">
        <f>IF(C29=0,0,+E29/C29)</f>
        <v>0.16894609814963799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105</v>
      </c>
      <c r="C30" s="49">
        <v>13112</v>
      </c>
      <c r="D30" s="49">
        <v>14928</v>
      </c>
      <c r="E30" s="49">
        <f>+D30-C30</f>
        <v>1816</v>
      </c>
      <c r="F30" s="70">
        <f>IF(C30=0,0,+E30/C30)</f>
        <v>0.13849908480780965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242</v>
      </c>
      <c r="B32" s="606" t="s">
        <v>106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107</v>
      </c>
      <c r="C33" s="51">
        <v>8188972</v>
      </c>
      <c r="D33" s="51">
        <v>6359575</v>
      </c>
      <c r="E33" s="51">
        <f>+D33-C33</f>
        <v>-1829397</v>
      </c>
      <c r="F33" s="70">
        <f>IF(C33=0,0,+E33/C33)</f>
        <v>-0.22339763770104476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108</v>
      </c>
      <c r="C34" s="49">
        <v>694172</v>
      </c>
      <c r="D34" s="49">
        <v>549593</v>
      </c>
      <c r="E34" s="49">
        <f>+D34-C34</f>
        <v>-144579</v>
      </c>
      <c r="F34" s="70">
        <f>IF(C34=0,0,+E34/C34)</f>
        <v>-0.2082754706326386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109</v>
      </c>
      <c r="C35" s="49">
        <v>1234083</v>
      </c>
      <c r="D35" s="49">
        <v>942159</v>
      </c>
      <c r="E35" s="49">
        <f>+D35-C35</f>
        <v>-291924</v>
      </c>
      <c r="F35" s="70">
        <f>IF(C35=0,0,+E35/C35)</f>
        <v>-0.23655135027384705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110</v>
      </c>
      <c r="C36" s="27">
        <f>+C33+C34+C35</f>
        <v>10117227</v>
      </c>
      <c r="D36" s="27">
        <f>+D33+D34+D35</f>
        <v>7851327</v>
      </c>
      <c r="E36" s="27">
        <f>+E33+E34+E35</f>
        <v>-2265900</v>
      </c>
      <c r="F36" s="28">
        <f>IF(C36=0,0,+E36/C36)</f>
        <v>-0.22396453099253383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252</v>
      </c>
      <c r="B38" s="606" t="s">
        <v>111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112</v>
      </c>
      <c r="C39" s="51">
        <f>+C25</f>
        <v>18262127</v>
      </c>
      <c r="D39" s="51">
        <f>+D25</f>
        <v>21129180</v>
      </c>
      <c r="E39" s="51">
        <f>+D39-C39</f>
        <v>2867053</v>
      </c>
      <c r="F39" s="70">
        <f>IF(C39=0,0,+E39/C39)</f>
        <v>0.15699447276869774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113</v>
      </c>
      <c r="C40" s="49">
        <f>+C36</f>
        <v>10117227</v>
      </c>
      <c r="D40" s="49">
        <f>+D36</f>
        <v>7851327</v>
      </c>
      <c r="E40" s="49">
        <f>+D40-C40</f>
        <v>-2265900</v>
      </c>
      <c r="F40" s="70">
        <f>IF(C40=0,0,+E40/C40)</f>
        <v>-0.22396453099253383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114</v>
      </c>
      <c r="C41" s="27">
        <f>+C39+C40</f>
        <v>28379354</v>
      </c>
      <c r="D41" s="27">
        <f>+D39+D40</f>
        <v>28980507</v>
      </c>
      <c r="E41" s="27">
        <f>+E39+E40</f>
        <v>601153</v>
      </c>
      <c r="F41" s="28">
        <f>IF(C41=0,0,+E41/C41)</f>
        <v>0.02118275842360612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115</v>
      </c>
      <c r="C43" s="51">
        <f aca="true" t="shared" si="0" ref="C43:D45">+C22+C33</f>
        <v>14045599</v>
      </c>
      <c r="D43" s="51">
        <f t="shared" si="0"/>
        <v>12801484</v>
      </c>
      <c r="E43" s="51">
        <f>+D43-C43</f>
        <v>-1244115</v>
      </c>
      <c r="F43" s="70">
        <f>IF(C43=0,0,+E43/C43)</f>
        <v>-0.08857685599596002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116</v>
      </c>
      <c r="C44" s="49">
        <f t="shared" si="0"/>
        <v>7852272</v>
      </c>
      <c r="D44" s="49">
        <f t="shared" si="0"/>
        <v>9953879</v>
      </c>
      <c r="E44" s="49">
        <f>+D44-C44</f>
        <v>2101607</v>
      </c>
      <c r="F44" s="70">
        <f>IF(C44=0,0,+E44/C44)</f>
        <v>0.2676431738482824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117</v>
      </c>
      <c r="C45" s="49">
        <f t="shared" si="0"/>
        <v>6481483</v>
      </c>
      <c r="D45" s="49">
        <f t="shared" si="0"/>
        <v>6225144</v>
      </c>
      <c r="E45" s="49">
        <f>+D45-C45</f>
        <v>-256339</v>
      </c>
      <c r="F45" s="70">
        <f>IF(C45=0,0,+E45/C45)</f>
        <v>-0.03954943644841775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114</v>
      </c>
      <c r="C46" s="27">
        <f>+C43+C44+C45</f>
        <v>28379354</v>
      </c>
      <c r="D46" s="27">
        <f>+D43+D44+D45</f>
        <v>28980507</v>
      </c>
      <c r="E46" s="27">
        <f>+E43+E44+E45</f>
        <v>601153</v>
      </c>
      <c r="F46" s="28">
        <f>IF(C46=0,0,+E46/C46)</f>
        <v>0.02118275842360612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118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64" r:id="rId1"/>
  <headerFooter alignWithMargins="0">
    <oddHeader>&amp;LOFFICE OF HEALTH CARE ACCESS&amp;CTWELVE MONTHS ACTUAL FILING&amp;RGREENWICH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216</v>
      </c>
      <c r="B2" s="715"/>
      <c r="C2" s="715"/>
      <c r="D2" s="715"/>
      <c r="E2" s="715"/>
      <c r="F2" s="716"/>
    </row>
    <row r="3" spans="1:6" ht="15.75" customHeight="1">
      <c r="A3" s="714" t="s">
        <v>810</v>
      </c>
      <c r="B3" s="715"/>
      <c r="C3" s="715"/>
      <c r="D3" s="715"/>
      <c r="E3" s="715"/>
      <c r="F3" s="716"/>
    </row>
    <row r="4" spans="1:6" ht="15.75" customHeight="1">
      <c r="A4" s="714" t="s">
        <v>811</v>
      </c>
      <c r="B4" s="715"/>
      <c r="C4" s="715"/>
      <c r="D4" s="715"/>
      <c r="E4" s="715"/>
      <c r="F4" s="716"/>
    </row>
    <row r="5" spans="1:6" ht="15.75" customHeight="1">
      <c r="A5" s="714" t="s">
        <v>119</v>
      </c>
      <c r="B5" s="715"/>
      <c r="C5" s="715"/>
      <c r="D5" s="715"/>
      <c r="E5" s="715"/>
      <c r="F5" s="716"/>
    </row>
    <row r="6" spans="1:6" ht="15.75" customHeight="1">
      <c r="A6" s="714" t="s">
        <v>120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816</v>
      </c>
      <c r="D9" s="35" t="s">
        <v>817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121</v>
      </c>
      <c r="D10" s="35" t="s">
        <v>121</v>
      </c>
      <c r="E10" s="35" t="s">
        <v>222</v>
      </c>
      <c r="F10" s="35" t="s">
        <v>223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224</v>
      </c>
      <c r="B11" s="606" t="s">
        <v>225</v>
      </c>
      <c r="C11" s="605" t="s">
        <v>122</v>
      </c>
      <c r="D11" s="605" t="s">
        <v>122</v>
      </c>
      <c r="E11" s="605" t="s">
        <v>227</v>
      </c>
      <c r="F11" s="605" t="s">
        <v>227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123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541</v>
      </c>
      <c r="C15" s="51">
        <v>402395862</v>
      </c>
      <c r="D15" s="51">
        <v>430930871</v>
      </c>
      <c r="E15" s="51">
        <f>+D15-C15</f>
        <v>28535009</v>
      </c>
      <c r="F15" s="70">
        <f>+E15/C15</f>
        <v>0.07091277941620583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720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124</v>
      </c>
      <c r="C17" s="51">
        <v>232982643</v>
      </c>
      <c r="D17" s="51">
        <v>255384753</v>
      </c>
      <c r="E17" s="51">
        <f>+D17-C17</f>
        <v>22402110</v>
      </c>
      <c r="F17" s="70">
        <f>+E17/C17</f>
        <v>0.09615355767081757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125</v>
      </c>
      <c r="C19" s="27">
        <f>+C15-C17</f>
        <v>169413219</v>
      </c>
      <c r="D19" s="27">
        <f>+D15-D17</f>
        <v>175546118</v>
      </c>
      <c r="E19" s="27">
        <f>+D19-C19</f>
        <v>6132899</v>
      </c>
      <c r="F19" s="28">
        <f>+E19/C19</f>
        <v>0.03620082916906266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126</v>
      </c>
      <c r="C21" s="628">
        <f>+C17/C15</f>
        <v>0.5789886651468598</v>
      </c>
      <c r="D21" s="628">
        <f>+D17/D15</f>
        <v>0.5926350841548319</v>
      </c>
      <c r="E21" s="628">
        <f>+D21-C21</f>
        <v>0.013646419007972144</v>
      </c>
      <c r="F21" s="28">
        <f>+E21/C21</f>
        <v>0.02356940615497325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720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720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720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720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127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 r:id="rId1"/>
  <headerFooter alignWithMargins="0">
    <oddHeader>&amp;L&amp;12OFFICE OF HEALTH CARE ACCESS&amp;C&amp;12TWELVE MONTHS ACTUAL FILING&amp;R&amp;12GREENWICH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216</v>
      </c>
      <c r="B1" s="718"/>
      <c r="C1" s="718"/>
      <c r="D1" s="718"/>
      <c r="E1" s="718"/>
      <c r="F1" s="630"/>
    </row>
    <row r="2" spans="1:6" ht="25.5" customHeight="1">
      <c r="A2" s="718" t="s">
        <v>217</v>
      </c>
      <c r="B2" s="718"/>
      <c r="C2" s="718"/>
      <c r="D2" s="718"/>
      <c r="E2" s="718"/>
      <c r="F2" s="630"/>
    </row>
    <row r="3" spans="1:6" ht="25.5" customHeight="1">
      <c r="A3" s="718" t="s">
        <v>218</v>
      </c>
      <c r="B3" s="718"/>
      <c r="C3" s="718"/>
      <c r="D3" s="718"/>
      <c r="E3" s="718"/>
      <c r="F3" s="630"/>
    </row>
    <row r="4" spans="1:6" ht="25.5" customHeight="1">
      <c r="A4" s="718" t="s">
        <v>128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129</v>
      </c>
      <c r="B6" s="632" t="s">
        <v>130</v>
      </c>
      <c r="C6" s="632" t="s">
        <v>131</v>
      </c>
      <c r="D6" s="632" t="s">
        <v>132</v>
      </c>
      <c r="E6" s="632" t="s">
        <v>133</v>
      </c>
    </row>
    <row r="7" spans="1:5" ht="37.5" customHeight="1">
      <c r="A7" s="633" t="s">
        <v>224</v>
      </c>
      <c r="B7" s="634" t="s">
        <v>134</v>
      </c>
      <c r="C7" s="631" t="s">
        <v>135</v>
      </c>
      <c r="D7" s="631" t="s">
        <v>136</v>
      </c>
      <c r="E7" s="631" t="s">
        <v>137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230</v>
      </c>
      <c r="B9" s="637" t="s">
        <v>138</v>
      </c>
      <c r="C9" s="638"/>
      <c r="D9" s="638"/>
      <c r="E9" s="638"/>
    </row>
    <row r="10" spans="1:5" ht="25.5" customHeight="1">
      <c r="A10" s="639">
        <v>1</v>
      </c>
      <c r="B10" s="640" t="s">
        <v>139</v>
      </c>
      <c r="C10" s="641">
        <v>279991862</v>
      </c>
      <c r="D10" s="641">
        <v>334089743</v>
      </c>
      <c r="E10" s="641">
        <v>362534490</v>
      </c>
    </row>
    <row r="11" spans="1:5" ht="25.5" customHeight="1">
      <c r="A11" s="639">
        <v>2</v>
      </c>
      <c r="B11" s="640" t="s">
        <v>140</v>
      </c>
      <c r="C11" s="641">
        <v>360919610</v>
      </c>
      <c r="D11" s="641">
        <v>438960026</v>
      </c>
      <c r="E11" s="641">
        <v>467346952</v>
      </c>
    </row>
    <row r="12" spans="1:5" ht="25.5" customHeight="1">
      <c r="A12" s="639">
        <v>3</v>
      </c>
      <c r="B12" s="640" t="s">
        <v>287</v>
      </c>
      <c r="C12" s="641">
        <f>+C11+C10</f>
        <v>640911472</v>
      </c>
      <c r="D12" s="641">
        <f>+D11+D10</f>
        <v>773049769</v>
      </c>
      <c r="E12" s="641">
        <f>+E11+E10</f>
        <v>829881442</v>
      </c>
    </row>
    <row r="13" spans="1:5" ht="25.5" customHeight="1">
      <c r="A13" s="639">
        <v>4</v>
      </c>
      <c r="B13" s="640" t="s">
        <v>700</v>
      </c>
      <c r="C13" s="641">
        <v>241849000</v>
      </c>
      <c r="D13" s="641">
        <v>263093000</v>
      </c>
      <c r="E13" s="641">
        <v>269158231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242</v>
      </c>
      <c r="B15" s="642" t="s">
        <v>540</v>
      </c>
      <c r="C15" s="641"/>
      <c r="D15" s="641"/>
      <c r="E15" s="641"/>
    </row>
    <row r="16" spans="1:5" ht="25.5" customHeight="1">
      <c r="A16" s="639">
        <v>1</v>
      </c>
      <c r="B16" s="640" t="s">
        <v>141</v>
      </c>
      <c r="C16" s="641">
        <v>248255000</v>
      </c>
      <c r="D16" s="641">
        <v>278268000</v>
      </c>
      <c r="E16" s="641">
        <v>283532000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252</v>
      </c>
      <c r="B18" s="642" t="s">
        <v>142</v>
      </c>
      <c r="C18" s="643"/>
      <c r="D18" s="643"/>
      <c r="E18" s="641"/>
    </row>
    <row r="19" spans="1:5" ht="25.5" customHeight="1">
      <c r="A19" s="639">
        <v>1</v>
      </c>
      <c r="B19" s="640" t="s">
        <v>588</v>
      </c>
      <c r="C19" s="644">
        <v>48835</v>
      </c>
      <c r="D19" s="644">
        <v>51700</v>
      </c>
      <c r="E19" s="644">
        <v>50149</v>
      </c>
    </row>
    <row r="20" spans="1:5" ht="25.5" customHeight="1">
      <c r="A20" s="639">
        <v>2</v>
      </c>
      <c r="B20" s="640" t="s">
        <v>589</v>
      </c>
      <c r="C20" s="645">
        <v>12779</v>
      </c>
      <c r="D20" s="645">
        <v>12731</v>
      </c>
      <c r="E20" s="645">
        <v>12931</v>
      </c>
    </row>
    <row r="21" spans="1:5" ht="25.5" customHeight="1">
      <c r="A21" s="639">
        <v>3</v>
      </c>
      <c r="B21" s="640" t="s">
        <v>143</v>
      </c>
      <c r="C21" s="646">
        <f>IF(C20=0,0,+C19/C20)</f>
        <v>3.8215040300492995</v>
      </c>
      <c r="D21" s="646">
        <f>IF(D20=0,0,+D19/D20)</f>
        <v>4.060953577880763</v>
      </c>
      <c r="E21" s="646">
        <f>IF(E20=0,0,+E19/E20)</f>
        <v>3.878199675199134</v>
      </c>
    </row>
    <row r="22" spans="1:5" ht="25.5" customHeight="1">
      <c r="A22" s="639">
        <v>4</v>
      </c>
      <c r="B22" s="640" t="s">
        <v>144</v>
      </c>
      <c r="C22" s="645">
        <f>IF(C10=0,0,C19*(C12/C10))</f>
        <v>111785.07657883286</v>
      </c>
      <c r="D22" s="645">
        <f>IF(D10=0,0,D19*(D12/D10))</f>
        <v>119628.554586604</v>
      </c>
      <c r="E22" s="645">
        <f>IF(E10=0,0,E19*(E12/E10))</f>
        <v>114796.59338028225</v>
      </c>
    </row>
    <row r="23" spans="1:5" ht="25.5" customHeight="1">
      <c r="A23" s="639">
        <v>0</v>
      </c>
      <c r="B23" s="640" t="s">
        <v>145</v>
      </c>
      <c r="C23" s="645">
        <f>IF(C10=0,0,C20*(C12/C10))</f>
        <v>29251.591964797895</v>
      </c>
      <c r="D23" s="645">
        <f>IF(D10=0,0,D20*(D12/D10))</f>
        <v>29458.24232963357</v>
      </c>
      <c r="E23" s="645">
        <f>IF(E10=0,0,E20*(E12/E10))</f>
        <v>29600.4855331199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537</v>
      </c>
      <c r="B25" s="642" t="s">
        <v>146</v>
      </c>
      <c r="C25" s="645"/>
      <c r="D25" s="645"/>
      <c r="E25" s="645"/>
    </row>
    <row r="26" spans="1:5" ht="25.5" customHeight="1">
      <c r="A26" s="639">
        <v>1</v>
      </c>
      <c r="B26" s="640" t="s">
        <v>638</v>
      </c>
      <c r="C26" s="647">
        <v>1.0250844275764928</v>
      </c>
      <c r="D26" s="647">
        <v>1.0899615034168566</v>
      </c>
      <c r="E26" s="647">
        <v>1.074452803340809</v>
      </c>
    </row>
    <row r="27" spans="1:5" ht="25.5" customHeight="1">
      <c r="A27" s="639">
        <v>2</v>
      </c>
      <c r="B27" s="640" t="s">
        <v>147</v>
      </c>
      <c r="C27" s="645">
        <f>C19*C26</f>
        <v>50059.998020698025</v>
      </c>
      <c r="D27" s="645">
        <f>D19*D26</f>
        <v>56351.009726651486</v>
      </c>
      <c r="E27" s="645">
        <f>E19*E26</f>
        <v>53882.73363473823</v>
      </c>
    </row>
    <row r="28" spans="1:5" ht="25.5" customHeight="1">
      <c r="A28" s="639">
        <v>3</v>
      </c>
      <c r="B28" s="640" t="s">
        <v>148</v>
      </c>
      <c r="C28" s="645">
        <f>C20*C26</f>
        <v>13099.5539</v>
      </c>
      <c r="D28" s="645">
        <f>D20*D26</f>
        <v>13876.299900000002</v>
      </c>
      <c r="E28" s="645">
        <f>E20*E26</f>
        <v>13893.7492</v>
      </c>
    </row>
    <row r="29" spans="1:5" ht="25.5" customHeight="1">
      <c r="A29" s="639">
        <v>4</v>
      </c>
      <c r="B29" s="640" t="s">
        <v>149</v>
      </c>
      <c r="C29" s="645">
        <f>C22*C26</f>
        <v>114589.14123640729</v>
      </c>
      <c r="D29" s="645">
        <f>D22*D26</f>
        <v>130390.5192088004</v>
      </c>
      <c r="E29" s="645">
        <f>E22*E26</f>
        <v>123343.52157141922</v>
      </c>
    </row>
    <row r="30" spans="1:5" ht="25.5" customHeight="1">
      <c r="A30" s="639">
        <v>5</v>
      </c>
      <c r="B30" s="640" t="s">
        <v>150</v>
      </c>
      <c r="C30" s="645">
        <f>C23*C26</f>
        <v>29985.351404935987</v>
      </c>
      <c r="D30" s="645">
        <f>D23*D26</f>
        <v>32108.35009762549</v>
      </c>
      <c r="E30" s="645">
        <f>E23*E26</f>
        <v>31804.324661309736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558</v>
      </c>
      <c r="B32" s="634" t="s">
        <v>151</v>
      </c>
      <c r="C32" s="648"/>
      <c r="D32" s="648"/>
      <c r="E32" s="645"/>
    </row>
    <row r="33" spans="1:5" ht="25.5" customHeight="1">
      <c r="A33" s="639">
        <v>1</v>
      </c>
      <c r="B33" s="640" t="s">
        <v>152</v>
      </c>
      <c r="C33" s="641">
        <f>IF(C19=0,0,C12/C19)</f>
        <v>13124.019084672878</v>
      </c>
      <c r="D33" s="641">
        <f>IF(D19=0,0,D12/D19)</f>
        <v>14952.60675048356</v>
      </c>
      <c r="E33" s="641">
        <f>IF(E19=0,0,E12/E19)</f>
        <v>16548.314861712097</v>
      </c>
    </row>
    <row r="34" spans="1:5" ht="25.5" customHeight="1">
      <c r="A34" s="639">
        <v>2</v>
      </c>
      <c r="B34" s="640" t="s">
        <v>153</v>
      </c>
      <c r="C34" s="641">
        <f>IF(C20=0,0,C12/C20)</f>
        <v>50153.491822521326</v>
      </c>
      <c r="D34" s="641">
        <f>IF(D20=0,0,D12/D20)</f>
        <v>60721.841882020264</v>
      </c>
      <c r="E34" s="641">
        <f>IF(E20=0,0,E12/E20)</f>
        <v>64177.66932178486</v>
      </c>
    </row>
    <row r="35" spans="1:5" ht="25.5" customHeight="1">
      <c r="A35" s="639">
        <v>3</v>
      </c>
      <c r="B35" s="640" t="s">
        <v>154</v>
      </c>
      <c r="C35" s="641">
        <f>IF(C22=0,0,C12/C22)</f>
        <v>5733.4260673697145</v>
      </c>
      <c r="D35" s="641">
        <f>IF(D22=0,0,D12/D22)</f>
        <v>6462.084003868472</v>
      </c>
      <c r="E35" s="641">
        <f>IF(E22=0,0,E12/E22)</f>
        <v>7229.146942112504</v>
      </c>
    </row>
    <row r="36" spans="1:5" ht="25.5" customHeight="1">
      <c r="A36" s="639">
        <v>4</v>
      </c>
      <c r="B36" s="640" t="s">
        <v>155</v>
      </c>
      <c r="C36" s="641">
        <f>IF(C23=0,0,C12/C23)</f>
        <v>21910.31082244307</v>
      </c>
      <c r="D36" s="641">
        <f>IF(D23=0,0,D12/D23)</f>
        <v>26242.22315607572</v>
      </c>
      <c r="E36" s="641">
        <f>IF(E23=0,0,E12/E23)</f>
        <v>28036.075322867524</v>
      </c>
    </row>
    <row r="37" spans="1:5" ht="25.5" customHeight="1">
      <c r="A37" s="639">
        <v>5</v>
      </c>
      <c r="B37" s="640" t="s">
        <v>156</v>
      </c>
      <c r="C37" s="641">
        <f>IF(C29=0,0,C12/C29)</f>
        <v>5593.125710557027</v>
      </c>
      <c r="D37" s="641">
        <f>IF(D29=0,0,D12/D29)</f>
        <v>5928.726825315263</v>
      </c>
      <c r="E37" s="641">
        <f>IF(E29=0,0,E12/E29)</f>
        <v>6728.212648926813</v>
      </c>
    </row>
    <row r="38" spans="1:5" ht="25.5" customHeight="1">
      <c r="A38" s="639">
        <v>6</v>
      </c>
      <c r="B38" s="640" t="s">
        <v>157</v>
      </c>
      <c r="C38" s="641">
        <f>IF(C30=0,0,C12/C30)</f>
        <v>21374.152443466028</v>
      </c>
      <c r="D38" s="641">
        <f>IF(D30=0,0,D12/D30)</f>
        <v>24076.284413541678</v>
      </c>
      <c r="E38" s="641">
        <f>IF(E30=0,0,E12/E30)</f>
        <v>26093.35210973867</v>
      </c>
    </row>
    <row r="39" spans="1:5" ht="25.5" customHeight="1">
      <c r="A39" s="639">
        <v>7</v>
      </c>
      <c r="B39" s="640" t="s">
        <v>158</v>
      </c>
      <c r="C39" s="641">
        <f>IF(C22=0,0,C10/C22)</f>
        <v>2504.733821088763</v>
      </c>
      <c r="D39" s="641">
        <f>IF(D22=0,0,D10/D22)</f>
        <v>2792.7257347085874</v>
      </c>
      <c r="E39" s="641">
        <f>IF(E22=0,0,E10/E22)</f>
        <v>3158.05965425338</v>
      </c>
    </row>
    <row r="40" spans="1:5" ht="25.5" customHeight="1">
      <c r="A40" s="639">
        <v>8</v>
      </c>
      <c r="B40" s="640" t="s">
        <v>159</v>
      </c>
      <c r="C40" s="641">
        <f>IF(C23=0,0,C10/C23)</f>
        <v>9571.850391491487</v>
      </c>
      <c r="D40" s="641">
        <f>IF(D23=0,0,D10/D23)</f>
        <v>11341.129564404522</v>
      </c>
      <c r="E40" s="641">
        <f>IF(E23=0,0,E10/E23)</f>
        <v>12247.585925384947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570</v>
      </c>
      <c r="B42" s="634" t="s">
        <v>160</v>
      </c>
      <c r="C42" s="641"/>
      <c r="D42" s="641"/>
      <c r="E42" s="641"/>
    </row>
    <row r="43" spans="1:5" ht="25.5" customHeight="1">
      <c r="A43" s="639">
        <v>1</v>
      </c>
      <c r="B43" s="640" t="s">
        <v>161</v>
      </c>
      <c r="C43" s="641">
        <f>IF(C19=0,0,C13/C19)</f>
        <v>4952.370226272141</v>
      </c>
      <c r="D43" s="641">
        <f>IF(D19=0,0,D13/D19)</f>
        <v>5088.839458413927</v>
      </c>
      <c r="E43" s="641">
        <f>IF(E19=0,0,E13/E19)</f>
        <v>5367.170452052882</v>
      </c>
    </row>
    <row r="44" spans="1:5" ht="25.5" customHeight="1">
      <c r="A44" s="639">
        <v>2</v>
      </c>
      <c r="B44" s="640" t="s">
        <v>162</v>
      </c>
      <c r="C44" s="641">
        <f>IF(C20=0,0,C13/C20)</f>
        <v>18925.50277799515</v>
      </c>
      <c r="D44" s="641">
        <f>IF(D20=0,0,D13/D20)</f>
        <v>20665.540805906843</v>
      </c>
      <c r="E44" s="641">
        <f>IF(E20=0,0,E13/E20)</f>
        <v>20814.958703889875</v>
      </c>
    </row>
    <row r="45" spans="1:5" ht="25.5" customHeight="1">
      <c r="A45" s="639">
        <v>3</v>
      </c>
      <c r="B45" s="640" t="s">
        <v>163</v>
      </c>
      <c r="C45" s="641">
        <f>IF(C22=0,0,C13/C22)</f>
        <v>2163.5177735862057</v>
      </c>
      <c r="D45" s="641">
        <f>IF(D22=0,0,D13/D22)</f>
        <v>2199.249175158563</v>
      </c>
      <c r="E45" s="641">
        <f>IF(E22=0,0,E13/E22)</f>
        <v>2344.6534698845103</v>
      </c>
    </row>
    <row r="46" spans="1:5" ht="25.5" customHeight="1">
      <c r="A46" s="639">
        <v>4</v>
      </c>
      <c r="B46" s="640" t="s">
        <v>164</v>
      </c>
      <c r="C46" s="641">
        <f>IF(C23=0,0,C13/C23)</f>
        <v>8267.891890842973</v>
      </c>
      <c r="D46" s="641">
        <f>IF(D23=0,0,D13/D23)</f>
        <v>8931.048806511486</v>
      </c>
      <c r="E46" s="641">
        <f>IF(E23=0,0,E13/E23)</f>
        <v>9093.03432536063</v>
      </c>
    </row>
    <row r="47" spans="1:5" ht="25.5" customHeight="1">
      <c r="A47" s="639">
        <v>5</v>
      </c>
      <c r="B47" s="640" t="s">
        <v>165</v>
      </c>
      <c r="C47" s="641">
        <f>IF(C29=0,0,C13/C29)</f>
        <v>2110.5752027676394</v>
      </c>
      <c r="D47" s="641">
        <f>IF(D29=0,0,D13/D29)</f>
        <v>2017.7310558806576</v>
      </c>
      <c r="E47" s="641">
        <f>IF(E29=0,0,E13/E29)</f>
        <v>2182.183770747539</v>
      </c>
    </row>
    <row r="48" spans="1:5" ht="25.5" customHeight="1">
      <c r="A48" s="639">
        <v>6</v>
      </c>
      <c r="B48" s="640" t="s">
        <v>166</v>
      </c>
      <c r="C48" s="641">
        <f>IF(C30=0,0,C13/C30)</f>
        <v>8065.571643098651</v>
      </c>
      <c r="D48" s="641">
        <f>IF(D30=0,0,D13/D30)</f>
        <v>8193.912150579687</v>
      </c>
      <c r="E48" s="641">
        <f>IF(E30=0,0,E13/E30)</f>
        <v>8462.944390937926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582</v>
      </c>
      <c r="B50" s="634" t="s">
        <v>167</v>
      </c>
      <c r="C50" s="648"/>
      <c r="D50" s="648"/>
      <c r="E50" s="641"/>
    </row>
    <row r="51" spans="1:5" ht="25.5" customHeight="1">
      <c r="A51" s="639">
        <v>1</v>
      </c>
      <c r="B51" s="640" t="s">
        <v>168</v>
      </c>
      <c r="C51" s="641">
        <f>IF(C19=0,0,C16/C19)</f>
        <v>5083.546636633562</v>
      </c>
      <c r="D51" s="641">
        <f>IF(D19=0,0,D16/D19)</f>
        <v>5382.359767891683</v>
      </c>
      <c r="E51" s="641">
        <f>IF(E19=0,0,E16/E19)</f>
        <v>5653.791700731819</v>
      </c>
    </row>
    <row r="52" spans="1:5" ht="25.5" customHeight="1">
      <c r="A52" s="639">
        <v>2</v>
      </c>
      <c r="B52" s="640" t="s">
        <v>169</v>
      </c>
      <c r="C52" s="641">
        <f>IF(C20=0,0,C16/C20)</f>
        <v>19426.79395883872</v>
      </c>
      <c r="D52" s="641">
        <f>IF(D20=0,0,D16/D20)</f>
        <v>21857.513156861205</v>
      </c>
      <c r="E52" s="641">
        <f>IF(E20=0,0,E16/E20)</f>
        <v>21926.5331374217</v>
      </c>
    </row>
    <row r="53" spans="1:5" ht="25.5" customHeight="1">
      <c r="A53" s="639">
        <v>3</v>
      </c>
      <c r="B53" s="640" t="s">
        <v>170</v>
      </c>
      <c r="C53" s="641">
        <f>IF(C22=0,0,C16/C22)</f>
        <v>2220.8241707910456</v>
      </c>
      <c r="D53" s="641">
        <f>IF(D22=0,0,D16/D22)</f>
        <v>2326.100160297017</v>
      </c>
      <c r="E53" s="641">
        <f>IF(E22=0,0,E16/E22)</f>
        <v>2469.864232475562</v>
      </c>
    </row>
    <row r="54" spans="1:5" ht="25.5" customHeight="1">
      <c r="A54" s="639">
        <v>4</v>
      </c>
      <c r="B54" s="640" t="s">
        <v>171</v>
      </c>
      <c r="C54" s="641">
        <f>IF(C23=0,0,C16/C23)</f>
        <v>8486.888518708874</v>
      </c>
      <c r="D54" s="641">
        <f>IF(D23=0,0,D16/D23)</f>
        <v>9446.184768467188</v>
      </c>
      <c r="E54" s="641">
        <f>IF(E23=0,0,E16/E23)</f>
        <v>9578.626664172682</v>
      </c>
    </row>
    <row r="55" spans="1:5" ht="25.5" customHeight="1">
      <c r="A55" s="639">
        <v>5</v>
      </c>
      <c r="B55" s="640" t="s">
        <v>172</v>
      </c>
      <c r="C55" s="641">
        <f>IF(C29=0,0,C16/C29)</f>
        <v>2166.4792782400605</v>
      </c>
      <c r="D55" s="641">
        <f>IF(D29=0,0,D16/D29)</f>
        <v>2134.1122168123015</v>
      </c>
      <c r="E55" s="641">
        <f>IF(E29=0,0,E16/E29)</f>
        <v>2298.7182171203644</v>
      </c>
    </row>
    <row r="56" spans="1:5" ht="25.5" customHeight="1">
      <c r="A56" s="639">
        <v>6</v>
      </c>
      <c r="B56" s="640" t="s">
        <v>173</v>
      </c>
      <c r="C56" s="641">
        <f>IF(C30=0,0,C16/C30)</f>
        <v>8279.209292812688</v>
      </c>
      <c r="D56" s="641">
        <f>IF(D30=0,0,D16/D30)</f>
        <v>8666.530642462963</v>
      </c>
      <c r="E56" s="641">
        <f>IF(E30=0,0,E16/E30)</f>
        <v>8914.88824301053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586</v>
      </c>
      <c r="B58" s="642" t="s">
        <v>174</v>
      </c>
      <c r="C58" s="641"/>
      <c r="D58" s="641"/>
      <c r="E58" s="641"/>
    </row>
    <row r="59" spans="1:5" ht="25.5" customHeight="1">
      <c r="A59" s="639">
        <v>1</v>
      </c>
      <c r="B59" s="640" t="s">
        <v>175</v>
      </c>
      <c r="C59" s="649">
        <v>33828948</v>
      </c>
      <c r="D59" s="649">
        <v>34451485</v>
      </c>
      <c r="E59" s="649">
        <v>34682247</v>
      </c>
    </row>
    <row r="60" spans="1:5" ht="25.5" customHeight="1">
      <c r="A60" s="639">
        <v>2</v>
      </c>
      <c r="B60" s="640" t="s">
        <v>176</v>
      </c>
      <c r="C60" s="649">
        <v>7287900</v>
      </c>
      <c r="D60" s="649">
        <v>8613360</v>
      </c>
      <c r="E60" s="649">
        <v>9364207</v>
      </c>
    </row>
    <row r="61" spans="1:5" ht="25.5" customHeight="1">
      <c r="A61" s="650">
        <v>3</v>
      </c>
      <c r="B61" s="651" t="s">
        <v>177</v>
      </c>
      <c r="C61" s="652">
        <f>C59+C60</f>
        <v>41116848</v>
      </c>
      <c r="D61" s="652">
        <f>D59+D60</f>
        <v>43064845</v>
      </c>
      <c r="E61" s="652">
        <f>E59+E60</f>
        <v>44046454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228</v>
      </c>
      <c r="B63" s="642" t="s">
        <v>178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179</v>
      </c>
      <c r="C64" s="641">
        <v>12900395</v>
      </c>
      <c r="D64" s="641">
        <v>14575885</v>
      </c>
      <c r="E64" s="649">
        <v>16001525</v>
      </c>
      <c r="F64" s="653"/>
    </row>
    <row r="65" spans="1:6" ht="25.5" customHeight="1">
      <c r="A65" s="639">
        <v>2</v>
      </c>
      <c r="B65" s="640" t="s">
        <v>180</v>
      </c>
      <c r="C65" s="649">
        <v>2915160</v>
      </c>
      <c r="D65" s="649">
        <v>3691440</v>
      </c>
      <c r="E65" s="649">
        <v>4320412</v>
      </c>
      <c r="F65" s="653"/>
    </row>
    <row r="66" spans="1:6" ht="25.5" customHeight="1">
      <c r="A66" s="650">
        <v>3</v>
      </c>
      <c r="B66" s="651" t="s">
        <v>181</v>
      </c>
      <c r="C66" s="654">
        <f>C64+C65</f>
        <v>15815555</v>
      </c>
      <c r="D66" s="654">
        <f>D64+D65</f>
        <v>18267325</v>
      </c>
      <c r="E66" s="654">
        <f>E64+E65</f>
        <v>20321937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612</v>
      </c>
      <c r="B68" s="642" t="s">
        <v>182</v>
      </c>
      <c r="C68" s="649"/>
      <c r="D68" s="649"/>
      <c r="E68" s="649"/>
    </row>
    <row r="69" spans="1:5" ht="25.5" customHeight="1">
      <c r="A69" s="639">
        <v>1</v>
      </c>
      <c r="B69" s="640" t="s">
        <v>183</v>
      </c>
      <c r="C69" s="649">
        <v>65041657</v>
      </c>
      <c r="D69" s="649">
        <v>74323630</v>
      </c>
      <c r="E69" s="649">
        <v>71813474</v>
      </c>
    </row>
    <row r="70" spans="1:5" ht="25.5" customHeight="1">
      <c r="A70" s="639">
        <v>2</v>
      </c>
      <c r="B70" s="640" t="s">
        <v>184</v>
      </c>
      <c r="C70" s="649">
        <v>14089940</v>
      </c>
      <c r="D70" s="649">
        <v>18457200</v>
      </c>
      <c r="E70" s="649">
        <v>20460705</v>
      </c>
    </row>
    <row r="71" spans="1:5" ht="25.5" customHeight="1">
      <c r="A71" s="650">
        <v>3</v>
      </c>
      <c r="B71" s="651" t="s">
        <v>185</v>
      </c>
      <c r="C71" s="652">
        <f>C69+C70</f>
        <v>79131597</v>
      </c>
      <c r="D71" s="652">
        <f>D69+D70</f>
        <v>92780830</v>
      </c>
      <c r="E71" s="652">
        <f>E69+E70</f>
        <v>92274179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628</v>
      </c>
      <c r="B74" s="642" t="s">
        <v>186</v>
      </c>
      <c r="C74" s="641"/>
      <c r="D74" s="641"/>
      <c r="E74" s="641"/>
    </row>
    <row r="75" spans="1:5" ht="25.5" customHeight="1">
      <c r="A75" s="639">
        <v>1</v>
      </c>
      <c r="B75" s="640" t="s">
        <v>187</v>
      </c>
      <c r="C75" s="641">
        <f aca="true" t="shared" si="0" ref="C75:E76">+C59+C64+C69</f>
        <v>111771000</v>
      </c>
      <c r="D75" s="641">
        <f t="shared" si="0"/>
        <v>123351000</v>
      </c>
      <c r="E75" s="641">
        <f t="shared" si="0"/>
        <v>122497246</v>
      </c>
    </row>
    <row r="76" spans="1:5" ht="25.5" customHeight="1">
      <c r="A76" s="639">
        <v>2</v>
      </c>
      <c r="B76" s="640" t="s">
        <v>188</v>
      </c>
      <c r="C76" s="641">
        <f t="shared" si="0"/>
        <v>24293000</v>
      </c>
      <c r="D76" s="641">
        <f t="shared" si="0"/>
        <v>30762000</v>
      </c>
      <c r="E76" s="641">
        <f t="shared" si="0"/>
        <v>34145324</v>
      </c>
    </row>
    <row r="77" spans="1:5" ht="25.5" customHeight="1">
      <c r="A77" s="650">
        <v>3</v>
      </c>
      <c r="B77" s="651" t="s">
        <v>186</v>
      </c>
      <c r="C77" s="654">
        <f>C75+C76</f>
        <v>136064000</v>
      </c>
      <c r="D77" s="654">
        <f>D75+D76</f>
        <v>154113000</v>
      </c>
      <c r="E77" s="654">
        <f>E75+E76</f>
        <v>156642570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637</v>
      </c>
      <c r="B79" s="642" t="s">
        <v>189</v>
      </c>
      <c r="C79" s="649"/>
      <c r="D79" s="649"/>
      <c r="E79" s="649"/>
    </row>
    <row r="80" spans="1:5" ht="25.5" customHeight="1">
      <c r="A80" s="639">
        <v>1</v>
      </c>
      <c r="B80" s="640" t="s">
        <v>794</v>
      </c>
      <c r="C80" s="646">
        <v>383.4</v>
      </c>
      <c r="D80" s="646">
        <v>418.5</v>
      </c>
      <c r="E80" s="646">
        <v>338.2</v>
      </c>
    </row>
    <row r="81" spans="1:5" ht="25.5" customHeight="1">
      <c r="A81" s="639">
        <v>2</v>
      </c>
      <c r="B81" s="640" t="s">
        <v>795</v>
      </c>
      <c r="C81" s="646">
        <v>70.2</v>
      </c>
      <c r="D81" s="646">
        <v>65.4</v>
      </c>
      <c r="E81" s="646">
        <v>60.1</v>
      </c>
    </row>
    <row r="82" spans="1:5" ht="25.5" customHeight="1">
      <c r="A82" s="639">
        <v>3</v>
      </c>
      <c r="B82" s="640" t="s">
        <v>190</v>
      </c>
      <c r="C82" s="646">
        <v>1109.7</v>
      </c>
      <c r="D82" s="646">
        <v>1112</v>
      </c>
      <c r="E82" s="646">
        <v>1041.8</v>
      </c>
    </row>
    <row r="83" spans="1:5" ht="25.5" customHeight="1">
      <c r="A83" s="650">
        <v>4</v>
      </c>
      <c r="B83" s="651" t="s">
        <v>189</v>
      </c>
      <c r="C83" s="656">
        <f>C80+C81+C82</f>
        <v>1563.3</v>
      </c>
      <c r="D83" s="656">
        <f>D80+D81+D82</f>
        <v>1595.9</v>
      </c>
      <c r="E83" s="656">
        <f>E80+E81+E82</f>
        <v>1440.1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640</v>
      </c>
      <c r="B85" s="642" t="s">
        <v>191</v>
      </c>
      <c r="C85" s="657"/>
      <c r="D85" s="657"/>
      <c r="E85" s="657"/>
    </row>
    <row r="86" spans="1:5" ht="25.5" customHeight="1">
      <c r="A86" s="639">
        <v>1</v>
      </c>
      <c r="B86" s="640" t="s">
        <v>192</v>
      </c>
      <c r="C86" s="649">
        <f>IF(C80=0,0,C59/C80)</f>
        <v>88234.08450704227</v>
      </c>
      <c r="D86" s="649">
        <f>IF(D80=0,0,D59/D80)</f>
        <v>82321.35005973716</v>
      </c>
      <c r="E86" s="649">
        <f>IF(E80=0,0,E59/E80)</f>
        <v>102549.5180366647</v>
      </c>
    </row>
    <row r="87" spans="1:5" ht="25.5" customHeight="1">
      <c r="A87" s="639">
        <v>2</v>
      </c>
      <c r="B87" s="640" t="s">
        <v>193</v>
      </c>
      <c r="C87" s="649">
        <f>IF(C80=0,0,C60/C80)</f>
        <v>19008.607198748046</v>
      </c>
      <c r="D87" s="649">
        <f>IF(D80=0,0,D60/D80)</f>
        <v>20581.505376344085</v>
      </c>
      <c r="E87" s="649">
        <f>IF(E80=0,0,E60/E80)</f>
        <v>27688.370786516854</v>
      </c>
    </row>
    <row r="88" spans="1:5" ht="25.5" customHeight="1">
      <c r="A88" s="650">
        <v>3</v>
      </c>
      <c r="B88" s="651" t="s">
        <v>194</v>
      </c>
      <c r="C88" s="652">
        <f>+C86+C87</f>
        <v>107242.69170579032</v>
      </c>
      <c r="D88" s="652">
        <f>+D86+D87</f>
        <v>102902.85543608124</v>
      </c>
      <c r="E88" s="652">
        <f>+E86+E87</f>
        <v>130237.88882318155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792</v>
      </c>
      <c r="B90" s="642" t="s">
        <v>195</v>
      </c>
    </row>
    <row r="91" spans="1:5" ht="25.5" customHeight="1">
      <c r="A91" s="639">
        <v>1</v>
      </c>
      <c r="B91" s="640" t="s">
        <v>196</v>
      </c>
      <c r="C91" s="641">
        <f>IF(C81=0,0,C64/C81)</f>
        <v>183766.31054131052</v>
      </c>
      <c r="D91" s="641">
        <f>IF(D81=0,0,D64/D81)</f>
        <v>222872.8593272171</v>
      </c>
      <c r="E91" s="641">
        <f>IF(E81=0,0,E64/E81)</f>
        <v>266248.3361064892</v>
      </c>
    </row>
    <row r="92" spans="1:5" ht="25.5" customHeight="1">
      <c r="A92" s="639">
        <v>2</v>
      </c>
      <c r="B92" s="640" t="s">
        <v>197</v>
      </c>
      <c r="C92" s="641">
        <f>IF(C81=0,0,C65/C81)</f>
        <v>41526.49572649573</v>
      </c>
      <c r="D92" s="641">
        <f>IF(D81=0,0,D65/D81)</f>
        <v>56444.0366972477</v>
      </c>
      <c r="E92" s="641">
        <f>IF(E81=0,0,E65/E81)</f>
        <v>71887.05490848585</v>
      </c>
    </row>
    <row r="93" spans="1:5" ht="25.5" customHeight="1">
      <c r="A93" s="650">
        <v>3</v>
      </c>
      <c r="B93" s="651" t="s">
        <v>198</v>
      </c>
      <c r="C93" s="654">
        <f>+C91+C92</f>
        <v>225292.80626780624</v>
      </c>
      <c r="D93" s="654">
        <f>+D91+D92</f>
        <v>279316.8960244648</v>
      </c>
      <c r="E93" s="654">
        <f>+E91+E92</f>
        <v>338135.39101497503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199</v>
      </c>
      <c r="B95" s="642" t="s">
        <v>200</v>
      </c>
      <c r="C95" s="649"/>
      <c r="D95" s="649"/>
      <c r="E95" s="649"/>
    </row>
    <row r="96" spans="1:5" ht="25.5" customHeight="1">
      <c r="A96" s="639">
        <v>1</v>
      </c>
      <c r="B96" s="640" t="s">
        <v>201</v>
      </c>
      <c r="C96" s="649">
        <f>IF(C82=0,0,C69/C82)</f>
        <v>58611.92844913039</v>
      </c>
      <c r="D96" s="649">
        <f>IF(D82=0,0,D69/D82)</f>
        <v>66837.79676258993</v>
      </c>
      <c r="E96" s="649">
        <f>IF(E82=0,0,E69/E82)</f>
        <v>68932.1117296986</v>
      </c>
    </row>
    <row r="97" spans="1:5" ht="25.5" customHeight="1">
      <c r="A97" s="639">
        <v>2</v>
      </c>
      <c r="B97" s="640" t="s">
        <v>202</v>
      </c>
      <c r="C97" s="649">
        <f>IF(C82=0,0,C70/C82)</f>
        <v>12697.071280526268</v>
      </c>
      <c r="D97" s="649">
        <f>IF(D82=0,0,D70/D82)</f>
        <v>16598.201438848922</v>
      </c>
      <c r="E97" s="649">
        <f>IF(E82=0,0,E70/E82)</f>
        <v>19639.762910347476</v>
      </c>
    </row>
    <row r="98" spans="1:5" ht="25.5" customHeight="1">
      <c r="A98" s="650">
        <v>3</v>
      </c>
      <c r="B98" s="651" t="s">
        <v>203</v>
      </c>
      <c r="C98" s="654">
        <f>+C96+C97</f>
        <v>71308.99972965666</v>
      </c>
      <c r="D98" s="654">
        <f>+D96+D97</f>
        <v>83435.99820143885</v>
      </c>
      <c r="E98" s="654">
        <f>+E96+E97</f>
        <v>88571.87464004608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204</v>
      </c>
      <c r="B100" s="642" t="s">
        <v>205</v>
      </c>
    </row>
    <row r="101" spans="1:5" ht="25.5" customHeight="1">
      <c r="A101" s="639">
        <v>1</v>
      </c>
      <c r="B101" s="640" t="s">
        <v>206</v>
      </c>
      <c r="C101" s="641">
        <f>IF(C83=0,0,C75/C83)</f>
        <v>71496.83362118596</v>
      </c>
      <c r="D101" s="641">
        <f>IF(D83=0,0,D75/D83)</f>
        <v>77292.43686947803</v>
      </c>
      <c r="E101" s="641">
        <f>IF(E83=0,0,E75/E83)</f>
        <v>85061.62488716062</v>
      </c>
    </row>
    <row r="102" spans="1:5" ht="25.5" customHeight="1">
      <c r="A102" s="639">
        <v>2</v>
      </c>
      <c r="B102" s="640" t="s">
        <v>207</v>
      </c>
      <c r="C102" s="658">
        <f>IF(C83=0,0,C76/C83)</f>
        <v>15539.563743363398</v>
      </c>
      <c r="D102" s="658">
        <f>IF(D83=0,0,D76/D83)</f>
        <v>19275.643837333166</v>
      </c>
      <c r="E102" s="658">
        <f>IF(E83=0,0,E76/E83)</f>
        <v>23710.384001111037</v>
      </c>
    </row>
    <row r="103" spans="1:5" ht="25.5" customHeight="1">
      <c r="A103" s="650">
        <v>3</v>
      </c>
      <c r="B103" s="651" t="s">
        <v>205</v>
      </c>
      <c r="C103" s="654">
        <f>+C101+C102</f>
        <v>87036.39736454935</v>
      </c>
      <c r="D103" s="654">
        <f>+D101+D102</f>
        <v>96568.08070681119</v>
      </c>
      <c r="E103" s="654">
        <f>+E101+E102</f>
        <v>108772.00888827167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208</v>
      </c>
      <c r="B107" s="634" t="s">
        <v>209</v>
      </c>
      <c r="C107" s="659"/>
      <c r="D107" s="659"/>
      <c r="E107" s="641"/>
    </row>
    <row r="108" spans="1:5" ht="25.5" customHeight="1">
      <c r="A108" s="639">
        <v>1</v>
      </c>
      <c r="B108" s="640" t="s">
        <v>210</v>
      </c>
      <c r="C108" s="641">
        <f>IF(C19=0,0,C77/C19)</f>
        <v>2786.198423262005</v>
      </c>
      <c r="D108" s="641">
        <f>IF(D19=0,0,D77/D19)</f>
        <v>2980.909090909091</v>
      </c>
      <c r="E108" s="641">
        <f>IF(E19=0,0,E77/E19)</f>
        <v>3123.5432411413985</v>
      </c>
    </row>
    <row r="109" spans="1:5" ht="25.5" customHeight="1">
      <c r="A109" s="639">
        <v>2</v>
      </c>
      <c r="B109" s="640" t="s">
        <v>211</v>
      </c>
      <c r="C109" s="641">
        <f>IF(C20=0,0,C77/C20)</f>
        <v>10647.468503012755</v>
      </c>
      <c r="D109" s="641">
        <f>IF(D20=0,0,D77/D20)</f>
        <v>12105.333438064567</v>
      </c>
      <c r="E109" s="641">
        <f>IF(E20=0,0,E77/E20)</f>
        <v>12113.724383265022</v>
      </c>
    </row>
    <row r="110" spans="1:5" ht="25.5" customHeight="1">
      <c r="A110" s="639">
        <v>3</v>
      </c>
      <c r="B110" s="640" t="s">
        <v>212</v>
      </c>
      <c r="C110" s="641">
        <f>IF(C22=0,0,C77/C22)</f>
        <v>1217.1928862440345</v>
      </c>
      <c r="D110" s="641">
        <f>IF(D22=0,0,D77/D22)</f>
        <v>1288.2626604706763</v>
      </c>
      <c r="E110" s="641">
        <f>IF(E22=0,0,E77/E22)</f>
        <v>1364.5228084521304</v>
      </c>
    </row>
    <row r="111" spans="1:5" ht="25.5" customHeight="1">
      <c r="A111" s="639">
        <v>4</v>
      </c>
      <c r="B111" s="640" t="s">
        <v>213</v>
      </c>
      <c r="C111" s="641">
        <f>IF(C23=0,0,C77/C23)</f>
        <v>4651.507520128916</v>
      </c>
      <c r="D111" s="641">
        <f>IF(D23=0,0,D77/D23)</f>
        <v>5231.574860288584</v>
      </c>
      <c r="E111" s="641">
        <f>IF(E23=0,0,E77/E23)</f>
        <v>5291.891912540863</v>
      </c>
    </row>
    <row r="112" spans="1:5" ht="25.5" customHeight="1">
      <c r="A112" s="639">
        <v>5</v>
      </c>
      <c r="B112" s="640" t="s">
        <v>214</v>
      </c>
      <c r="C112" s="641">
        <f>IF(C29=0,0,C77/C29)</f>
        <v>1187.4074500592358</v>
      </c>
      <c r="D112" s="641">
        <f>IF(D29=0,0,D77/D29)</f>
        <v>1181.9340925639824</v>
      </c>
      <c r="E112" s="641">
        <f>IF(E29=0,0,E77/E29)</f>
        <v>1269.9699830550057</v>
      </c>
    </row>
    <row r="113" spans="1:5" ht="25.5" customHeight="1">
      <c r="A113" s="639">
        <v>6</v>
      </c>
      <c r="B113" s="640" t="s">
        <v>215</v>
      </c>
      <c r="C113" s="641">
        <f>IF(C30=0,0,C77/C30)</f>
        <v>4537.682355711931</v>
      </c>
      <c r="D113" s="641">
        <f>IF(D30=0,0,D77/D30)</f>
        <v>4799.779482016957</v>
      </c>
      <c r="E113" s="641">
        <f>IF(E30=0,0,E77/E30)</f>
        <v>4925.197175796573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FILING&amp;R&amp;12GREENWICH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216</v>
      </c>
      <c r="C1" s="57"/>
      <c r="D1" s="57"/>
      <c r="E1" s="57"/>
      <c r="F1" s="58"/>
    </row>
    <row r="2" spans="1:6" ht="22.5" customHeight="1">
      <c r="A2" s="57"/>
      <c r="B2" s="57" t="s">
        <v>217</v>
      </c>
      <c r="C2" s="57"/>
      <c r="D2" s="57"/>
      <c r="E2" s="57"/>
      <c r="F2" s="58"/>
    </row>
    <row r="3" spans="1:6" ht="22.5" customHeight="1">
      <c r="A3" s="57"/>
      <c r="B3" s="57" t="s">
        <v>218</v>
      </c>
      <c r="C3" s="57"/>
      <c r="D3" s="57"/>
      <c r="E3" s="57"/>
      <c r="F3" s="58"/>
    </row>
    <row r="4" spans="1:6" ht="22.5" customHeight="1">
      <c r="A4" s="57"/>
      <c r="B4" s="57" t="s">
        <v>285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220</v>
      </c>
      <c r="D6" s="10" t="s">
        <v>221</v>
      </c>
      <c r="E6" s="59" t="s">
        <v>222</v>
      </c>
      <c r="F6" s="59" t="s">
        <v>223</v>
      </c>
    </row>
    <row r="7" spans="1:8" ht="15.75" customHeight="1">
      <c r="A7" s="61" t="s">
        <v>224</v>
      </c>
      <c r="B7" s="62" t="s">
        <v>225</v>
      </c>
      <c r="C7" s="14" t="s">
        <v>226</v>
      </c>
      <c r="D7" s="14" t="s">
        <v>226</v>
      </c>
      <c r="E7" s="63" t="s">
        <v>227</v>
      </c>
      <c r="F7" s="63" t="s">
        <v>227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230</v>
      </c>
      <c r="B11" s="30" t="s">
        <v>286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287</v>
      </c>
      <c r="C12" s="51">
        <v>773050000</v>
      </c>
      <c r="D12" s="51">
        <v>829881000</v>
      </c>
      <c r="E12" s="51">
        <f aca="true" t="shared" si="0" ref="E12:E19">D12-C12</f>
        <v>56831000</v>
      </c>
      <c r="F12" s="70">
        <f aca="true" t="shared" si="1" ref="F12:F19">IF(C12=0,0,E12/C12)</f>
        <v>0.07351529655261627</v>
      </c>
    </row>
    <row r="13" spans="1:6" ht="22.5" customHeight="1">
      <c r="A13" s="25">
        <v>2</v>
      </c>
      <c r="B13" s="48" t="s">
        <v>288</v>
      </c>
      <c r="C13" s="51">
        <v>472834000</v>
      </c>
      <c r="D13" s="51">
        <v>518529544</v>
      </c>
      <c r="E13" s="51">
        <f t="shared" si="0"/>
        <v>45695544</v>
      </c>
      <c r="F13" s="70">
        <f t="shared" si="1"/>
        <v>0.09664183201715612</v>
      </c>
    </row>
    <row r="14" spans="1:6" ht="22.5" customHeight="1">
      <c r="A14" s="25">
        <v>3</v>
      </c>
      <c r="B14" s="48" t="s">
        <v>289</v>
      </c>
      <c r="C14" s="51">
        <v>22244000</v>
      </c>
      <c r="D14" s="51">
        <v>25185225</v>
      </c>
      <c r="E14" s="51">
        <f t="shared" si="0"/>
        <v>2941225</v>
      </c>
      <c r="F14" s="70">
        <f t="shared" si="1"/>
        <v>0.1322255439669124</v>
      </c>
    </row>
    <row r="15" spans="1:7" ht="22.5" customHeight="1">
      <c r="A15" s="25">
        <v>4</v>
      </c>
      <c r="B15" s="48" t="s">
        <v>290</v>
      </c>
      <c r="C15" s="51">
        <v>14879000</v>
      </c>
      <c r="D15" s="51">
        <v>17008000</v>
      </c>
      <c r="E15" s="51">
        <f t="shared" si="0"/>
        <v>2129000</v>
      </c>
      <c r="F15" s="70">
        <f t="shared" si="1"/>
        <v>0.14308757308958936</v>
      </c>
      <c r="G15" s="64"/>
    </row>
    <row r="16" spans="1:6" ht="22.5" customHeight="1">
      <c r="A16" s="29"/>
      <c r="B16" s="71" t="s">
        <v>291</v>
      </c>
      <c r="C16" s="27">
        <f>C12-C13-C14-C15</f>
        <v>263093000</v>
      </c>
      <c r="D16" s="27">
        <f>D12-D13-D14-D15</f>
        <v>269158231</v>
      </c>
      <c r="E16" s="27">
        <f t="shared" si="0"/>
        <v>6065231</v>
      </c>
      <c r="F16" s="28">
        <f t="shared" si="1"/>
        <v>0.0230535628085886</v>
      </c>
    </row>
    <row r="17" spans="1:7" ht="22.5" customHeight="1">
      <c r="A17" s="25">
        <v>5</v>
      </c>
      <c r="B17" s="48" t="s">
        <v>292</v>
      </c>
      <c r="C17" s="51">
        <v>14346000</v>
      </c>
      <c r="D17" s="51">
        <v>18508769</v>
      </c>
      <c r="E17" s="51">
        <f t="shared" si="0"/>
        <v>4162769</v>
      </c>
      <c r="F17" s="70">
        <f t="shared" si="1"/>
        <v>0.29016931548863795</v>
      </c>
      <c r="G17" s="64"/>
    </row>
    <row r="18" spans="1:7" ht="22.5" customHeight="1">
      <c r="A18" s="25">
        <v>6</v>
      </c>
      <c r="B18" s="45" t="s">
        <v>293</v>
      </c>
      <c r="C18" s="51">
        <v>7206000</v>
      </c>
      <c r="D18" s="51">
        <v>6439000</v>
      </c>
      <c r="E18" s="51">
        <f t="shared" si="0"/>
        <v>-767000</v>
      </c>
      <c r="F18" s="70">
        <f t="shared" si="1"/>
        <v>-0.1064390785456564</v>
      </c>
      <c r="G18" s="64"/>
    </row>
    <row r="19" spans="1:6" ht="22.5" customHeight="1">
      <c r="A19" s="29"/>
      <c r="B19" s="71" t="s">
        <v>294</v>
      </c>
      <c r="C19" s="27">
        <f>SUM(C16:C18)</f>
        <v>284645000</v>
      </c>
      <c r="D19" s="27">
        <f>SUM(D16:D18)</f>
        <v>294106000</v>
      </c>
      <c r="E19" s="27">
        <f t="shared" si="0"/>
        <v>9461000</v>
      </c>
      <c r="F19" s="28">
        <f t="shared" si="1"/>
        <v>0.033237892813855856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242</v>
      </c>
      <c r="B21" s="30" t="s">
        <v>295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296</v>
      </c>
      <c r="C22" s="51">
        <v>123351000</v>
      </c>
      <c r="D22" s="51">
        <v>122497246</v>
      </c>
      <c r="E22" s="51">
        <f aca="true" t="shared" si="2" ref="E22:E31">D22-C22</f>
        <v>-853754</v>
      </c>
      <c r="F22" s="70">
        <f aca="true" t="shared" si="3" ref="F22:F31">IF(C22=0,0,E22/C22)</f>
        <v>-0.006921338294784801</v>
      </c>
    </row>
    <row r="23" spans="1:6" ht="22.5" customHeight="1">
      <c r="A23" s="25">
        <v>2</v>
      </c>
      <c r="B23" s="48" t="s">
        <v>297</v>
      </c>
      <c r="C23" s="51">
        <v>30762000</v>
      </c>
      <c r="D23" s="51">
        <v>34145324</v>
      </c>
      <c r="E23" s="51">
        <f t="shared" si="2"/>
        <v>3383324</v>
      </c>
      <c r="F23" s="70">
        <f t="shared" si="3"/>
        <v>0.10998387621090956</v>
      </c>
    </row>
    <row r="24" spans="1:7" ht="22.5" customHeight="1">
      <c r="A24" s="25">
        <v>3</v>
      </c>
      <c r="B24" s="48" t="s">
        <v>298</v>
      </c>
      <c r="C24" s="51">
        <v>1002694</v>
      </c>
      <c r="D24" s="51">
        <v>3751612</v>
      </c>
      <c r="E24" s="51">
        <f t="shared" si="2"/>
        <v>2748918</v>
      </c>
      <c r="F24" s="70">
        <f t="shared" si="3"/>
        <v>2.741532311951602</v>
      </c>
      <c r="G24" s="64"/>
    </row>
    <row r="25" spans="1:6" ht="22.5" customHeight="1">
      <c r="A25" s="25">
        <v>4</v>
      </c>
      <c r="B25" s="48" t="s">
        <v>299</v>
      </c>
      <c r="C25" s="51">
        <v>31780635</v>
      </c>
      <c r="D25" s="51">
        <v>32944899</v>
      </c>
      <c r="E25" s="51">
        <f t="shared" si="2"/>
        <v>1164264</v>
      </c>
      <c r="F25" s="70">
        <f t="shared" si="3"/>
        <v>0.036634384429386005</v>
      </c>
    </row>
    <row r="26" spans="1:6" ht="22.5" customHeight="1">
      <c r="A26" s="25">
        <v>5</v>
      </c>
      <c r="B26" s="48" t="s">
        <v>300</v>
      </c>
      <c r="C26" s="51">
        <v>16861000</v>
      </c>
      <c r="D26" s="51">
        <v>19015000</v>
      </c>
      <c r="E26" s="51">
        <f t="shared" si="2"/>
        <v>2154000</v>
      </c>
      <c r="F26" s="70">
        <f t="shared" si="3"/>
        <v>0.12775042998635905</v>
      </c>
    </row>
    <row r="27" spans="1:6" ht="22.5" customHeight="1">
      <c r="A27" s="25">
        <v>6</v>
      </c>
      <c r="B27" s="48" t="s">
        <v>301</v>
      </c>
      <c r="C27" s="51">
        <v>10117000</v>
      </c>
      <c r="D27" s="51">
        <v>7851000</v>
      </c>
      <c r="E27" s="51">
        <f t="shared" si="2"/>
        <v>-2266000</v>
      </c>
      <c r="F27" s="70">
        <f t="shared" si="3"/>
        <v>-0.22397944054561628</v>
      </c>
    </row>
    <row r="28" spans="1:6" ht="22.5" customHeight="1">
      <c r="A28" s="25">
        <v>7</v>
      </c>
      <c r="B28" s="48" t="s">
        <v>302</v>
      </c>
      <c r="C28" s="51">
        <v>2205000</v>
      </c>
      <c r="D28" s="51">
        <v>669000</v>
      </c>
      <c r="E28" s="51">
        <f t="shared" si="2"/>
        <v>-1536000</v>
      </c>
      <c r="F28" s="70">
        <f t="shared" si="3"/>
        <v>-0.6965986394557823</v>
      </c>
    </row>
    <row r="29" spans="1:6" ht="22.5" customHeight="1">
      <c r="A29" s="25">
        <v>8</v>
      </c>
      <c r="B29" s="48" t="s">
        <v>303</v>
      </c>
      <c r="C29" s="51">
        <v>3865478</v>
      </c>
      <c r="D29" s="51">
        <v>2858541</v>
      </c>
      <c r="E29" s="51">
        <f t="shared" si="2"/>
        <v>-1006937</v>
      </c>
      <c r="F29" s="70">
        <f t="shared" si="3"/>
        <v>-0.26049482108034244</v>
      </c>
    </row>
    <row r="30" spans="1:6" ht="22.5" customHeight="1">
      <c r="A30" s="25">
        <v>9</v>
      </c>
      <c r="B30" s="48" t="s">
        <v>304</v>
      </c>
      <c r="C30" s="51">
        <v>58323193</v>
      </c>
      <c r="D30" s="51">
        <v>59799378</v>
      </c>
      <c r="E30" s="51">
        <f t="shared" si="2"/>
        <v>1476185</v>
      </c>
      <c r="F30" s="70">
        <f t="shared" si="3"/>
        <v>0.02531042839166916</v>
      </c>
    </row>
    <row r="31" spans="1:6" ht="22.5" customHeight="1">
      <c r="A31" s="29"/>
      <c r="B31" s="71" t="s">
        <v>305</v>
      </c>
      <c r="C31" s="27">
        <f>SUM(C22:C30)</f>
        <v>278268000</v>
      </c>
      <c r="D31" s="27">
        <f>SUM(D22:D30)</f>
        <v>283532000</v>
      </c>
      <c r="E31" s="27">
        <f t="shared" si="2"/>
        <v>5264000</v>
      </c>
      <c r="F31" s="28">
        <f t="shared" si="3"/>
        <v>0.01891701525148418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306</v>
      </c>
      <c r="C33" s="27">
        <f>+C19-C31</f>
        <v>6377000</v>
      </c>
      <c r="D33" s="27">
        <f>+D19-D31</f>
        <v>10574000</v>
      </c>
      <c r="E33" s="27">
        <f>D33-C33</f>
        <v>4197000</v>
      </c>
      <c r="F33" s="28">
        <f>IF(C33=0,0,E33/C33)</f>
        <v>0.6581464638544771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252</v>
      </c>
      <c r="B35" s="30" t="s">
        <v>307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308</v>
      </c>
      <c r="C36" s="51">
        <v>2596000</v>
      </c>
      <c r="D36" s="51">
        <v>1478000</v>
      </c>
      <c r="E36" s="51">
        <f>D36-C36</f>
        <v>-1118000</v>
      </c>
      <c r="F36" s="70">
        <f>IF(C36=0,0,E36/C36)</f>
        <v>-0.4306625577812018</v>
      </c>
    </row>
    <row r="37" spans="1:6" ht="22.5" customHeight="1">
      <c r="A37" s="44">
        <v>2</v>
      </c>
      <c r="B37" s="48" t="s">
        <v>309</v>
      </c>
      <c r="C37" s="51">
        <v>1689000</v>
      </c>
      <c r="D37" s="51">
        <v>2571000</v>
      </c>
      <c r="E37" s="51">
        <f>D37-C37</f>
        <v>882000</v>
      </c>
      <c r="F37" s="70">
        <f>IF(C37=0,0,E37/C37)</f>
        <v>0.522202486678508</v>
      </c>
    </row>
    <row r="38" spans="1:6" ht="22.5" customHeight="1">
      <c r="A38" s="44">
        <v>3</v>
      </c>
      <c r="B38" s="48" t="s">
        <v>310</v>
      </c>
      <c r="C38" s="51">
        <v>-20184000</v>
      </c>
      <c r="D38" s="51">
        <v>-7268000</v>
      </c>
      <c r="E38" s="51">
        <f>D38-C38</f>
        <v>12916000</v>
      </c>
      <c r="F38" s="70">
        <f>IF(C38=0,0,E38/C38)</f>
        <v>-0.6399128022195799</v>
      </c>
    </row>
    <row r="39" spans="1:6" ht="22.5" customHeight="1">
      <c r="A39" s="20"/>
      <c r="B39" s="71" t="s">
        <v>311</v>
      </c>
      <c r="C39" s="27">
        <f>SUM(C36:C38)</f>
        <v>-15899000</v>
      </c>
      <c r="D39" s="27">
        <f>SUM(D36:D38)</f>
        <v>-3219000</v>
      </c>
      <c r="E39" s="27">
        <f>D39-C39</f>
        <v>12680000</v>
      </c>
      <c r="F39" s="28">
        <f>IF(C39=0,0,E39/C39)</f>
        <v>-0.7975344361280584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312</v>
      </c>
      <c r="C41" s="27">
        <f>C33+C39</f>
        <v>-9522000</v>
      </c>
      <c r="D41" s="27">
        <f>D33+D39</f>
        <v>7355000</v>
      </c>
      <c r="E41" s="27">
        <f>D41-C41</f>
        <v>16877000</v>
      </c>
      <c r="F41" s="28">
        <f>IF(C41=0,0,E41/C41)</f>
        <v>-1.7724217601344257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313</v>
      </c>
      <c r="C43" s="27"/>
      <c r="D43" s="27"/>
      <c r="E43" s="27"/>
      <c r="F43" s="28"/>
    </row>
    <row r="44" spans="1:6" ht="22.5" customHeight="1">
      <c r="A44" s="44"/>
      <c r="B44" s="48" t="s">
        <v>314</v>
      </c>
      <c r="C44" s="51">
        <v>0</v>
      </c>
      <c r="D44" s="51">
        <v>6098000</v>
      </c>
      <c r="E44" s="51">
        <f>D44-C44</f>
        <v>6098000</v>
      </c>
      <c r="F44" s="70">
        <f>IF(C44=0,0,E44/C44)</f>
        <v>0</v>
      </c>
    </row>
    <row r="45" spans="1:6" ht="22.5" customHeight="1">
      <c r="A45" s="44"/>
      <c r="B45" s="48" t="s">
        <v>315</v>
      </c>
      <c r="C45" s="51">
        <v>0</v>
      </c>
      <c r="D45" s="51">
        <v>-3971000</v>
      </c>
      <c r="E45" s="51">
        <f>D45-C45</f>
        <v>-3971000</v>
      </c>
      <c r="F45" s="70">
        <f>IF(C45=0,0,E45/C45)</f>
        <v>0</v>
      </c>
    </row>
    <row r="46" spans="1:6" ht="22.5" customHeight="1">
      <c r="A46" s="20"/>
      <c r="B46" s="74" t="s">
        <v>316</v>
      </c>
      <c r="C46" s="27">
        <f>SUM(C44:C45)</f>
        <v>0</v>
      </c>
      <c r="D46" s="27">
        <f>SUM(D44:D45)</f>
        <v>2127000</v>
      </c>
      <c r="E46" s="27">
        <f>D46-C46</f>
        <v>2127000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317</v>
      </c>
      <c r="C48" s="27">
        <f>C41+C46</f>
        <v>-9522000</v>
      </c>
      <c r="D48" s="27">
        <f>D41+D46</f>
        <v>9482000</v>
      </c>
      <c r="E48" s="27">
        <f>D48-C48</f>
        <v>19004000</v>
      </c>
      <c r="F48" s="28">
        <f>IF(C48=0,0,E48/C48)</f>
        <v>-1.9957992018483512</v>
      </c>
    </row>
    <row r="49" spans="1:6" ht="22.5" customHeight="1">
      <c r="A49" s="44"/>
      <c r="B49" s="48" t="s">
        <v>318</v>
      </c>
      <c r="C49" s="51">
        <v>0</v>
      </c>
      <c r="D49" s="51">
        <v>2190000</v>
      </c>
      <c r="E49" s="51">
        <f>D49-C49</f>
        <v>2190000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FILING&amp;RGREENWICH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selection activeCell="B43" sqref="B4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7.851562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216</v>
      </c>
      <c r="B2" s="675"/>
      <c r="C2" s="675"/>
      <c r="D2" s="675"/>
      <c r="E2" s="675"/>
      <c r="F2" s="675"/>
    </row>
    <row r="3" spans="1:6" ht="18" customHeight="1">
      <c r="A3" s="675" t="s">
        <v>217</v>
      </c>
      <c r="B3" s="675"/>
      <c r="C3" s="675"/>
      <c r="D3" s="675"/>
      <c r="E3" s="675"/>
      <c r="F3" s="675"/>
    </row>
    <row r="4" spans="1:6" ht="18" customHeight="1">
      <c r="A4" s="675" t="s">
        <v>218</v>
      </c>
      <c r="B4" s="675"/>
      <c r="C4" s="675"/>
      <c r="D4" s="675"/>
      <c r="E4" s="675"/>
      <c r="F4" s="675"/>
    </row>
    <row r="5" spans="1:6" ht="18" customHeight="1">
      <c r="A5" s="675" t="s">
        <v>319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224</v>
      </c>
      <c r="B8" s="87" t="s">
        <v>320</v>
      </c>
      <c r="C8" s="88" t="s">
        <v>321</v>
      </c>
      <c r="D8" s="89" t="s">
        <v>322</v>
      </c>
      <c r="E8" s="90" t="s">
        <v>323</v>
      </c>
      <c r="F8" s="91" t="s">
        <v>324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228</v>
      </c>
      <c r="B10" s="667" t="s">
        <v>325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326</v>
      </c>
      <c r="B13" s="95" t="s">
        <v>327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328</v>
      </c>
      <c r="C14" s="97">
        <v>160828682</v>
      </c>
      <c r="D14" s="97">
        <v>175236378</v>
      </c>
      <c r="E14" s="97">
        <f aca="true" t="shared" si="0" ref="E14:E25">D14-C14</f>
        <v>14407696</v>
      </c>
      <c r="F14" s="98">
        <f aca="true" t="shared" si="1" ref="F14:F25">IF(C14=0,0,E14/C14)</f>
        <v>0.0895841203250052</v>
      </c>
    </row>
    <row r="15" spans="1:6" ht="18" customHeight="1">
      <c r="A15" s="99">
        <v>2</v>
      </c>
      <c r="B15" s="100" t="s">
        <v>329</v>
      </c>
      <c r="C15" s="97">
        <v>13700404</v>
      </c>
      <c r="D15" s="97">
        <v>16239151</v>
      </c>
      <c r="E15" s="97">
        <f t="shared" si="0"/>
        <v>2538747</v>
      </c>
      <c r="F15" s="98">
        <f t="shared" si="1"/>
        <v>0.1853045355450832</v>
      </c>
    </row>
    <row r="16" spans="1:6" ht="18" customHeight="1">
      <c r="A16" s="99">
        <v>3</v>
      </c>
      <c r="B16" s="100" t="s">
        <v>330</v>
      </c>
      <c r="C16" s="97">
        <v>2707169</v>
      </c>
      <c r="D16" s="97">
        <v>4009405</v>
      </c>
      <c r="E16" s="97">
        <f t="shared" si="0"/>
        <v>1302236</v>
      </c>
      <c r="F16" s="98">
        <f t="shared" si="1"/>
        <v>0.48103239952880666</v>
      </c>
    </row>
    <row r="17" spans="1:6" ht="18" customHeight="1">
      <c r="A17" s="99">
        <v>4</v>
      </c>
      <c r="B17" s="100" t="s">
        <v>331</v>
      </c>
      <c r="C17" s="97">
        <v>903939</v>
      </c>
      <c r="D17" s="97">
        <v>1964948</v>
      </c>
      <c r="E17" s="97">
        <f t="shared" si="0"/>
        <v>1061009</v>
      </c>
      <c r="F17" s="98">
        <f t="shared" si="1"/>
        <v>1.1737617250721564</v>
      </c>
    </row>
    <row r="18" spans="1:6" ht="18" customHeight="1">
      <c r="A18" s="99">
        <v>5</v>
      </c>
      <c r="B18" s="100" t="s">
        <v>332</v>
      </c>
      <c r="C18" s="97">
        <v>114189</v>
      </c>
      <c r="D18" s="97">
        <v>266274</v>
      </c>
      <c r="E18" s="97">
        <f t="shared" si="0"/>
        <v>152085</v>
      </c>
      <c r="F18" s="98">
        <f t="shared" si="1"/>
        <v>1.3318708457031763</v>
      </c>
    </row>
    <row r="19" spans="1:6" ht="18" customHeight="1">
      <c r="A19" s="99">
        <v>6</v>
      </c>
      <c r="B19" s="100" t="s">
        <v>333</v>
      </c>
      <c r="C19" s="97">
        <v>48437412</v>
      </c>
      <c r="D19" s="97">
        <v>52930954</v>
      </c>
      <c r="E19" s="97">
        <f t="shared" si="0"/>
        <v>4493542</v>
      </c>
      <c r="F19" s="98">
        <f t="shared" si="1"/>
        <v>0.092770067897104</v>
      </c>
    </row>
    <row r="20" spans="1:6" ht="18" customHeight="1">
      <c r="A20" s="99">
        <v>7</v>
      </c>
      <c r="B20" s="100" t="s">
        <v>334</v>
      </c>
      <c r="C20" s="97">
        <v>87022599</v>
      </c>
      <c r="D20" s="97">
        <v>94351059</v>
      </c>
      <c r="E20" s="97">
        <f t="shared" si="0"/>
        <v>7328460</v>
      </c>
      <c r="F20" s="98">
        <f t="shared" si="1"/>
        <v>0.08421329728384692</v>
      </c>
    </row>
    <row r="21" spans="1:6" ht="18" customHeight="1">
      <c r="A21" s="99">
        <v>8</v>
      </c>
      <c r="B21" s="100" t="s">
        <v>335</v>
      </c>
      <c r="C21" s="97">
        <v>1750288</v>
      </c>
      <c r="D21" s="97">
        <v>2167936</v>
      </c>
      <c r="E21" s="97">
        <f t="shared" si="0"/>
        <v>417648</v>
      </c>
      <c r="F21" s="98">
        <f t="shared" si="1"/>
        <v>0.23861673050377996</v>
      </c>
    </row>
    <row r="22" spans="1:6" ht="18" customHeight="1">
      <c r="A22" s="99">
        <v>9</v>
      </c>
      <c r="B22" s="100" t="s">
        <v>336</v>
      </c>
      <c r="C22" s="97">
        <v>9747769</v>
      </c>
      <c r="D22" s="97">
        <v>8103855</v>
      </c>
      <c r="E22" s="97">
        <f t="shared" si="0"/>
        <v>-1643914</v>
      </c>
      <c r="F22" s="98">
        <f t="shared" si="1"/>
        <v>-0.1686451535730894</v>
      </c>
    </row>
    <row r="23" spans="1:6" ht="18" customHeight="1">
      <c r="A23" s="99">
        <v>10</v>
      </c>
      <c r="B23" s="100" t="s">
        <v>337</v>
      </c>
      <c r="C23" s="97">
        <v>852228</v>
      </c>
      <c r="D23" s="97">
        <v>1153931</v>
      </c>
      <c r="E23" s="97">
        <f t="shared" si="0"/>
        <v>301703</v>
      </c>
      <c r="F23" s="98">
        <f t="shared" si="1"/>
        <v>0.35401676546651833</v>
      </c>
    </row>
    <row r="24" spans="1:6" ht="18" customHeight="1">
      <c r="A24" s="99">
        <v>11</v>
      </c>
      <c r="B24" s="100" t="s">
        <v>338</v>
      </c>
      <c r="C24" s="97">
        <v>8025064</v>
      </c>
      <c r="D24" s="97">
        <v>6110599</v>
      </c>
      <c r="E24" s="97">
        <f t="shared" si="0"/>
        <v>-1914465</v>
      </c>
      <c r="F24" s="98">
        <f t="shared" si="1"/>
        <v>-0.238560714282154</v>
      </c>
    </row>
    <row r="25" spans="1:6" ht="18" customHeight="1">
      <c r="A25" s="101"/>
      <c r="B25" s="102" t="s">
        <v>339</v>
      </c>
      <c r="C25" s="103">
        <f>SUM(C14:C24)</f>
        <v>334089743</v>
      </c>
      <c r="D25" s="103">
        <f>SUM(D14:D24)</f>
        <v>362534490</v>
      </c>
      <c r="E25" s="103">
        <f t="shared" si="0"/>
        <v>28444747</v>
      </c>
      <c r="F25" s="104">
        <f t="shared" si="1"/>
        <v>0.08514103649090478</v>
      </c>
    </row>
    <row r="26" spans="1:6" ht="18" customHeight="1">
      <c r="A26" s="94" t="s">
        <v>340</v>
      </c>
      <c r="B26" s="95" t="s">
        <v>341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328</v>
      </c>
      <c r="C27" s="97">
        <v>116512104</v>
      </c>
      <c r="D27" s="97">
        <v>116185492</v>
      </c>
      <c r="E27" s="97">
        <f aca="true" t="shared" si="2" ref="E27:E38">D27-C27</f>
        <v>-326612</v>
      </c>
      <c r="F27" s="98">
        <f aca="true" t="shared" si="3" ref="F27:F38">IF(C27=0,0,E27/C27)</f>
        <v>-0.002803245231928865</v>
      </c>
    </row>
    <row r="28" spans="1:6" ht="18" customHeight="1">
      <c r="A28" s="99">
        <v>2</v>
      </c>
      <c r="B28" s="100" t="s">
        <v>329</v>
      </c>
      <c r="C28" s="97">
        <v>7040010</v>
      </c>
      <c r="D28" s="97">
        <v>8501590</v>
      </c>
      <c r="E28" s="97">
        <f t="shared" si="2"/>
        <v>1461580</v>
      </c>
      <c r="F28" s="98">
        <f t="shared" si="3"/>
        <v>0.20761050055326627</v>
      </c>
    </row>
    <row r="29" spans="1:6" ht="18" customHeight="1">
      <c r="A29" s="99">
        <v>3</v>
      </c>
      <c r="B29" s="100" t="s">
        <v>330</v>
      </c>
      <c r="C29" s="97">
        <v>2855986</v>
      </c>
      <c r="D29" s="97">
        <v>3706262</v>
      </c>
      <c r="E29" s="97">
        <f t="shared" si="2"/>
        <v>850276</v>
      </c>
      <c r="F29" s="98">
        <f t="shared" si="3"/>
        <v>0.2977171456722827</v>
      </c>
    </row>
    <row r="30" spans="1:6" ht="18" customHeight="1">
      <c r="A30" s="99">
        <v>4</v>
      </c>
      <c r="B30" s="100" t="s">
        <v>331</v>
      </c>
      <c r="C30" s="97">
        <v>5149748</v>
      </c>
      <c r="D30" s="97">
        <v>7316967</v>
      </c>
      <c r="E30" s="97">
        <f t="shared" si="2"/>
        <v>2167219</v>
      </c>
      <c r="F30" s="98">
        <f t="shared" si="3"/>
        <v>0.4208398158511834</v>
      </c>
    </row>
    <row r="31" spans="1:6" ht="18" customHeight="1">
      <c r="A31" s="99">
        <v>5</v>
      </c>
      <c r="B31" s="100" t="s">
        <v>332</v>
      </c>
      <c r="C31" s="97">
        <v>164648</v>
      </c>
      <c r="D31" s="97">
        <v>377926</v>
      </c>
      <c r="E31" s="97">
        <f t="shared" si="2"/>
        <v>213278</v>
      </c>
      <c r="F31" s="98">
        <f t="shared" si="3"/>
        <v>1.2953573684466255</v>
      </c>
    </row>
    <row r="32" spans="1:6" ht="18" customHeight="1">
      <c r="A32" s="99">
        <v>6</v>
      </c>
      <c r="B32" s="100" t="s">
        <v>333</v>
      </c>
      <c r="C32" s="97">
        <v>93510768</v>
      </c>
      <c r="D32" s="97">
        <v>103853032</v>
      </c>
      <c r="E32" s="97">
        <f t="shared" si="2"/>
        <v>10342264</v>
      </c>
      <c r="F32" s="98">
        <f t="shared" si="3"/>
        <v>0.11059971189628129</v>
      </c>
    </row>
    <row r="33" spans="1:6" ht="18" customHeight="1">
      <c r="A33" s="99">
        <v>7</v>
      </c>
      <c r="B33" s="100" t="s">
        <v>334</v>
      </c>
      <c r="C33" s="97">
        <v>180299731</v>
      </c>
      <c r="D33" s="97">
        <v>189416667</v>
      </c>
      <c r="E33" s="97">
        <f t="shared" si="2"/>
        <v>9116936</v>
      </c>
      <c r="F33" s="98">
        <f t="shared" si="3"/>
        <v>0.05056544427123965</v>
      </c>
    </row>
    <row r="34" spans="1:6" ht="18" customHeight="1">
      <c r="A34" s="99">
        <v>8</v>
      </c>
      <c r="B34" s="100" t="s">
        <v>335</v>
      </c>
      <c r="C34" s="97">
        <v>5377540</v>
      </c>
      <c r="D34" s="97">
        <v>5673371</v>
      </c>
      <c r="E34" s="97">
        <f t="shared" si="2"/>
        <v>295831</v>
      </c>
      <c r="F34" s="98">
        <f t="shared" si="3"/>
        <v>0.05501232905752444</v>
      </c>
    </row>
    <row r="35" spans="1:6" ht="18" customHeight="1">
      <c r="A35" s="99">
        <v>9</v>
      </c>
      <c r="B35" s="100" t="s">
        <v>336</v>
      </c>
      <c r="C35" s="97">
        <v>23234227</v>
      </c>
      <c r="D35" s="97">
        <v>25299716</v>
      </c>
      <c r="E35" s="97">
        <f t="shared" si="2"/>
        <v>2065489</v>
      </c>
      <c r="F35" s="98">
        <f t="shared" si="3"/>
        <v>0.08889854609753102</v>
      </c>
    </row>
    <row r="36" spans="1:6" ht="18" customHeight="1">
      <c r="A36" s="99">
        <v>10</v>
      </c>
      <c r="B36" s="100" t="s">
        <v>337</v>
      </c>
      <c r="C36" s="97">
        <v>607200</v>
      </c>
      <c r="D36" s="97">
        <v>1345923</v>
      </c>
      <c r="E36" s="97">
        <f t="shared" si="2"/>
        <v>738723</v>
      </c>
      <c r="F36" s="98">
        <f t="shared" si="3"/>
        <v>1.2166057312252965</v>
      </c>
    </row>
    <row r="37" spans="1:6" ht="18" customHeight="1">
      <c r="A37" s="99">
        <v>11</v>
      </c>
      <c r="B37" s="100" t="s">
        <v>338</v>
      </c>
      <c r="C37" s="97">
        <v>4208064</v>
      </c>
      <c r="D37" s="97">
        <v>5670006</v>
      </c>
      <c r="E37" s="97">
        <f t="shared" si="2"/>
        <v>1461942</v>
      </c>
      <c r="F37" s="98">
        <f t="shared" si="3"/>
        <v>0.34741439293698956</v>
      </c>
    </row>
    <row r="38" spans="1:6" ht="18" customHeight="1">
      <c r="A38" s="101"/>
      <c r="B38" s="102" t="s">
        <v>342</v>
      </c>
      <c r="C38" s="103">
        <f>SUM(C27:C37)</f>
        <v>438960026</v>
      </c>
      <c r="D38" s="103">
        <f>SUM(D27:D37)</f>
        <v>467346952</v>
      </c>
      <c r="E38" s="103">
        <f t="shared" si="2"/>
        <v>28386926</v>
      </c>
      <c r="F38" s="104">
        <f t="shared" si="3"/>
        <v>0.06466859011895539</v>
      </c>
    </row>
    <row r="39" spans="1:6" ht="18" customHeight="1">
      <c r="A39" s="665" t="s">
        <v>343</v>
      </c>
      <c r="B39" s="667" t="s">
        <v>344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328</v>
      </c>
      <c r="C41" s="103">
        <f aca="true" t="shared" si="4" ref="C41:D51">+C27+C14</f>
        <v>277340786</v>
      </c>
      <c r="D41" s="103">
        <f t="shared" si="4"/>
        <v>291421870</v>
      </c>
      <c r="E41" s="107">
        <f aca="true" t="shared" si="5" ref="E41:E52">D41-C41</f>
        <v>14081084</v>
      </c>
      <c r="F41" s="108">
        <f aca="true" t="shared" si="6" ref="F41:F52">IF(C41=0,0,E41/C41)</f>
        <v>0.05077177505366989</v>
      </c>
    </row>
    <row r="42" spans="1:6" ht="18" customHeight="1">
      <c r="A42" s="105">
        <v>2</v>
      </c>
      <c r="B42" s="106" t="s">
        <v>329</v>
      </c>
      <c r="C42" s="103">
        <f t="shared" si="4"/>
        <v>20740414</v>
      </c>
      <c r="D42" s="103">
        <f t="shared" si="4"/>
        <v>24740741</v>
      </c>
      <c r="E42" s="107">
        <f t="shared" si="5"/>
        <v>4000327</v>
      </c>
      <c r="F42" s="108">
        <f t="shared" si="6"/>
        <v>0.19287594741358585</v>
      </c>
    </row>
    <row r="43" spans="1:6" ht="18" customHeight="1">
      <c r="A43" s="105">
        <v>3</v>
      </c>
      <c r="B43" s="106" t="s">
        <v>330</v>
      </c>
      <c r="C43" s="103">
        <f t="shared" si="4"/>
        <v>5563155</v>
      </c>
      <c r="D43" s="103">
        <f t="shared" si="4"/>
        <v>7715667</v>
      </c>
      <c r="E43" s="107">
        <f t="shared" si="5"/>
        <v>2152512</v>
      </c>
      <c r="F43" s="108">
        <f t="shared" si="6"/>
        <v>0.38692288818125686</v>
      </c>
    </row>
    <row r="44" spans="1:6" ht="18" customHeight="1">
      <c r="A44" s="105">
        <v>4</v>
      </c>
      <c r="B44" s="106" t="s">
        <v>331</v>
      </c>
      <c r="C44" s="103">
        <f t="shared" si="4"/>
        <v>6053687</v>
      </c>
      <c r="D44" s="103">
        <f t="shared" si="4"/>
        <v>9281915</v>
      </c>
      <c r="E44" s="107">
        <f t="shared" si="5"/>
        <v>3228228</v>
      </c>
      <c r="F44" s="108">
        <f t="shared" si="6"/>
        <v>0.5332664209431376</v>
      </c>
    </row>
    <row r="45" spans="1:6" ht="18" customHeight="1">
      <c r="A45" s="105">
        <v>5</v>
      </c>
      <c r="B45" s="106" t="s">
        <v>332</v>
      </c>
      <c r="C45" s="103">
        <f t="shared" si="4"/>
        <v>278837</v>
      </c>
      <c r="D45" s="103">
        <f t="shared" si="4"/>
        <v>644200</v>
      </c>
      <c r="E45" s="107">
        <f t="shared" si="5"/>
        <v>365363</v>
      </c>
      <c r="F45" s="108">
        <f t="shared" si="6"/>
        <v>1.3103103246699686</v>
      </c>
    </row>
    <row r="46" spans="1:6" ht="18" customHeight="1">
      <c r="A46" s="105">
        <v>6</v>
      </c>
      <c r="B46" s="106" t="s">
        <v>333</v>
      </c>
      <c r="C46" s="103">
        <f t="shared" si="4"/>
        <v>141948180</v>
      </c>
      <c r="D46" s="103">
        <f t="shared" si="4"/>
        <v>156783986</v>
      </c>
      <c r="E46" s="107">
        <f t="shared" si="5"/>
        <v>14835806</v>
      </c>
      <c r="F46" s="108">
        <f t="shared" si="6"/>
        <v>0.10451564789347775</v>
      </c>
    </row>
    <row r="47" spans="1:6" ht="18" customHeight="1">
      <c r="A47" s="105">
        <v>7</v>
      </c>
      <c r="B47" s="106" t="s">
        <v>334</v>
      </c>
      <c r="C47" s="103">
        <f t="shared" si="4"/>
        <v>267322330</v>
      </c>
      <c r="D47" s="103">
        <f t="shared" si="4"/>
        <v>283767726</v>
      </c>
      <c r="E47" s="107">
        <f t="shared" si="5"/>
        <v>16445396</v>
      </c>
      <c r="F47" s="108">
        <f t="shared" si="6"/>
        <v>0.0615189759867797</v>
      </c>
    </row>
    <row r="48" spans="1:6" ht="18" customHeight="1">
      <c r="A48" s="105">
        <v>8</v>
      </c>
      <c r="B48" s="106" t="s">
        <v>335</v>
      </c>
      <c r="C48" s="103">
        <f t="shared" si="4"/>
        <v>7127828</v>
      </c>
      <c r="D48" s="103">
        <f t="shared" si="4"/>
        <v>7841307</v>
      </c>
      <c r="E48" s="107">
        <f t="shared" si="5"/>
        <v>713479</v>
      </c>
      <c r="F48" s="108">
        <f t="shared" si="6"/>
        <v>0.100097673512885</v>
      </c>
    </row>
    <row r="49" spans="1:6" ht="18" customHeight="1">
      <c r="A49" s="105">
        <v>9</v>
      </c>
      <c r="B49" s="106" t="s">
        <v>336</v>
      </c>
      <c r="C49" s="103">
        <f t="shared" si="4"/>
        <v>32981996</v>
      </c>
      <c r="D49" s="103">
        <f t="shared" si="4"/>
        <v>33403571</v>
      </c>
      <c r="E49" s="107">
        <f t="shared" si="5"/>
        <v>421575</v>
      </c>
      <c r="F49" s="108">
        <f t="shared" si="6"/>
        <v>0.012781973534894613</v>
      </c>
    </row>
    <row r="50" spans="1:6" ht="18" customHeight="1">
      <c r="A50" s="105">
        <v>10</v>
      </c>
      <c r="B50" s="106" t="s">
        <v>337</v>
      </c>
      <c r="C50" s="103">
        <f t="shared" si="4"/>
        <v>1459428</v>
      </c>
      <c r="D50" s="103">
        <f t="shared" si="4"/>
        <v>2499854</v>
      </c>
      <c r="E50" s="107">
        <f t="shared" si="5"/>
        <v>1040426</v>
      </c>
      <c r="F50" s="108">
        <f t="shared" si="6"/>
        <v>0.71289984843377</v>
      </c>
    </row>
    <row r="51" spans="1:6" ht="18" customHeight="1" thickBot="1">
      <c r="A51" s="105">
        <v>11</v>
      </c>
      <c r="B51" s="106" t="s">
        <v>338</v>
      </c>
      <c r="C51" s="103">
        <f t="shared" si="4"/>
        <v>12233128</v>
      </c>
      <c r="D51" s="103">
        <f t="shared" si="4"/>
        <v>11780605</v>
      </c>
      <c r="E51" s="107">
        <f t="shared" si="5"/>
        <v>-452523</v>
      </c>
      <c r="F51" s="108">
        <f t="shared" si="6"/>
        <v>-0.0369916018208916</v>
      </c>
    </row>
    <row r="52" spans="1:6" ht="18.75" customHeight="1" thickBot="1">
      <c r="A52" s="109"/>
      <c r="B52" s="110" t="s">
        <v>344</v>
      </c>
      <c r="C52" s="111">
        <f>SUM(C41:C51)</f>
        <v>773049769</v>
      </c>
      <c r="D52" s="112">
        <f>SUM(D41:D51)</f>
        <v>829881442</v>
      </c>
      <c r="E52" s="111">
        <f t="shared" si="5"/>
        <v>56831673</v>
      </c>
      <c r="F52" s="113">
        <f t="shared" si="6"/>
        <v>0.07351618909803982</v>
      </c>
    </row>
    <row r="53" spans="1:6" ht="18" customHeight="1">
      <c r="A53" s="665" t="s">
        <v>260</v>
      </c>
      <c r="B53" s="667" t="s">
        <v>345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326</v>
      </c>
      <c r="B56" s="95" t="s">
        <v>346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328</v>
      </c>
      <c r="C57" s="97">
        <v>45383362</v>
      </c>
      <c r="D57" s="97">
        <v>47761207</v>
      </c>
      <c r="E57" s="97">
        <f aca="true" t="shared" si="7" ref="E57:E68">D57-C57</f>
        <v>2377845</v>
      </c>
      <c r="F57" s="98">
        <f aca="true" t="shared" si="8" ref="F57:F68">IF(C57=0,0,E57/C57)</f>
        <v>0.05239464189541533</v>
      </c>
    </row>
    <row r="58" spans="1:6" ht="18" customHeight="1">
      <c r="A58" s="99">
        <v>2</v>
      </c>
      <c r="B58" s="100" t="s">
        <v>329</v>
      </c>
      <c r="C58" s="97">
        <v>3471163</v>
      </c>
      <c r="D58" s="97">
        <v>3402467</v>
      </c>
      <c r="E58" s="97">
        <f t="shared" si="7"/>
        <v>-68696</v>
      </c>
      <c r="F58" s="98">
        <f t="shared" si="8"/>
        <v>-0.01979048520625508</v>
      </c>
    </row>
    <row r="59" spans="1:6" ht="18" customHeight="1">
      <c r="A59" s="99">
        <v>3</v>
      </c>
      <c r="B59" s="100" t="s">
        <v>330</v>
      </c>
      <c r="C59" s="97">
        <v>1295454</v>
      </c>
      <c r="D59" s="97">
        <v>1655383</v>
      </c>
      <c r="E59" s="97">
        <f t="shared" si="7"/>
        <v>359929</v>
      </c>
      <c r="F59" s="98">
        <f t="shared" si="8"/>
        <v>0.27784004680984425</v>
      </c>
    </row>
    <row r="60" spans="1:6" ht="18" customHeight="1">
      <c r="A60" s="99">
        <v>4</v>
      </c>
      <c r="B60" s="100" t="s">
        <v>331</v>
      </c>
      <c r="C60" s="97">
        <v>198239</v>
      </c>
      <c r="D60" s="97">
        <v>421070</v>
      </c>
      <c r="E60" s="97">
        <f t="shared" si="7"/>
        <v>222831</v>
      </c>
      <c r="F60" s="98">
        <f t="shared" si="8"/>
        <v>1.1240522803282906</v>
      </c>
    </row>
    <row r="61" spans="1:6" ht="18" customHeight="1">
      <c r="A61" s="99">
        <v>5</v>
      </c>
      <c r="B61" s="100" t="s">
        <v>332</v>
      </c>
      <c r="C61" s="97">
        <v>73230</v>
      </c>
      <c r="D61" s="97">
        <v>63719</v>
      </c>
      <c r="E61" s="97">
        <f t="shared" si="7"/>
        <v>-9511</v>
      </c>
      <c r="F61" s="98">
        <f t="shared" si="8"/>
        <v>-0.12987846510992762</v>
      </c>
    </row>
    <row r="62" spans="1:6" ht="18" customHeight="1">
      <c r="A62" s="99">
        <v>6</v>
      </c>
      <c r="B62" s="100" t="s">
        <v>333</v>
      </c>
      <c r="C62" s="97">
        <v>20021250</v>
      </c>
      <c r="D62" s="97">
        <v>20065798</v>
      </c>
      <c r="E62" s="97">
        <f t="shared" si="7"/>
        <v>44548</v>
      </c>
      <c r="F62" s="98">
        <f t="shared" si="8"/>
        <v>0.0022250358993569333</v>
      </c>
    </row>
    <row r="63" spans="1:6" ht="18" customHeight="1">
      <c r="A63" s="99">
        <v>7</v>
      </c>
      <c r="B63" s="100" t="s">
        <v>334</v>
      </c>
      <c r="C63" s="97">
        <v>35452510</v>
      </c>
      <c r="D63" s="97">
        <v>38979700</v>
      </c>
      <c r="E63" s="97">
        <f t="shared" si="7"/>
        <v>3527190</v>
      </c>
      <c r="F63" s="98">
        <f t="shared" si="8"/>
        <v>0.09949055793228745</v>
      </c>
    </row>
    <row r="64" spans="1:6" ht="18" customHeight="1">
      <c r="A64" s="99">
        <v>8</v>
      </c>
      <c r="B64" s="100" t="s">
        <v>335</v>
      </c>
      <c r="C64" s="97">
        <v>1238912</v>
      </c>
      <c r="D64" s="97">
        <v>1430011</v>
      </c>
      <c r="E64" s="97">
        <f t="shared" si="7"/>
        <v>191099</v>
      </c>
      <c r="F64" s="98">
        <f t="shared" si="8"/>
        <v>0.15424743646037814</v>
      </c>
    </row>
    <row r="65" spans="1:6" ht="18" customHeight="1">
      <c r="A65" s="99">
        <v>9</v>
      </c>
      <c r="B65" s="100" t="s">
        <v>336</v>
      </c>
      <c r="C65" s="97">
        <v>1360302</v>
      </c>
      <c r="D65" s="97">
        <v>1073055</v>
      </c>
      <c r="E65" s="97">
        <f t="shared" si="7"/>
        <v>-287247</v>
      </c>
      <c r="F65" s="98">
        <f t="shared" si="8"/>
        <v>-0.21116413855158633</v>
      </c>
    </row>
    <row r="66" spans="1:6" ht="18" customHeight="1">
      <c r="A66" s="99">
        <v>10</v>
      </c>
      <c r="B66" s="100" t="s">
        <v>337</v>
      </c>
      <c r="C66" s="97">
        <v>72338</v>
      </c>
      <c r="D66" s="97">
        <v>126591</v>
      </c>
      <c r="E66" s="97">
        <f t="shared" si="7"/>
        <v>54253</v>
      </c>
      <c r="F66" s="98">
        <f t="shared" si="8"/>
        <v>0.7499930880035389</v>
      </c>
    </row>
    <row r="67" spans="1:6" ht="18" customHeight="1">
      <c r="A67" s="99">
        <v>11</v>
      </c>
      <c r="B67" s="100" t="s">
        <v>338</v>
      </c>
      <c r="C67" s="97">
        <v>2524903</v>
      </c>
      <c r="D67" s="97">
        <v>1528013</v>
      </c>
      <c r="E67" s="97">
        <f t="shared" si="7"/>
        <v>-996890</v>
      </c>
      <c r="F67" s="98">
        <f t="shared" si="8"/>
        <v>-0.3948230882532913</v>
      </c>
    </row>
    <row r="68" spans="1:6" ht="18" customHeight="1">
      <c r="A68" s="101"/>
      <c r="B68" s="102" t="s">
        <v>347</v>
      </c>
      <c r="C68" s="103">
        <f>SUM(C57:C67)</f>
        <v>111091663</v>
      </c>
      <c r="D68" s="103">
        <f>SUM(D57:D67)</f>
        <v>116507014</v>
      </c>
      <c r="E68" s="103">
        <f t="shared" si="7"/>
        <v>5415351</v>
      </c>
      <c r="F68" s="104">
        <f t="shared" si="8"/>
        <v>0.04874669127961474</v>
      </c>
    </row>
    <row r="69" spans="1:6" ht="18" customHeight="1">
      <c r="A69" s="94" t="s">
        <v>340</v>
      </c>
      <c r="B69" s="95" t="s">
        <v>348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328</v>
      </c>
      <c r="C70" s="97">
        <v>23540382</v>
      </c>
      <c r="D70" s="97">
        <v>22187653</v>
      </c>
      <c r="E70" s="97">
        <f aca="true" t="shared" si="9" ref="E70:E81">D70-C70</f>
        <v>-1352729</v>
      </c>
      <c r="F70" s="98">
        <f aca="true" t="shared" si="10" ref="F70:F81">IF(C70=0,0,E70/C70)</f>
        <v>-0.05746419068305689</v>
      </c>
    </row>
    <row r="71" spans="1:6" ht="18" customHeight="1">
      <c r="A71" s="99">
        <v>2</v>
      </c>
      <c r="B71" s="100" t="s">
        <v>329</v>
      </c>
      <c r="C71" s="97">
        <v>1722859</v>
      </c>
      <c r="D71" s="97">
        <v>1738427</v>
      </c>
      <c r="E71" s="97">
        <f t="shared" si="9"/>
        <v>15568</v>
      </c>
      <c r="F71" s="98">
        <f t="shared" si="10"/>
        <v>0.009036142830028458</v>
      </c>
    </row>
    <row r="72" spans="1:6" ht="18" customHeight="1">
      <c r="A72" s="99">
        <v>3</v>
      </c>
      <c r="B72" s="100" t="s">
        <v>330</v>
      </c>
      <c r="C72" s="97">
        <v>415163</v>
      </c>
      <c r="D72" s="97">
        <v>783162</v>
      </c>
      <c r="E72" s="97">
        <f t="shared" si="9"/>
        <v>367999</v>
      </c>
      <c r="F72" s="98">
        <f t="shared" si="10"/>
        <v>0.8863964274272996</v>
      </c>
    </row>
    <row r="73" spans="1:6" ht="18" customHeight="1">
      <c r="A73" s="99">
        <v>4</v>
      </c>
      <c r="B73" s="100" t="s">
        <v>331</v>
      </c>
      <c r="C73" s="97">
        <v>1203436</v>
      </c>
      <c r="D73" s="97">
        <v>1636231</v>
      </c>
      <c r="E73" s="97">
        <f t="shared" si="9"/>
        <v>432795</v>
      </c>
      <c r="F73" s="98">
        <f t="shared" si="10"/>
        <v>0.359632751554715</v>
      </c>
    </row>
    <row r="74" spans="1:6" ht="18" customHeight="1">
      <c r="A74" s="99">
        <v>5</v>
      </c>
      <c r="B74" s="100" t="s">
        <v>332</v>
      </c>
      <c r="C74" s="97">
        <v>44816</v>
      </c>
      <c r="D74" s="97">
        <v>162577</v>
      </c>
      <c r="E74" s="97">
        <f t="shared" si="9"/>
        <v>117761</v>
      </c>
      <c r="F74" s="98">
        <f t="shared" si="10"/>
        <v>2.6276553016779722</v>
      </c>
    </row>
    <row r="75" spans="1:6" ht="18" customHeight="1">
      <c r="A75" s="99">
        <v>6</v>
      </c>
      <c r="B75" s="100" t="s">
        <v>333</v>
      </c>
      <c r="C75" s="97">
        <v>36448040</v>
      </c>
      <c r="D75" s="97">
        <v>37402462</v>
      </c>
      <c r="E75" s="97">
        <f t="shared" si="9"/>
        <v>954422</v>
      </c>
      <c r="F75" s="98">
        <f t="shared" si="10"/>
        <v>0.026185825081403553</v>
      </c>
    </row>
    <row r="76" spans="1:6" ht="18" customHeight="1">
      <c r="A76" s="99">
        <v>7</v>
      </c>
      <c r="B76" s="100" t="s">
        <v>334</v>
      </c>
      <c r="C76" s="97">
        <v>75578060</v>
      </c>
      <c r="D76" s="97">
        <v>77885448</v>
      </c>
      <c r="E76" s="97">
        <f t="shared" si="9"/>
        <v>2307388</v>
      </c>
      <c r="F76" s="98">
        <f t="shared" si="10"/>
        <v>0.03052986541332233</v>
      </c>
    </row>
    <row r="77" spans="1:6" ht="18" customHeight="1">
      <c r="A77" s="99">
        <v>8</v>
      </c>
      <c r="B77" s="100" t="s">
        <v>335</v>
      </c>
      <c r="C77" s="97">
        <v>3224848</v>
      </c>
      <c r="D77" s="97">
        <v>3603094</v>
      </c>
      <c r="E77" s="97">
        <f t="shared" si="9"/>
        <v>378246</v>
      </c>
      <c r="F77" s="98">
        <f t="shared" si="10"/>
        <v>0.11729110953446488</v>
      </c>
    </row>
    <row r="78" spans="1:6" ht="18" customHeight="1">
      <c r="A78" s="99">
        <v>9</v>
      </c>
      <c r="B78" s="100" t="s">
        <v>336</v>
      </c>
      <c r="C78" s="97">
        <v>3245647</v>
      </c>
      <c r="D78" s="97">
        <v>3350009</v>
      </c>
      <c r="E78" s="97">
        <f t="shared" si="9"/>
        <v>104362</v>
      </c>
      <c r="F78" s="98">
        <f t="shared" si="10"/>
        <v>0.03215445179343287</v>
      </c>
    </row>
    <row r="79" spans="1:6" ht="18" customHeight="1">
      <c r="A79" s="99">
        <v>10</v>
      </c>
      <c r="B79" s="100" t="s">
        <v>337</v>
      </c>
      <c r="C79" s="97">
        <v>49064</v>
      </c>
      <c r="D79" s="97">
        <v>168155</v>
      </c>
      <c r="E79" s="97">
        <f t="shared" si="9"/>
        <v>119091</v>
      </c>
      <c r="F79" s="98">
        <f t="shared" si="10"/>
        <v>2.427258274906245</v>
      </c>
    </row>
    <row r="80" spans="1:6" ht="18" customHeight="1">
      <c r="A80" s="99">
        <v>11</v>
      </c>
      <c r="B80" s="100" t="s">
        <v>338</v>
      </c>
      <c r="C80" s="97">
        <v>0</v>
      </c>
      <c r="D80" s="97">
        <v>502384</v>
      </c>
      <c r="E80" s="97">
        <f t="shared" si="9"/>
        <v>502384</v>
      </c>
      <c r="F80" s="98">
        <f t="shared" si="10"/>
        <v>0</v>
      </c>
    </row>
    <row r="81" spans="1:6" ht="18" customHeight="1">
      <c r="A81" s="101"/>
      <c r="B81" s="102" t="s">
        <v>349</v>
      </c>
      <c r="C81" s="103">
        <f>SUM(C70:C80)</f>
        <v>145472315</v>
      </c>
      <c r="D81" s="103">
        <f>SUM(D70:D80)</f>
        <v>149419602</v>
      </c>
      <c r="E81" s="103">
        <f t="shared" si="9"/>
        <v>3947287</v>
      </c>
      <c r="F81" s="104">
        <f t="shared" si="10"/>
        <v>0.02713428324832804</v>
      </c>
    </row>
    <row r="82" spans="1:6" ht="18" customHeight="1">
      <c r="A82" s="665" t="s">
        <v>343</v>
      </c>
      <c r="B82" s="667" t="s">
        <v>350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328</v>
      </c>
      <c r="C84" s="103">
        <f aca="true" t="shared" si="11" ref="C84:D94">+C70+C57</f>
        <v>68923744</v>
      </c>
      <c r="D84" s="103">
        <f t="shared" si="11"/>
        <v>69948860</v>
      </c>
      <c r="E84" s="103">
        <f aca="true" t="shared" si="12" ref="E84:E95">D84-C84</f>
        <v>1025116</v>
      </c>
      <c r="F84" s="104">
        <f aca="true" t="shared" si="13" ref="F84:F95">IF(C84=0,0,E84/C84)</f>
        <v>0.014873190870188364</v>
      </c>
    </row>
    <row r="85" spans="1:6" ht="18" customHeight="1">
      <c r="A85" s="114">
        <v>2</v>
      </c>
      <c r="B85" s="106" t="s">
        <v>329</v>
      </c>
      <c r="C85" s="103">
        <f t="shared" si="11"/>
        <v>5194022</v>
      </c>
      <c r="D85" s="103">
        <f t="shared" si="11"/>
        <v>5140894</v>
      </c>
      <c r="E85" s="103">
        <f t="shared" si="12"/>
        <v>-53128</v>
      </c>
      <c r="F85" s="104">
        <f t="shared" si="13"/>
        <v>-0.010228682127260916</v>
      </c>
    </row>
    <row r="86" spans="1:6" ht="18" customHeight="1">
      <c r="A86" s="114">
        <v>3</v>
      </c>
      <c r="B86" s="106" t="s">
        <v>330</v>
      </c>
      <c r="C86" s="103">
        <f t="shared" si="11"/>
        <v>1710617</v>
      </c>
      <c r="D86" s="103">
        <f t="shared" si="11"/>
        <v>2438545</v>
      </c>
      <c r="E86" s="103">
        <f t="shared" si="12"/>
        <v>727928</v>
      </c>
      <c r="F86" s="104">
        <f t="shared" si="13"/>
        <v>0.4255353477721781</v>
      </c>
    </row>
    <row r="87" spans="1:6" ht="18" customHeight="1">
      <c r="A87" s="114">
        <v>4</v>
      </c>
      <c r="B87" s="106" t="s">
        <v>331</v>
      </c>
      <c r="C87" s="103">
        <f t="shared" si="11"/>
        <v>1401675</v>
      </c>
      <c r="D87" s="103">
        <f t="shared" si="11"/>
        <v>2057301</v>
      </c>
      <c r="E87" s="103">
        <f t="shared" si="12"/>
        <v>655626</v>
      </c>
      <c r="F87" s="104">
        <f t="shared" si="13"/>
        <v>0.4677446626357751</v>
      </c>
    </row>
    <row r="88" spans="1:6" ht="18" customHeight="1">
      <c r="A88" s="114">
        <v>5</v>
      </c>
      <c r="B88" s="106" t="s">
        <v>332</v>
      </c>
      <c r="C88" s="103">
        <f t="shared" si="11"/>
        <v>118046</v>
      </c>
      <c r="D88" s="103">
        <f t="shared" si="11"/>
        <v>226296</v>
      </c>
      <c r="E88" s="103">
        <f t="shared" si="12"/>
        <v>108250</v>
      </c>
      <c r="F88" s="104">
        <f t="shared" si="13"/>
        <v>0.9170154007759687</v>
      </c>
    </row>
    <row r="89" spans="1:6" ht="18" customHeight="1">
      <c r="A89" s="114">
        <v>6</v>
      </c>
      <c r="B89" s="106" t="s">
        <v>333</v>
      </c>
      <c r="C89" s="103">
        <f t="shared" si="11"/>
        <v>56469290</v>
      </c>
      <c r="D89" s="103">
        <f t="shared" si="11"/>
        <v>57468260</v>
      </c>
      <c r="E89" s="103">
        <f t="shared" si="12"/>
        <v>998970</v>
      </c>
      <c r="F89" s="104">
        <f t="shared" si="13"/>
        <v>0.01769050044723424</v>
      </c>
    </row>
    <row r="90" spans="1:6" ht="18" customHeight="1">
      <c r="A90" s="114">
        <v>7</v>
      </c>
      <c r="B90" s="106" t="s">
        <v>334</v>
      </c>
      <c r="C90" s="103">
        <f t="shared" si="11"/>
        <v>111030570</v>
      </c>
      <c r="D90" s="103">
        <f t="shared" si="11"/>
        <v>116865148</v>
      </c>
      <c r="E90" s="103">
        <f t="shared" si="12"/>
        <v>5834578</v>
      </c>
      <c r="F90" s="104">
        <f t="shared" si="13"/>
        <v>0.05254929340631143</v>
      </c>
    </row>
    <row r="91" spans="1:6" ht="18" customHeight="1">
      <c r="A91" s="114">
        <v>8</v>
      </c>
      <c r="B91" s="106" t="s">
        <v>335</v>
      </c>
      <c r="C91" s="103">
        <f t="shared" si="11"/>
        <v>4463760</v>
      </c>
      <c r="D91" s="103">
        <f t="shared" si="11"/>
        <v>5033105</v>
      </c>
      <c r="E91" s="103">
        <f t="shared" si="12"/>
        <v>569345</v>
      </c>
      <c r="F91" s="104">
        <f t="shared" si="13"/>
        <v>0.12754830008781834</v>
      </c>
    </row>
    <row r="92" spans="1:6" ht="18" customHeight="1">
      <c r="A92" s="114">
        <v>9</v>
      </c>
      <c r="B92" s="106" t="s">
        <v>336</v>
      </c>
      <c r="C92" s="103">
        <f t="shared" si="11"/>
        <v>4605949</v>
      </c>
      <c r="D92" s="103">
        <f t="shared" si="11"/>
        <v>4423064</v>
      </c>
      <c r="E92" s="103">
        <f t="shared" si="12"/>
        <v>-182885</v>
      </c>
      <c r="F92" s="104">
        <f t="shared" si="13"/>
        <v>-0.03970625814571546</v>
      </c>
    </row>
    <row r="93" spans="1:6" ht="18" customHeight="1">
      <c r="A93" s="114">
        <v>10</v>
      </c>
      <c r="B93" s="106" t="s">
        <v>337</v>
      </c>
      <c r="C93" s="103">
        <f t="shared" si="11"/>
        <v>121402</v>
      </c>
      <c r="D93" s="103">
        <f t="shared" si="11"/>
        <v>294746</v>
      </c>
      <c r="E93" s="103">
        <f t="shared" si="12"/>
        <v>173344</v>
      </c>
      <c r="F93" s="104">
        <f t="shared" si="13"/>
        <v>1.4278512709840037</v>
      </c>
    </row>
    <row r="94" spans="1:6" ht="18" customHeight="1" thickBot="1">
      <c r="A94" s="114">
        <v>11</v>
      </c>
      <c r="B94" s="106" t="s">
        <v>338</v>
      </c>
      <c r="C94" s="103">
        <f t="shared" si="11"/>
        <v>2524903</v>
      </c>
      <c r="D94" s="103">
        <f t="shared" si="11"/>
        <v>2030397</v>
      </c>
      <c r="E94" s="103">
        <f t="shared" si="12"/>
        <v>-494506</v>
      </c>
      <c r="F94" s="104">
        <f t="shared" si="13"/>
        <v>-0.19585148419563048</v>
      </c>
    </row>
    <row r="95" spans="1:6" ht="18.75" customHeight="1" thickBot="1">
      <c r="A95" s="115"/>
      <c r="B95" s="116" t="s">
        <v>350</v>
      </c>
      <c r="C95" s="112">
        <f>SUM(C84:C94)</f>
        <v>256563978</v>
      </c>
      <c r="D95" s="112">
        <f>SUM(D84:D94)</f>
        <v>265926616</v>
      </c>
      <c r="E95" s="112">
        <f t="shared" si="12"/>
        <v>9362638</v>
      </c>
      <c r="F95" s="113">
        <f t="shared" si="13"/>
        <v>0.036492410481723976</v>
      </c>
    </row>
    <row r="96" spans="1:6" ht="18" customHeight="1">
      <c r="A96" s="665" t="s">
        <v>351</v>
      </c>
      <c r="B96" s="667" t="s">
        <v>352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326</v>
      </c>
      <c r="B99" s="95" t="s">
        <v>353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328</v>
      </c>
      <c r="C100" s="117">
        <v>4339</v>
      </c>
      <c r="D100" s="117">
        <v>4624</v>
      </c>
      <c r="E100" s="117">
        <f aca="true" t="shared" si="14" ref="E100:E111">D100-C100</f>
        <v>285</v>
      </c>
      <c r="F100" s="98">
        <f aca="true" t="shared" si="15" ref="F100:F111">IF(C100=0,0,E100/C100)</f>
        <v>0.06568333717446416</v>
      </c>
    </row>
    <row r="101" spans="1:6" ht="18" customHeight="1">
      <c r="A101" s="99">
        <v>2</v>
      </c>
      <c r="B101" s="100" t="s">
        <v>329</v>
      </c>
      <c r="C101" s="117">
        <v>401</v>
      </c>
      <c r="D101" s="117">
        <v>430</v>
      </c>
      <c r="E101" s="117">
        <f t="shared" si="14"/>
        <v>29</v>
      </c>
      <c r="F101" s="98">
        <f t="shared" si="15"/>
        <v>0.07231920199501247</v>
      </c>
    </row>
    <row r="102" spans="1:6" ht="18" customHeight="1">
      <c r="A102" s="99">
        <v>3</v>
      </c>
      <c r="B102" s="100" t="s">
        <v>330</v>
      </c>
      <c r="C102" s="117">
        <v>98</v>
      </c>
      <c r="D102" s="117">
        <v>212</v>
      </c>
      <c r="E102" s="117">
        <f t="shared" si="14"/>
        <v>114</v>
      </c>
      <c r="F102" s="98">
        <f t="shared" si="15"/>
        <v>1.163265306122449</v>
      </c>
    </row>
    <row r="103" spans="1:6" ht="18" customHeight="1">
      <c r="A103" s="99">
        <v>4</v>
      </c>
      <c r="B103" s="100" t="s">
        <v>331</v>
      </c>
      <c r="C103" s="117">
        <v>63</v>
      </c>
      <c r="D103" s="117">
        <v>115</v>
      </c>
      <c r="E103" s="117">
        <f t="shared" si="14"/>
        <v>52</v>
      </c>
      <c r="F103" s="98">
        <f t="shared" si="15"/>
        <v>0.8253968253968254</v>
      </c>
    </row>
    <row r="104" spans="1:6" ht="18" customHeight="1">
      <c r="A104" s="99">
        <v>5</v>
      </c>
      <c r="B104" s="100" t="s">
        <v>332</v>
      </c>
      <c r="C104" s="117">
        <v>2</v>
      </c>
      <c r="D104" s="117">
        <v>6</v>
      </c>
      <c r="E104" s="117">
        <f t="shared" si="14"/>
        <v>4</v>
      </c>
      <c r="F104" s="98">
        <f t="shared" si="15"/>
        <v>2</v>
      </c>
    </row>
    <row r="105" spans="1:6" ht="18" customHeight="1">
      <c r="A105" s="99">
        <v>6</v>
      </c>
      <c r="B105" s="100" t="s">
        <v>333</v>
      </c>
      <c r="C105" s="117">
        <v>2342</v>
      </c>
      <c r="D105" s="117">
        <v>2313</v>
      </c>
      <c r="E105" s="117">
        <f t="shared" si="14"/>
        <v>-29</v>
      </c>
      <c r="F105" s="98">
        <f t="shared" si="15"/>
        <v>-0.012382578992314262</v>
      </c>
    </row>
    <row r="106" spans="1:6" ht="18" customHeight="1">
      <c r="A106" s="99">
        <v>7</v>
      </c>
      <c r="B106" s="100" t="s">
        <v>334</v>
      </c>
      <c r="C106" s="117">
        <v>4733</v>
      </c>
      <c r="D106" s="117">
        <v>4645</v>
      </c>
      <c r="E106" s="117">
        <f t="shared" si="14"/>
        <v>-88</v>
      </c>
      <c r="F106" s="98">
        <f t="shared" si="15"/>
        <v>-0.01859285865201775</v>
      </c>
    </row>
    <row r="107" spans="1:6" ht="18" customHeight="1">
      <c r="A107" s="99">
        <v>8</v>
      </c>
      <c r="B107" s="100" t="s">
        <v>335</v>
      </c>
      <c r="C107" s="117">
        <v>44</v>
      </c>
      <c r="D107" s="117">
        <v>44</v>
      </c>
      <c r="E107" s="117">
        <f t="shared" si="14"/>
        <v>0</v>
      </c>
      <c r="F107" s="98">
        <f t="shared" si="15"/>
        <v>0</v>
      </c>
    </row>
    <row r="108" spans="1:6" ht="18" customHeight="1">
      <c r="A108" s="99">
        <v>9</v>
      </c>
      <c r="B108" s="100" t="s">
        <v>336</v>
      </c>
      <c r="C108" s="117">
        <v>448</v>
      </c>
      <c r="D108" s="117">
        <v>296</v>
      </c>
      <c r="E108" s="117">
        <f t="shared" si="14"/>
        <v>-152</v>
      </c>
      <c r="F108" s="98">
        <f t="shared" si="15"/>
        <v>-0.3392857142857143</v>
      </c>
    </row>
    <row r="109" spans="1:6" ht="18" customHeight="1">
      <c r="A109" s="99">
        <v>10</v>
      </c>
      <c r="B109" s="100" t="s">
        <v>337</v>
      </c>
      <c r="C109" s="117">
        <v>26</v>
      </c>
      <c r="D109" s="117">
        <v>27</v>
      </c>
      <c r="E109" s="117">
        <f t="shared" si="14"/>
        <v>1</v>
      </c>
      <c r="F109" s="98">
        <f t="shared" si="15"/>
        <v>0.038461538461538464</v>
      </c>
    </row>
    <row r="110" spans="1:6" ht="18" customHeight="1">
      <c r="A110" s="99">
        <v>11</v>
      </c>
      <c r="B110" s="100" t="s">
        <v>338</v>
      </c>
      <c r="C110" s="117">
        <v>235</v>
      </c>
      <c r="D110" s="117">
        <v>219</v>
      </c>
      <c r="E110" s="117">
        <f t="shared" si="14"/>
        <v>-16</v>
      </c>
      <c r="F110" s="98">
        <f t="shared" si="15"/>
        <v>-0.06808510638297872</v>
      </c>
    </row>
    <row r="111" spans="1:6" ht="18" customHeight="1">
      <c r="A111" s="101"/>
      <c r="B111" s="102" t="s">
        <v>354</v>
      </c>
      <c r="C111" s="118">
        <f>SUM(C100:C110)</f>
        <v>12731</v>
      </c>
      <c r="D111" s="118">
        <f>SUM(D100:D110)</f>
        <v>12931</v>
      </c>
      <c r="E111" s="118">
        <f t="shared" si="14"/>
        <v>200</v>
      </c>
      <c r="F111" s="104">
        <f t="shared" si="15"/>
        <v>0.015709685020815333</v>
      </c>
    </row>
    <row r="112" spans="1:6" ht="18" customHeight="1">
      <c r="A112" s="94" t="s">
        <v>340</v>
      </c>
      <c r="B112" s="95" t="s">
        <v>355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328</v>
      </c>
      <c r="C113" s="117">
        <v>22354</v>
      </c>
      <c r="D113" s="117">
        <v>21906</v>
      </c>
      <c r="E113" s="117">
        <f aca="true" t="shared" si="16" ref="E113:E124">D113-C113</f>
        <v>-448</v>
      </c>
      <c r="F113" s="98">
        <f aca="true" t="shared" si="17" ref="F113:F124">IF(C113=0,0,E113/C113)</f>
        <v>-0.0200411559452447</v>
      </c>
    </row>
    <row r="114" spans="1:6" ht="18" customHeight="1">
      <c r="A114" s="99">
        <v>2</v>
      </c>
      <c r="B114" s="100" t="s">
        <v>329</v>
      </c>
      <c r="C114" s="117">
        <v>2077</v>
      </c>
      <c r="D114" s="117">
        <v>2283</v>
      </c>
      <c r="E114" s="117">
        <f t="shared" si="16"/>
        <v>206</v>
      </c>
      <c r="F114" s="98">
        <f t="shared" si="17"/>
        <v>0.0991815117958594</v>
      </c>
    </row>
    <row r="115" spans="1:6" ht="18" customHeight="1">
      <c r="A115" s="99">
        <v>3</v>
      </c>
      <c r="B115" s="100" t="s">
        <v>330</v>
      </c>
      <c r="C115" s="117">
        <v>661</v>
      </c>
      <c r="D115" s="117">
        <v>761</v>
      </c>
      <c r="E115" s="117">
        <f t="shared" si="16"/>
        <v>100</v>
      </c>
      <c r="F115" s="98">
        <f t="shared" si="17"/>
        <v>0.15128593040847202</v>
      </c>
    </row>
    <row r="116" spans="1:6" ht="18" customHeight="1">
      <c r="A116" s="99">
        <v>4</v>
      </c>
      <c r="B116" s="100" t="s">
        <v>331</v>
      </c>
      <c r="C116" s="117">
        <v>147</v>
      </c>
      <c r="D116" s="117">
        <v>338</v>
      </c>
      <c r="E116" s="117">
        <f t="shared" si="16"/>
        <v>191</v>
      </c>
      <c r="F116" s="98">
        <f t="shared" si="17"/>
        <v>1.2993197278911566</v>
      </c>
    </row>
    <row r="117" spans="1:6" ht="18" customHeight="1">
      <c r="A117" s="99">
        <v>5</v>
      </c>
      <c r="B117" s="100" t="s">
        <v>332</v>
      </c>
      <c r="C117" s="117">
        <v>5</v>
      </c>
      <c r="D117" s="117">
        <v>27</v>
      </c>
      <c r="E117" s="117">
        <f t="shared" si="16"/>
        <v>22</v>
      </c>
      <c r="F117" s="98">
        <f t="shared" si="17"/>
        <v>4.4</v>
      </c>
    </row>
    <row r="118" spans="1:6" ht="18" customHeight="1">
      <c r="A118" s="99">
        <v>6</v>
      </c>
      <c r="B118" s="100" t="s">
        <v>333</v>
      </c>
      <c r="C118" s="117">
        <v>7921</v>
      </c>
      <c r="D118" s="117">
        <v>7836</v>
      </c>
      <c r="E118" s="117">
        <f t="shared" si="16"/>
        <v>-85</v>
      </c>
      <c r="F118" s="98">
        <f t="shared" si="17"/>
        <v>-0.010730968312081807</v>
      </c>
    </row>
    <row r="119" spans="1:6" ht="18" customHeight="1">
      <c r="A119" s="99">
        <v>7</v>
      </c>
      <c r="B119" s="100" t="s">
        <v>334</v>
      </c>
      <c r="C119" s="117">
        <v>15393</v>
      </c>
      <c r="D119" s="117">
        <v>14870</v>
      </c>
      <c r="E119" s="117">
        <f t="shared" si="16"/>
        <v>-523</v>
      </c>
      <c r="F119" s="98">
        <f t="shared" si="17"/>
        <v>-0.03397648281686481</v>
      </c>
    </row>
    <row r="120" spans="1:6" ht="18" customHeight="1">
      <c r="A120" s="99">
        <v>8</v>
      </c>
      <c r="B120" s="100" t="s">
        <v>335</v>
      </c>
      <c r="C120" s="117">
        <v>118</v>
      </c>
      <c r="D120" s="117">
        <v>141</v>
      </c>
      <c r="E120" s="117">
        <f t="shared" si="16"/>
        <v>23</v>
      </c>
      <c r="F120" s="98">
        <f t="shared" si="17"/>
        <v>0.19491525423728814</v>
      </c>
    </row>
    <row r="121" spans="1:6" ht="18" customHeight="1">
      <c r="A121" s="99">
        <v>9</v>
      </c>
      <c r="B121" s="100" t="s">
        <v>336</v>
      </c>
      <c r="C121" s="117">
        <v>1495</v>
      </c>
      <c r="D121" s="117">
        <v>1000</v>
      </c>
      <c r="E121" s="117">
        <f t="shared" si="16"/>
        <v>-495</v>
      </c>
      <c r="F121" s="98">
        <f t="shared" si="17"/>
        <v>-0.3311036789297659</v>
      </c>
    </row>
    <row r="122" spans="1:6" ht="18" customHeight="1">
      <c r="A122" s="99">
        <v>10</v>
      </c>
      <c r="B122" s="100" t="s">
        <v>337</v>
      </c>
      <c r="C122" s="117">
        <v>135</v>
      </c>
      <c r="D122" s="117">
        <v>184</v>
      </c>
      <c r="E122" s="117">
        <f t="shared" si="16"/>
        <v>49</v>
      </c>
      <c r="F122" s="98">
        <f t="shared" si="17"/>
        <v>0.362962962962963</v>
      </c>
    </row>
    <row r="123" spans="1:6" ht="18" customHeight="1">
      <c r="A123" s="99">
        <v>11</v>
      </c>
      <c r="B123" s="100" t="s">
        <v>338</v>
      </c>
      <c r="C123" s="117">
        <v>1394</v>
      </c>
      <c r="D123" s="117">
        <v>803</v>
      </c>
      <c r="E123" s="117">
        <f t="shared" si="16"/>
        <v>-591</v>
      </c>
      <c r="F123" s="98">
        <f t="shared" si="17"/>
        <v>-0.42395982783357244</v>
      </c>
    </row>
    <row r="124" spans="1:6" ht="18" customHeight="1">
      <c r="A124" s="101"/>
      <c r="B124" s="102" t="s">
        <v>356</v>
      </c>
      <c r="C124" s="118">
        <f>SUM(C113:C123)</f>
        <v>51700</v>
      </c>
      <c r="D124" s="118">
        <f>SUM(D113:D123)</f>
        <v>50149</v>
      </c>
      <c r="E124" s="118">
        <f t="shared" si="16"/>
        <v>-1551</v>
      </c>
      <c r="F124" s="104">
        <f t="shared" si="17"/>
        <v>-0.03</v>
      </c>
    </row>
    <row r="125" spans="1:6" ht="18" customHeight="1">
      <c r="A125" s="94" t="s">
        <v>357</v>
      </c>
      <c r="B125" s="95" t="s">
        <v>358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328</v>
      </c>
      <c r="C126" s="117">
        <v>108535</v>
      </c>
      <c r="D126" s="117">
        <v>106924</v>
      </c>
      <c r="E126" s="117">
        <f aca="true" t="shared" si="18" ref="E126:E137">D126-C126</f>
        <v>-1611</v>
      </c>
      <c r="F126" s="98">
        <f aca="true" t="shared" si="19" ref="F126:F137">IF(C126=0,0,E126/C126)</f>
        <v>-0.014843138158197816</v>
      </c>
    </row>
    <row r="127" spans="1:6" ht="18" customHeight="1">
      <c r="A127" s="99">
        <v>2</v>
      </c>
      <c r="B127" s="100" t="s">
        <v>329</v>
      </c>
      <c r="C127" s="117">
        <v>5504</v>
      </c>
      <c r="D127" s="117">
        <v>6721</v>
      </c>
      <c r="E127" s="117">
        <f t="shared" si="18"/>
        <v>1217</v>
      </c>
      <c r="F127" s="98">
        <f t="shared" si="19"/>
        <v>0.22111191860465115</v>
      </c>
    </row>
    <row r="128" spans="1:6" ht="18" customHeight="1">
      <c r="A128" s="99">
        <v>3</v>
      </c>
      <c r="B128" s="100" t="s">
        <v>330</v>
      </c>
      <c r="C128" s="117">
        <v>4337</v>
      </c>
      <c r="D128" s="117">
        <v>5314</v>
      </c>
      <c r="E128" s="117">
        <f t="shared" si="18"/>
        <v>977</v>
      </c>
      <c r="F128" s="98">
        <f t="shared" si="19"/>
        <v>0.22527092460225961</v>
      </c>
    </row>
    <row r="129" spans="1:6" ht="18" customHeight="1">
      <c r="A129" s="99">
        <v>4</v>
      </c>
      <c r="B129" s="100" t="s">
        <v>331</v>
      </c>
      <c r="C129" s="117">
        <v>8102</v>
      </c>
      <c r="D129" s="117">
        <v>10878</v>
      </c>
      <c r="E129" s="117">
        <f t="shared" si="18"/>
        <v>2776</v>
      </c>
      <c r="F129" s="98">
        <f t="shared" si="19"/>
        <v>0.3426314490249321</v>
      </c>
    </row>
    <row r="130" spans="1:6" ht="18" customHeight="1">
      <c r="A130" s="99">
        <v>5</v>
      </c>
      <c r="B130" s="100" t="s">
        <v>332</v>
      </c>
      <c r="C130" s="117">
        <v>138</v>
      </c>
      <c r="D130" s="117">
        <v>159</v>
      </c>
      <c r="E130" s="117">
        <f t="shared" si="18"/>
        <v>21</v>
      </c>
      <c r="F130" s="98">
        <f t="shared" si="19"/>
        <v>0.15217391304347827</v>
      </c>
    </row>
    <row r="131" spans="1:6" ht="18" customHeight="1">
      <c r="A131" s="99">
        <v>6</v>
      </c>
      <c r="B131" s="100" t="s">
        <v>333</v>
      </c>
      <c r="C131" s="117">
        <v>78660</v>
      </c>
      <c r="D131" s="117">
        <v>89616</v>
      </c>
      <c r="E131" s="117">
        <f t="shared" si="18"/>
        <v>10956</v>
      </c>
      <c r="F131" s="98">
        <f t="shared" si="19"/>
        <v>0.1392829900839054</v>
      </c>
    </row>
    <row r="132" spans="1:6" ht="18" customHeight="1">
      <c r="A132" s="99">
        <v>7</v>
      </c>
      <c r="B132" s="100" t="s">
        <v>334</v>
      </c>
      <c r="C132" s="117">
        <v>187498</v>
      </c>
      <c r="D132" s="117">
        <v>160833</v>
      </c>
      <c r="E132" s="117">
        <f t="shared" si="18"/>
        <v>-26665</v>
      </c>
      <c r="F132" s="98">
        <f t="shared" si="19"/>
        <v>-0.14221485029173644</v>
      </c>
    </row>
    <row r="133" spans="1:6" ht="18" customHeight="1">
      <c r="A133" s="99">
        <v>8</v>
      </c>
      <c r="B133" s="100" t="s">
        <v>335</v>
      </c>
      <c r="C133" s="117">
        <v>6467</v>
      </c>
      <c r="D133" s="117">
        <v>4903</v>
      </c>
      <c r="E133" s="117">
        <f t="shared" si="18"/>
        <v>-1564</v>
      </c>
      <c r="F133" s="98">
        <f t="shared" si="19"/>
        <v>-0.24184320395855885</v>
      </c>
    </row>
    <row r="134" spans="1:6" ht="18" customHeight="1">
      <c r="A134" s="99">
        <v>9</v>
      </c>
      <c r="B134" s="100" t="s">
        <v>336</v>
      </c>
      <c r="C134" s="117">
        <v>29297</v>
      </c>
      <c r="D134" s="117">
        <v>43832</v>
      </c>
      <c r="E134" s="117">
        <f t="shared" si="18"/>
        <v>14535</v>
      </c>
      <c r="F134" s="98">
        <f t="shared" si="19"/>
        <v>0.4961258831962317</v>
      </c>
    </row>
    <row r="135" spans="1:6" ht="18" customHeight="1">
      <c r="A135" s="99">
        <v>10</v>
      </c>
      <c r="B135" s="100" t="s">
        <v>337</v>
      </c>
      <c r="C135" s="117">
        <v>1255</v>
      </c>
      <c r="D135" s="117">
        <v>602</v>
      </c>
      <c r="E135" s="117">
        <f t="shared" si="18"/>
        <v>-653</v>
      </c>
      <c r="F135" s="98">
        <f t="shared" si="19"/>
        <v>-0.5203187250996016</v>
      </c>
    </row>
    <row r="136" spans="1:6" ht="18" customHeight="1">
      <c r="A136" s="99">
        <v>11</v>
      </c>
      <c r="B136" s="100" t="s">
        <v>338</v>
      </c>
      <c r="C136" s="117">
        <v>2193</v>
      </c>
      <c r="D136" s="117">
        <v>345</v>
      </c>
      <c r="E136" s="117">
        <f t="shared" si="18"/>
        <v>-1848</v>
      </c>
      <c r="F136" s="98">
        <f t="shared" si="19"/>
        <v>-0.8426812585499316</v>
      </c>
    </row>
    <row r="137" spans="1:6" ht="18" customHeight="1">
      <c r="A137" s="101"/>
      <c r="B137" s="102" t="s">
        <v>359</v>
      </c>
      <c r="C137" s="118">
        <f>SUM(C126:C136)</f>
        <v>431986</v>
      </c>
      <c r="D137" s="118">
        <f>SUM(D126:D136)</f>
        <v>430127</v>
      </c>
      <c r="E137" s="118">
        <f t="shared" si="18"/>
        <v>-1859</v>
      </c>
      <c r="F137" s="104">
        <f t="shared" si="19"/>
        <v>-0.00430338020213618</v>
      </c>
    </row>
    <row r="138" spans="1:6" ht="18" customHeight="1">
      <c r="A138" s="665" t="s">
        <v>360</v>
      </c>
      <c r="B138" s="667" t="s">
        <v>361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326</v>
      </c>
      <c r="B141" s="95" t="s">
        <v>362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328</v>
      </c>
      <c r="C142" s="97">
        <v>15250096</v>
      </c>
      <c r="D142" s="97">
        <v>14284511</v>
      </c>
      <c r="E142" s="97">
        <f aca="true" t="shared" si="20" ref="E142:E153">D142-C142</f>
        <v>-965585</v>
      </c>
      <c r="F142" s="98">
        <f aca="true" t="shared" si="21" ref="F142:F153">IF(C142=0,0,E142/C142)</f>
        <v>-0.06331665059682247</v>
      </c>
    </row>
    <row r="143" spans="1:6" ht="18" customHeight="1">
      <c r="A143" s="99">
        <v>2</v>
      </c>
      <c r="B143" s="100" t="s">
        <v>329</v>
      </c>
      <c r="C143" s="97">
        <v>1430192</v>
      </c>
      <c r="D143" s="97">
        <v>1352008</v>
      </c>
      <c r="E143" s="97">
        <f t="shared" si="20"/>
        <v>-78184</v>
      </c>
      <c r="F143" s="98">
        <f t="shared" si="21"/>
        <v>-0.05466678599796391</v>
      </c>
    </row>
    <row r="144" spans="1:6" ht="18" customHeight="1">
      <c r="A144" s="99">
        <v>3</v>
      </c>
      <c r="B144" s="100" t="s">
        <v>330</v>
      </c>
      <c r="C144" s="97">
        <v>787330</v>
      </c>
      <c r="D144" s="97">
        <v>1260734</v>
      </c>
      <c r="E144" s="97">
        <f t="shared" si="20"/>
        <v>473404</v>
      </c>
      <c r="F144" s="98">
        <f t="shared" si="21"/>
        <v>0.6012777361462157</v>
      </c>
    </row>
    <row r="145" spans="1:6" ht="18" customHeight="1">
      <c r="A145" s="99">
        <v>4</v>
      </c>
      <c r="B145" s="100" t="s">
        <v>331</v>
      </c>
      <c r="C145" s="97">
        <v>2084166</v>
      </c>
      <c r="D145" s="97">
        <v>4466762</v>
      </c>
      <c r="E145" s="97">
        <f t="shared" si="20"/>
        <v>2382596</v>
      </c>
      <c r="F145" s="98">
        <f t="shared" si="21"/>
        <v>1.1431891701524735</v>
      </c>
    </row>
    <row r="146" spans="1:6" ht="18" customHeight="1">
      <c r="A146" s="99">
        <v>5</v>
      </c>
      <c r="B146" s="100" t="s">
        <v>332</v>
      </c>
      <c r="C146" s="97">
        <v>98208</v>
      </c>
      <c r="D146" s="97">
        <v>131208</v>
      </c>
      <c r="E146" s="97">
        <f t="shared" si="20"/>
        <v>33000</v>
      </c>
      <c r="F146" s="98">
        <f t="shared" si="21"/>
        <v>0.33602150537634407</v>
      </c>
    </row>
    <row r="147" spans="1:6" ht="18" customHeight="1">
      <c r="A147" s="99">
        <v>6</v>
      </c>
      <c r="B147" s="100" t="s">
        <v>333</v>
      </c>
      <c r="C147" s="97">
        <v>20950764</v>
      </c>
      <c r="D147" s="97">
        <v>21828947</v>
      </c>
      <c r="E147" s="97">
        <f t="shared" si="20"/>
        <v>878183</v>
      </c>
      <c r="F147" s="98">
        <f t="shared" si="21"/>
        <v>0.041916514357185256</v>
      </c>
    </row>
    <row r="148" spans="1:6" ht="18" customHeight="1">
      <c r="A148" s="99">
        <v>7</v>
      </c>
      <c r="B148" s="100" t="s">
        <v>334</v>
      </c>
      <c r="C148" s="97">
        <v>32215464</v>
      </c>
      <c r="D148" s="97">
        <v>36595503</v>
      </c>
      <c r="E148" s="97">
        <f t="shared" si="20"/>
        <v>4380039</v>
      </c>
      <c r="F148" s="98">
        <f t="shared" si="21"/>
        <v>0.13596076095629106</v>
      </c>
    </row>
    <row r="149" spans="1:6" ht="18" customHeight="1">
      <c r="A149" s="99">
        <v>8</v>
      </c>
      <c r="B149" s="100" t="s">
        <v>335</v>
      </c>
      <c r="C149" s="97">
        <v>2452290</v>
      </c>
      <c r="D149" s="97">
        <v>2729688</v>
      </c>
      <c r="E149" s="97">
        <f t="shared" si="20"/>
        <v>277398</v>
      </c>
      <c r="F149" s="98">
        <f t="shared" si="21"/>
        <v>0.11311794282079199</v>
      </c>
    </row>
    <row r="150" spans="1:6" ht="18" customHeight="1">
      <c r="A150" s="99">
        <v>9</v>
      </c>
      <c r="B150" s="100" t="s">
        <v>336</v>
      </c>
      <c r="C150" s="97">
        <v>7456698</v>
      </c>
      <c r="D150" s="97">
        <v>12749953</v>
      </c>
      <c r="E150" s="97">
        <f t="shared" si="20"/>
        <v>5293255</v>
      </c>
      <c r="F150" s="98">
        <f t="shared" si="21"/>
        <v>0.7098658146005108</v>
      </c>
    </row>
    <row r="151" spans="1:6" ht="18" customHeight="1">
      <c r="A151" s="99">
        <v>10</v>
      </c>
      <c r="B151" s="100" t="s">
        <v>337</v>
      </c>
      <c r="C151" s="97">
        <v>370162</v>
      </c>
      <c r="D151" s="97">
        <v>767279</v>
      </c>
      <c r="E151" s="97">
        <f t="shared" si="20"/>
        <v>397117</v>
      </c>
      <c r="F151" s="98">
        <f t="shared" si="21"/>
        <v>1.0728194682328278</v>
      </c>
    </row>
    <row r="152" spans="1:6" ht="18" customHeight="1">
      <c r="A152" s="99">
        <v>11</v>
      </c>
      <c r="B152" s="100" t="s">
        <v>338</v>
      </c>
      <c r="C152" s="97">
        <v>3661148</v>
      </c>
      <c r="D152" s="97">
        <v>6848465</v>
      </c>
      <c r="E152" s="97">
        <f t="shared" si="20"/>
        <v>3187317</v>
      </c>
      <c r="F152" s="98">
        <f t="shared" si="21"/>
        <v>0.8705785726225763</v>
      </c>
    </row>
    <row r="153" spans="1:6" ht="33.75" customHeight="1">
      <c r="A153" s="101"/>
      <c r="B153" s="102" t="s">
        <v>363</v>
      </c>
      <c r="C153" s="103">
        <f>SUM(C142:C152)</f>
        <v>86756518</v>
      </c>
      <c r="D153" s="103">
        <f>SUM(D142:D152)</f>
        <v>103015058</v>
      </c>
      <c r="E153" s="103">
        <f t="shared" si="20"/>
        <v>16258540</v>
      </c>
      <c r="F153" s="104">
        <f t="shared" si="21"/>
        <v>0.18740424782838794</v>
      </c>
    </row>
    <row r="154" spans="1:6" ht="18" customHeight="1">
      <c r="A154" s="94" t="s">
        <v>340</v>
      </c>
      <c r="B154" s="95" t="s">
        <v>364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328</v>
      </c>
      <c r="C155" s="97">
        <v>4773398</v>
      </c>
      <c r="D155" s="97">
        <v>4839433</v>
      </c>
      <c r="E155" s="97">
        <f aca="true" t="shared" si="22" ref="E155:E166">D155-C155</f>
        <v>66035</v>
      </c>
      <c r="F155" s="98">
        <f aca="true" t="shared" si="23" ref="F155:F166">IF(C155=0,0,E155/C155)</f>
        <v>0.013833960629304323</v>
      </c>
    </row>
    <row r="156" spans="1:6" ht="18" customHeight="1">
      <c r="A156" s="99">
        <v>2</v>
      </c>
      <c r="B156" s="100" t="s">
        <v>329</v>
      </c>
      <c r="C156" s="97">
        <v>447661</v>
      </c>
      <c r="D156" s="97">
        <v>458045</v>
      </c>
      <c r="E156" s="97">
        <f t="shared" si="22"/>
        <v>10384</v>
      </c>
      <c r="F156" s="98">
        <f t="shared" si="23"/>
        <v>0.023196123852647427</v>
      </c>
    </row>
    <row r="157" spans="1:6" ht="18" customHeight="1">
      <c r="A157" s="99">
        <v>3</v>
      </c>
      <c r="B157" s="100" t="s">
        <v>330</v>
      </c>
      <c r="C157" s="97">
        <v>246440</v>
      </c>
      <c r="D157" s="97">
        <v>427122</v>
      </c>
      <c r="E157" s="97">
        <f t="shared" si="22"/>
        <v>180682</v>
      </c>
      <c r="F157" s="98">
        <f t="shared" si="23"/>
        <v>0.7331683168316832</v>
      </c>
    </row>
    <row r="158" spans="1:6" ht="18" customHeight="1">
      <c r="A158" s="99">
        <v>4</v>
      </c>
      <c r="B158" s="100" t="s">
        <v>331</v>
      </c>
      <c r="C158" s="97">
        <v>652360</v>
      </c>
      <c r="D158" s="97">
        <v>1513289</v>
      </c>
      <c r="E158" s="97">
        <f t="shared" si="22"/>
        <v>860929</v>
      </c>
      <c r="F158" s="98">
        <f t="shared" si="23"/>
        <v>1.3197145747746644</v>
      </c>
    </row>
    <row r="159" spans="1:6" ht="18" customHeight="1">
      <c r="A159" s="99">
        <v>5</v>
      </c>
      <c r="B159" s="100" t="s">
        <v>332</v>
      </c>
      <c r="C159" s="97">
        <v>30740</v>
      </c>
      <c r="D159" s="97">
        <v>44452</v>
      </c>
      <c r="E159" s="97">
        <f t="shared" si="22"/>
        <v>13712</v>
      </c>
      <c r="F159" s="98">
        <f t="shared" si="23"/>
        <v>0.44606376057254393</v>
      </c>
    </row>
    <row r="160" spans="1:6" ht="18" customHeight="1">
      <c r="A160" s="99">
        <v>6</v>
      </c>
      <c r="B160" s="100" t="s">
        <v>333</v>
      </c>
      <c r="C160" s="97">
        <v>6557751</v>
      </c>
      <c r="D160" s="97">
        <v>7395403</v>
      </c>
      <c r="E160" s="97">
        <f t="shared" si="22"/>
        <v>837652</v>
      </c>
      <c r="F160" s="98">
        <f t="shared" si="23"/>
        <v>0.12773464561249734</v>
      </c>
    </row>
    <row r="161" spans="1:6" ht="18" customHeight="1">
      <c r="A161" s="99">
        <v>7</v>
      </c>
      <c r="B161" s="100" t="s">
        <v>334</v>
      </c>
      <c r="C161" s="97">
        <v>10083689</v>
      </c>
      <c r="D161" s="97">
        <v>12398147</v>
      </c>
      <c r="E161" s="97">
        <f t="shared" si="22"/>
        <v>2314458</v>
      </c>
      <c r="F161" s="98">
        <f t="shared" si="23"/>
        <v>0.22952492882317177</v>
      </c>
    </row>
    <row r="162" spans="1:6" ht="18" customHeight="1">
      <c r="A162" s="99">
        <v>8</v>
      </c>
      <c r="B162" s="100" t="s">
        <v>335</v>
      </c>
      <c r="C162" s="97">
        <v>767586</v>
      </c>
      <c r="D162" s="97">
        <v>924788</v>
      </c>
      <c r="E162" s="97">
        <f t="shared" si="22"/>
        <v>157202</v>
      </c>
      <c r="F162" s="98">
        <f t="shared" si="23"/>
        <v>0.2048005044385906</v>
      </c>
    </row>
    <row r="163" spans="1:6" ht="18" customHeight="1">
      <c r="A163" s="99">
        <v>9</v>
      </c>
      <c r="B163" s="100" t="s">
        <v>336</v>
      </c>
      <c r="C163" s="97">
        <v>2334004</v>
      </c>
      <c r="D163" s="97">
        <v>4319542</v>
      </c>
      <c r="E163" s="97">
        <f t="shared" si="22"/>
        <v>1985538</v>
      </c>
      <c r="F163" s="98">
        <f t="shared" si="23"/>
        <v>0.850700341558969</v>
      </c>
    </row>
    <row r="164" spans="1:6" ht="18" customHeight="1">
      <c r="A164" s="99">
        <v>10</v>
      </c>
      <c r="B164" s="100" t="s">
        <v>337</v>
      </c>
      <c r="C164" s="97">
        <v>115864</v>
      </c>
      <c r="D164" s="97">
        <v>259946</v>
      </c>
      <c r="E164" s="97">
        <f t="shared" si="22"/>
        <v>144082</v>
      </c>
      <c r="F164" s="98">
        <f t="shared" si="23"/>
        <v>1.2435441552164608</v>
      </c>
    </row>
    <row r="165" spans="1:6" ht="18" customHeight="1">
      <c r="A165" s="99">
        <v>11</v>
      </c>
      <c r="B165" s="100" t="s">
        <v>338</v>
      </c>
      <c r="C165" s="97">
        <v>1145968</v>
      </c>
      <c r="D165" s="97">
        <v>2320183</v>
      </c>
      <c r="E165" s="97">
        <f t="shared" si="22"/>
        <v>1174215</v>
      </c>
      <c r="F165" s="98">
        <f t="shared" si="23"/>
        <v>1.024649030339416</v>
      </c>
    </row>
    <row r="166" spans="1:6" ht="33.75" customHeight="1">
      <c r="A166" s="101"/>
      <c r="B166" s="102" t="s">
        <v>365</v>
      </c>
      <c r="C166" s="103">
        <f>SUM(C155:C165)</f>
        <v>27155461</v>
      </c>
      <c r="D166" s="103">
        <f>SUM(D155:D165)</f>
        <v>34900350</v>
      </c>
      <c r="E166" s="103">
        <f t="shared" si="22"/>
        <v>7744889</v>
      </c>
      <c r="F166" s="104">
        <f t="shared" si="23"/>
        <v>0.2852055798279396</v>
      </c>
    </row>
    <row r="167" spans="1:6" ht="18" customHeight="1">
      <c r="A167" s="94" t="s">
        <v>357</v>
      </c>
      <c r="B167" s="95" t="s">
        <v>366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328</v>
      </c>
      <c r="C168" s="117">
        <v>4679</v>
      </c>
      <c r="D168" s="117">
        <v>4917</v>
      </c>
      <c r="E168" s="117">
        <f aca="true" t="shared" si="24" ref="E168:E179">D168-C168</f>
        <v>238</v>
      </c>
      <c r="F168" s="98">
        <f aca="true" t="shared" si="25" ref="F168:F179">IF(C168=0,0,E168/C168)</f>
        <v>0.050865569566146615</v>
      </c>
    </row>
    <row r="169" spans="1:6" ht="18" customHeight="1">
      <c r="A169" s="99">
        <v>2</v>
      </c>
      <c r="B169" s="100" t="s">
        <v>329</v>
      </c>
      <c r="C169" s="117">
        <v>442</v>
      </c>
      <c r="D169" s="117">
        <v>465</v>
      </c>
      <c r="E169" s="117">
        <f t="shared" si="24"/>
        <v>23</v>
      </c>
      <c r="F169" s="98">
        <f t="shared" si="25"/>
        <v>0.05203619909502263</v>
      </c>
    </row>
    <row r="170" spans="1:6" ht="18" customHeight="1">
      <c r="A170" s="99">
        <v>3</v>
      </c>
      <c r="B170" s="100" t="s">
        <v>330</v>
      </c>
      <c r="C170" s="117">
        <v>463</v>
      </c>
      <c r="D170" s="117">
        <v>434</v>
      </c>
      <c r="E170" s="117">
        <f t="shared" si="24"/>
        <v>-29</v>
      </c>
      <c r="F170" s="98">
        <f t="shared" si="25"/>
        <v>-0.06263498920086392</v>
      </c>
    </row>
    <row r="171" spans="1:6" ht="18" customHeight="1">
      <c r="A171" s="99">
        <v>4</v>
      </c>
      <c r="B171" s="100" t="s">
        <v>331</v>
      </c>
      <c r="C171" s="117">
        <v>1133</v>
      </c>
      <c r="D171" s="117">
        <v>1538</v>
      </c>
      <c r="E171" s="117">
        <f t="shared" si="24"/>
        <v>405</v>
      </c>
      <c r="F171" s="98">
        <f t="shared" si="25"/>
        <v>0.3574580759046778</v>
      </c>
    </row>
    <row r="172" spans="1:6" ht="18" customHeight="1">
      <c r="A172" s="99">
        <v>5</v>
      </c>
      <c r="B172" s="100" t="s">
        <v>332</v>
      </c>
      <c r="C172" s="117">
        <v>11</v>
      </c>
      <c r="D172" s="117">
        <v>45</v>
      </c>
      <c r="E172" s="117">
        <f t="shared" si="24"/>
        <v>34</v>
      </c>
      <c r="F172" s="98">
        <f t="shared" si="25"/>
        <v>3.090909090909091</v>
      </c>
    </row>
    <row r="173" spans="1:6" ht="18" customHeight="1">
      <c r="A173" s="99">
        <v>6</v>
      </c>
      <c r="B173" s="100" t="s">
        <v>333</v>
      </c>
      <c r="C173" s="117">
        <v>8072</v>
      </c>
      <c r="D173" s="117">
        <v>7514</v>
      </c>
      <c r="E173" s="117">
        <f t="shared" si="24"/>
        <v>-558</v>
      </c>
      <c r="F173" s="98">
        <f t="shared" si="25"/>
        <v>-0.06912784935579781</v>
      </c>
    </row>
    <row r="174" spans="1:6" ht="18" customHeight="1">
      <c r="A174" s="99">
        <v>7</v>
      </c>
      <c r="B174" s="100" t="s">
        <v>334</v>
      </c>
      <c r="C174" s="117">
        <v>12604</v>
      </c>
      <c r="D174" s="117">
        <v>12598</v>
      </c>
      <c r="E174" s="117">
        <f t="shared" si="24"/>
        <v>-6</v>
      </c>
      <c r="F174" s="98">
        <f t="shared" si="25"/>
        <v>-0.0004760393525864805</v>
      </c>
    </row>
    <row r="175" spans="1:6" ht="18" customHeight="1">
      <c r="A175" s="99">
        <v>8</v>
      </c>
      <c r="B175" s="100" t="s">
        <v>335</v>
      </c>
      <c r="C175" s="117">
        <v>1184</v>
      </c>
      <c r="D175" s="117">
        <v>940</v>
      </c>
      <c r="E175" s="117">
        <f t="shared" si="24"/>
        <v>-244</v>
      </c>
      <c r="F175" s="98">
        <f t="shared" si="25"/>
        <v>-0.20608108108108109</v>
      </c>
    </row>
    <row r="176" spans="1:6" ht="18" customHeight="1">
      <c r="A176" s="99">
        <v>9</v>
      </c>
      <c r="B176" s="100" t="s">
        <v>336</v>
      </c>
      <c r="C176" s="117">
        <v>2768</v>
      </c>
      <c r="D176" s="117">
        <v>4389</v>
      </c>
      <c r="E176" s="117">
        <f t="shared" si="24"/>
        <v>1621</v>
      </c>
      <c r="F176" s="98">
        <f t="shared" si="25"/>
        <v>0.585621387283237</v>
      </c>
    </row>
    <row r="177" spans="1:6" ht="18" customHeight="1">
      <c r="A177" s="99">
        <v>10</v>
      </c>
      <c r="B177" s="100" t="s">
        <v>337</v>
      </c>
      <c r="C177" s="117">
        <v>194</v>
      </c>
      <c r="D177" s="117">
        <v>264</v>
      </c>
      <c r="E177" s="117">
        <f t="shared" si="24"/>
        <v>70</v>
      </c>
      <c r="F177" s="98">
        <f t="shared" si="25"/>
        <v>0.36082474226804123</v>
      </c>
    </row>
    <row r="178" spans="1:6" ht="18" customHeight="1">
      <c r="A178" s="99">
        <v>11</v>
      </c>
      <c r="B178" s="100" t="s">
        <v>338</v>
      </c>
      <c r="C178" s="117">
        <v>1551</v>
      </c>
      <c r="D178" s="117">
        <v>2357</v>
      </c>
      <c r="E178" s="117">
        <f t="shared" si="24"/>
        <v>806</v>
      </c>
      <c r="F178" s="98">
        <f t="shared" si="25"/>
        <v>0.5196647324306899</v>
      </c>
    </row>
    <row r="179" spans="1:6" ht="33.75" customHeight="1">
      <c r="A179" s="101"/>
      <c r="B179" s="102" t="s">
        <v>367</v>
      </c>
      <c r="C179" s="118">
        <f>SUM(C168:C178)</f>
        <v>33101</v>
      </c>
      <c r="D179" s="118">
        <f>SUM(D168:D178)</f>
        <v>35461</v>
      </c>
      <c r="E179" s="118">
        <f t="shared" si="24"/>
        <v>2360</v>
      </c>
      <c r="F179" s="104">
        <f t="shared" si="25"/>
        <v>0.07129693966949639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FILING&amp;RGREENWICH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216</v>
      </c>
      <c r="E2" s="123"/>
      <c r="F2" s="123"/>
      <c r="G2" s="124"/>
    </row>
    <row r="3" spans="1:7" ht="15.75" customHeight="1">
      <c r="A3" s="121"/>
      <c r="C3" s="123" t="s">
        <v>217</v>
      </c>
      <c r="E3" s="123"/>
      <c r="F3" s="123"/>
      <c r="G3" s="124"/>
    </row>
    <row r="4" spans="1:7" ht="15.75" customHeight="1">
      <c r="A4" s="121"/>
      <c r="C4" s="123" t="s">
        <v>218</v>
      </c>
      <c r="E4" s="123"/>
      <c r="F4" s="123"/>
      <c r="G4" s="124"/>
    </row>
    <row r="5" spans="1:7" ht="15.75" customHeight="1">
      <c r="A5" s="121"/>
      <c r="C5" s="123" t="s">
        <v>368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220</v>
      </c>
      <c r="D9" s="127" t="s">
        <v>221</v>
      </c>
      <c r="E9" s="129" t="s">
        <v>222</v>
      </c>
      <c r="F9" s="130" t="s">
        <v>369</v>
      </c>
      <c r="G9" s="124"/>
    </row>
    <row r="10" spans="1:7" ht="15.75" customHeight="1">
      <c r="A10" s="131" t="s">
        <v>370</v>
      </c>
      <c r="B10" s="132" t="s">
        <v>225</v>
      </c>
      <c r="C10" s="133" t="s">
        <v>226</v>
      </c>
      <c r="D10" s="133" t="s">
        <v>226</v>
      </c>
      <c r="E10" s="134" t="s">
        <v>227</v>
      </c>
      <c r="F10" s="133" t="s">
        <v>227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228</v>
      </c>
      <c r="B12" s="139" t="s">
        <v>371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326</v>
      </c>
      <c r="B14" s="145" t="s">
        <v>372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373</v>
      </c>
      <c r="C15" s="146">
        <v>34451485</v>
      </c>
      <c r="D15" s="146">
        <v>34682247</v>
      </c>
      <c r="E15" s="146">
        <f>+D15-C15</f>
        <v>230762</v>
      </c>
      <c r="F15" s="150">
        <f>IF(C15=0,0,E15/C15)</f>
        <v>0.006698172807355038</v>
      </c>
    </row>
    <row r="16" spans="1:6" ht="15" customHeight="1">
      <c r="A16" s="141">
        <v>2</v>
      </c>
      <c r="B16" s="149" t="s">
        <v>374</v>
      </c>
      <c r="C16" s="146">
        <v>14575885</v>
      </c>
      <c r="D16" s="146">
        <v>16001525</v>
      </c>
      <c r="E16" s="146">
        <f>+D16-C16</f>
        <v>1425640</v>
      </c>
      <c r="F16" s="150">
        <f>IF(C16=0,0,E16/C16)</f>
        <v>0.09780812623041414</v>
      </c>
    </row>
    <row r="17" spans="1:6" ht="15" customHeight="1">
      <c r="A17" s="141">
        <v>3</v>
      </c>
      <c r="B17" s="149" t="s">
        <v>375</v>
      </c>
      <c r="C17" s="146">
        <v>74323630</v>
      </c>
      <c r="D17" s="146">
        <v>71813474</v>
      </c>
      <c r="E17" s="146">
        <f>+D17-C17</f>
        <v>-2510156</v>
      </c>
      <c r="F17" s="150">
        <f>IF(C17=0,0,E17/C17)</f>
        <v>-0.033773323504247575</v>
      </c>
    </row>
    <row r="18" spans="1:7" ht="15.75" customHeight="1">
      <c r="A18" s="141"/>
      <c r="B18" s="151" t="s">
        <v>376</v>
      </c>
      <c r="C18" s="147">
        <f>SUM(C15:C17)</f>
        <v>123351000</v>
      </c>
      <c r="D18" s="147">
        <f>SUM(D15:D17)</f>
        <v>122497246</v>
      </c>
      <c r="E18" s="147">
        <f>+D18-C18</f>
        <v>-853754</v>
      </c>
      <c r="F18" s="148">
        <f>IF(C18=0,0,E18/C18)</f>
        <v>-0.006921338294784801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340</v>
      </c>
      <c r="B20" s="145" t="s">
        <v>377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378</v>
      </c>
      <c r="C21" s="146">
        <v>8613360</v>
      </c>
      <c r="D21" s="146">
        <v>9364207</v>
      </c>
      <c r="E21" s="146">
        <f>+D21-C21</f>
        <v>750847</v>
      </c>
      <c r="F21" s="150">
        <f>IF(C21=0,0,E21/C21)</f>
        <v>0.08717236943538874</v>
      </c>
    </row>
    <row r="22" spans="1:6" ht="15" customHeight="1">
      <c r="A22" s="141">
        <v>2</v>
      </c>
      <c r="B22" s="149" t="s">
        <v>379</v>
      </c>
      <c r="C22" s="146">
        <v>3691440</v>
      </c>
      <c r="D22" s="146">
        <v>4320412</v>
      </c>
      <c r="E22" s="146">
        <f>+D22-C22</f>
        <v>628972</v>
      </c>
      <c r="F22" s="150">
        <f>IF(C22=0,0,E22/C22)</f>
        <v>0.170386624190018</v>
      </c>
    </row>
    <row r="23" spans="1:6" ht="15" customHeight="1">
      <c r="A23" s="141">
        <v>3</v>
      </c>
      <c r="B23" s="149" t="s">
        <v>380</v>
      </c>
      <c r="C23" s="146">
        <v>18457200</v>
      </c>
      <c r="D23" s="146">
        <v>20460705</v>
      </c>
      <c r="E23" s="146">
        <f>+D23-C23</f>
        <v>2003505</v>
      </c>
      <c r="F23" s="150">
        <f>IF(C23=0,0,E23/C23)</f>
        <v>0.10854869644366426</v>
      </c>
    </row>
    <row r="24" spans="1:7" ht="15.75" customHeight="1">
      <c r="A24" s="141"/>
      <c r="B24" s="151" t="s">
        <v>381</v>
      </c>
      <c r="C24" s="147">
        <f>SUM(C21:C23)</f>
        <v>30762000</v>
      </c>
      <c r="D24" s="147">
        <f>SUM(D21:D23)</f>
        <v>34145324</v>
      </c>
      <c r="E24" s="147">
        <f>+D24-C24</f>
        <v>3383324</v>
      </c>
      <c r="F24" s="148">
        <f>IF(C24=0,0,E24/C24)</f>
        <v>0.10998387621090956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357</v>
      </c>
      <c r="B26" s="145" t="s">
        <v>382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383</v>
      </c>
      <c r="C27" s="146">
        <v>2443144</v>
      </c>
      <c r="D27" s="146">
        <v>1485355</v>
      </c>
      <c r="E27" s="146">
        <f>+D27-C27</f>
        <v>-957789</v>
      </c>
      <c r="F27" s="150">
        <f>IF(C27=0,0,E27/C27)</f>
        <v>-0.39203133339663976</v>
      </c>
    </row>
    <row r="28" spans="1:6" ht="15" customHeight="1">
      <c r="A28" s="141">
        <v>2</v>
      </c>
      <c r="B28" s="149" t="s">
        <v>384</v>
      </c>
      <c r="C28" s="146">
        <v>1002694</v>
      </c>
      <c r="D28" s="146">
        <v>3751612</v>
      </c>
      <c r="E28" s="146">
        <f>+D28-C28</f>
        <v>2748918</v>
      </c>
      <c r="F28" s="150">
        <f>IF(C28=0,0,E28/C28)</f>
        <v>2.741532311951602</v>
      </c>
    </row>
    <row r="29" spans="1:6" ht="15" customHeight="1">
      <c r="A29" s="141">
        <v>3</v>
      </c>
      <c r="B29" s="149" t="s">
        <v>385</v>
      </c>
      <c r="C29" s="146">
        <v>380146</v>
      </c>
      <c r="D29" s="146">
        <v>585407</v>
      </c>
      <c r="E29" s="146">
        <f>+D29-C29</f>
        <v>205261</v>
      </c>
      <c r="F29" s="150">
        <f>IF(C29=0,0,E29/C29)</f>
        <v>0.5399530706623245</v>
      </c>
    </row>
    <row r="30" spans="1:7" ht="15.75" customHeight="1">
      <c r="A30" s="141"/>
      <c r="B30" s="151" t="s">
        <v>386</v>
      </c>
      <c r="C30" s="147">
        <f>SUM(C27:C29)</f>
        <v>3825984</v>
      </c>
      <c r="D30" s="147">
        <f>SUM(D27:D29)</f>
        <v>5822374</v>
      </c>
      <c r="E30" s="147">
        <f>+D30-C30</f>
        <v>1996390</v>
      </c>
      <c r="F30" s="148">
        <f>IF(C30=0,0,E30/C30)</f>
        <v>0.521797791104197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387</v>
      </c>
      <c r="B32" s="145" t="s">
        <v>388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389</v>
      </c>
      <c r="C33" s="146">
        <v>24160141</v>
      </c>
      <c r="D33" s="146">
        <v>25437800</v>
      </c>
      <c r="E33" s="146">
        <f>+D33-C33</f>
        <v>1277659</v>
      </c>
      <c r="F33" s="150">
        <f>IF(C33=0,0,E33/C33)</f>
        <v>0.0528829281252953</v>
      </c>
    </row>
    <row r="34" spans="1:6" ht="15" customHeight="1">
      <c r="A34" s="141">
        <v>2</v>
      </c>
      <c r="B34" s="149" t="s">
        <v>390</v>
      </c>
      <c r="C34" s="146">
        <v>7620494</v>
      </c>
      <c r="D34" s="146">
        <v>7507099</v>
      </c>
      <c r="E34" s="146">
        <f>+D34-C34</f>
        <v>-113395</v>
      </c>
      <c r="F34" s="150">
        <f>IF(C34=0,0,E34/C34)</f>
        <v>-0.014880268916949478</v>
      </c>
    </row>
    <row r="35" spans="1:7" ht="15.75" customHeight="1">
      <c r="A35" s="141"/>
      <c r="B35" s="151" t="s">
        <v>391</v>
      </c>
      <c r="C35" s="147">
        <f>SUM(C33:C34)</f>
        <v>31780635</v>
      </c>
      <c r="D35" s="147">
        <f>SUM(D33:D34)</f>
        <v>32944899</v>
      </c>
      <c r="E35" s="147">
        <f>+D35-C35</f>
        <v>1164264</v>
      </c>
      <c r="F35" s="148">
        <f>IF(C35=0,0,E35/C35)</f>
        <v>0.036634384429386005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392</v>
      </c>
      <c r="B37" s="145" t="s">
        <v>393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394</v>
      </c>
      <c r="C38" s="146">
        <v>5559000</v>
      </c>
      <c r="D38" s="146">
        <v>5241000</v>
      </c>
      <c r="E38" s="146">
        <f>+D38-C38</f>
        <v>-318000</v>
      </c>
      <c r="F38" s="150">
        <f>IF(C38=0,0,E38/C38)</f>
        <v>-0.057204533189422556</v>
      </c>
    </row>
    <row r="39" spans="1:6" ht="15" customHeight="1">
      <c r="A39" s="141">
        <v>2</v>
      </c>
      <c r="B39" s="149" t="s">
        <v>395</v>
      </c>
      <c r="C39" s="146">
        <v>11302000</v>
      </c>
      <c r="D39" s="146">
        <v>13774000</v>
      </c>
      <c r="E39" s="146">
        <f>+D39-C39</f>
        <v>2472000</v>
      </c>
      <c r="F39" s="150">
        <f>IF(C39=0,0,E39/C39)</f>
        <v>0.21872235002654397</v>
      </c>
    </row>
    <row r="40" spans="1:6" ht="15" customHeight="1">
      <c r="A40" s="141">
        <v>3</v>
      </c>
      <c r="B40" s="149" t="s">
        <v>396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397</v>
      </c>
      <c r="C41" s="147">
        <f>SUM(C38:C40)</f>
        <v>16861000</v>
      </c>
      <c r="D41" s="147">
        <f>SUM(D38:D40)</f>
        <v>19015000</v>
      </c>
      <c r="E41" s="147">
        <f>+D41-C41</f>
        <v>2154000</v>
      </c>
      <c r="F41" s="148">
        <f>IF(C41=0,0,E41/C41)</f>
        <v>0.12775042998635905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398</v>
      </c>
      <c r="B43" s="145" t="s">
        <v>399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301</v>
      </c>
      <c r="C44" s="146">
        <v>10117000</v>
      </c>
      <c r="D44" s="146">
        <v>7851000</v>
      </c>
      <c r="E44" s="146">
        <f>+D44-C44</f>
        <v>-2266000</v>
      </c>
      <c r="F44" s="150">
        <f>IF(C44=0,0,E44/C44)</f>
        <v>-0.22397944054561628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400</v>
      </c>
      <c r="B46" s="145" t="s">
        <v>401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402</v>
      </c>
      <c r="C47" s="146">
        <v>2205000</v>
      </c>
      <c r="D47" s="146">
        <v>669000</v>
      </c>
      <c r="E47" s="146">
        <f>+D47-C47</f>
        <v>-1536000</v>
      </c>
      <c r="F47" s="150">
        <f>IF(C47=0,0,E47/C47)</f>
        <v>-0.6965986394557823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403</v>
      </c>
      <c r="B49" s="145" t="s">
        <v>404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405</v>
      </c>
      <c r="C50" s="146">
        <v>3865478</v>
      </c>
      <c r="D50" s="146">
        <v>2858541</v>
      </c>
      <c r="E50" s="146">
        <f>+D50-C50</f>
        <v>-1006937</v>
      </c>
      <c r="F50" s="150">
        <f>IF(C50=0,0,E50/C50)</f>
        <v>-0.26049482108034244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406</v>
      </c>
      <c r="B52" s="145" t="s">
        <v>407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408</v>
      </c>
      <c r="C53" s="146">
        <v>83890</v>
      </c>
      <c r="D53" s="146">
        <v>75508</v>
      </c>
      <c r="E53" s="146">
        <f aca="true" t="shared" si="0" ref="E53:E59">+D53-C53</f>
        <v>-8382</v>
      </c>
      <c r="F53" s="150">
        <f aca="true" t="shared" si="1" ref="F53:F59">IF(C53=0,0,E53/C53)</f>
        <v>-0.09991655739659078</v>
      </c>
    </row>
    <row r="54" spans="1:6" ht="15" customHeight="1">
      <c r="A54" s="141">
        <v>2</v>
      </c>
      <c r="B54" s="149" t="s">
        <v>409</v>
      </c>
      <c r="C54" s="146">
        <v>771850</v>
      </c>
      <c r="D54" s="146">
        <v>853130</v>
      </c>
      <c r="E54" s="146">
        <f t="shared" si="0"/>
        <v>81280</v>
      </c>
      <c r="F54" s="150">
        <f t="shared" si="1"/>
        <v>0.10530543499384595</v>
      </c>
    </row>
    <row r="55" spans="1:6" ht="15" customHeight="1">
      <c r="A55" s="141">
        <v>3</v>
      </c>
      <c r="B55" s="149" t="s">
        <v>410</v>
      </c>
      <c r="C55" s="146">
        <v>34191</v>
      </c>
      <c r="D55" s="146">
        <v>40906</v>
      </c>
      <c r="E55" s="146">
        <f t="shared" si="0"/>
        <v>6715</v>
      </c>
      <c r="F55" s="150">
        <f t="shared" si="1"/>
        <v>0.19639671258518324</v>
      </c>
    </row>
    <row r="56" spans="1:6" ht="15" customHeight="1">
      <c r="A56" s="141">
        <v>4</v>
      </c>
      <c r="B56" s="149" t="s">
        <v>411</v>
      </c>
      <c r="C56" s="146">
        <v>1717164</v>
      </c>
      <c r="D56" s="146">
        <v>1585379</v>
      </c>
      <c r="E56" s="146">
        <f t="shared" si="0"/>
        <v>-131785</v>
      </c>
      <c r="F56" s="150">
        <f t="shared" si="1"/>
        <v>-0.07674572725726837</v>
      </c>
    </row>
    <row r="57" spans="1:6" ht="15" customHeight="1">
      <c r="A57" s="141">
        <v>5</v>
      </c>
      <c r="B57" s="149" t="s">
        <v>412</v>
      </c>
      <c r="C57" s="146">
        <v>904678</v>
      </c>
      <c r="D57" s="146">
        <v>908700</v>
      </c>
      <c r="E57" s="146">
        <f t="shared" si="0"/>
        <v>4022</v>
      </c>
      <c r="F57" s="150">
        <f t="shared" si="1"/>
        <v>0.0044457807087162505</v>
      </c>
    </row>
    <row r="58" spans="1:6" ht="15" customHeight="1">
      <c r="A58" s="141">
        <v>6</v>
      </c>
      <c r="B58" s="149" t="s">
        <v>413</v>
      </c>
      <c r="C58" s="146">
        <v>36796</v>
      </c>
      <c r="D58" s="146">
        <v>22713</v>
      </c>
      <c r="E58" s="146">
        <f t="shared" si="0"/>
        <v>-14083</v>
      </c>
      <c r="F58" s="150">
        <f t="shared" si="1"/>
        <v>-0.382731818675943</v>
      </c>
    </row>
    <row r="59" spans="1:7" ht="15.75" customHeight="1">
      <c r="A59" s="141"/>
      <c r="B59" s="151" t="s">
        <v>414</v>
      </c>
      <c r="C59" s="147">
        <f>SUM(C53:C58)</f>
        <v>3548569</v>
      </c>
      <c r="D59" s="147">
        <f>SUM(D53:D58)</f>
        <v>3486336</v>
      </c>
      <c r="E59" s="147">
        <f t="shared" si="0"/>
        <v>-62233</v>
      </c>
      <c r="F59" s="148">
        <f t="shared" si="1"/>
        <v>-0.017537491873484776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415</v>
      </c>
      <c r="B61" s="145" t="s">
        <v>416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417</v>
      </c>
      <c r="C62" s="146">
        <v>250000</v>
      </c>
      <c r="D62" s="146">
        <v>254004</v>
      </c>
      <c r="E62" s="146">
        <f aca="true" t="shared" si="2" ref="E62:E78">+D62-C62</f>
        <v>4004</v>
      </c>
      <c r="F62" s="150">
        <f aca="true" t="shared" si="3" ref="F62:F78">IF(C62=0,0,E62/C62)</f>
        <v>0.016016</v>
      </c>
    </row>
    <row r="63" spans="1:6" ht="15" customHeight="1">
      <c r="A63" s="141">
        <v>2</v>
      </c>
      <c r="B63" s="149" t="s">
        <v>418</v>
      </c>
      <c r="C63" s="146">
        <v>950626</v>
      </c>
      <c r="D63" s="146">
        <v>672440</v>
      </c>
      <c r="E63" s="146">
        <f t="shared" si="2"/>
        <v>-278186</v>
      </c>
      <c r="F63" s="150">
        <f t="shared" si="3"/>
        <v>-0.29263453766255076</v>
      </c>
    </row>
    <row r="64" spans="1:6" ht="15" customHeight="1">
      <c r="A64" s="141">
        <v>3</v>
      </c>
      <c r="B64" s="149" t="s">
        <v>419</v>
      </c>
      <c r="C64" s="146">
        <v>1438830</v>
      </c>
      <c r="D64" s="146">
        <v>3769768</v>
      </c>
      <c r="E64" s="146">
        <f t="shared" si="2"/>
        <v>2330938</v>
      </c>
      <c r="F64" s="150">
        <f t="shared" si="3"/>
        <v>1.620023213305255</v>
      </c>
    </row>
    <row r="65" spans="1:6" ht="15" customHeight="1">
      <c r="A65" s="141">
        <v>4</v>
      </c>
      <c r="B65" s="149" t="s">
        <v>420</v>
      </c>
      <c r="C65" s="146">
        <v>456669</v>
      </c>
      <c r="D65" s="146">
        <v>392697</v>
      </c>
      <c r="E65" s="146">
        <f t="shared" si="2"/>
        <v>-63972</v>
      </c>
      <c r="F65" s="150">
        <f t="shared" si="3"/>
        <v>-0.14008395577540844</v>
      </c>
    </row>
    <row r="66" spans="1:6" ht="15" customHeight="1">
      <c r="A66" s="141">
        <v>5</v>
      </c>
      <c r="B66" s="149" t="s">
        <v>421</v>
      </c>
      <c r="C66" s="146">
        <v>919920</v>
      </c>
      <c r="D66" s="146">
        <v>896963</v>
      </c>
      <c r="E66" s="146">
        <f t="shared" si="2"/>
        <v>-22957</v>
      </c>
      <c r="F66" s="150">
        <f t="shared" si="3"/>
        <v>-0.024955430907035395</v>
      </c>
    </row>
    <row r="67" spans="1:6" ht="15" customHeight="1">
      <c r="A67" s="141">
        <v>6</v>
      </c>
      <c r="B67" s="149" t="s">
        <v>422</v>
      </c>
      <c r="C67" s="146">
        <v>4032439</v>
      </c>
      <c r="D67" s="146">
        <v>4965037</v>
      </c>
      <c r="E67" s="146">
        <f t="shared" si="2"/>
        <v>932598</v>
      </c>
      <c r="F67" s="150">
        <f t="shared" si="3"/>
        <v>0.23127392627638013</v>
      </c>
    </row>
    <row r="68" spans="1:6" ht="15" customHeight="1">
      <c r="A68" s="141">
        <v>7</v>
      </c>
      <c r="B68" s="149" t="s">
        <v>423</v>
      </c>
      <c r="C68" s="146">
        <v>1176593</v>
      </c>
      <c r="D68" s="146">
        <v>1223574</v>
      </c>
      <c r="E68" s="146">
        <f t="shared" si="2"/>
        <v>46981</v>
      </c>
      <c r="F68" s="150">
        <f t="shared" si="3"/>
        <v>0.039929695315202456</v>
      </c>
    </row>
    <row r="69" spans="1:6" ht="15" customHeight="1">
      <c r="A69" s="141">
        <v>8</v>
      </c>
      <c r="B69" s="149" t="s">
        <v>424</v>
      </c>
      <c r="C69" s="146">
        <v>480021</v>
      </c>
      <c r="D69" s="146">
        <v>454182</v>
      </c>
      <c r="E69" s="146">
        <f t="shared" si="2"/>
        <v>-25839</v>
      </c>
      <c r="F69" s="150">
        <f t="shared" si="3"/>
        <v>-0.05382889498584437</v>
      </c>
    </row>
    <row r="70" spans="1:6" ht="15" customHeight="1">
      <c r="A70" s="141">
        <v>9</v>
      </c>
      <c r="B70" s="149" t="s">
        <v>425</v>
      </c>
      <c r="C70" s="146">
        <v>105697</v>
      </c>
      <c r="D70" s="146">
        <v>98478</v>
      </c>
      <c r="E70" s="146">
        <f t="shared" si="2"/>
        <v>-7219</v>
      </c>
      <c r="F70" s="150">
        <f t="shared" si="3"/>
        <v>-0.06829900564822086</v>
      </c>
    </row>
    <row r="71" spans="1:6" ht="15" customHeight="1">
      <c r="A71" s="141">
        <v>10</v>
      </c>
      <c r="B71" s="149" t="s">
        <v>426</v>
      </c>
      <c r="C71" s="146">
        <v>467105</v>
      </c>
      <c r="D71" s="146">
        <v>332733</v>
      </c>
      <c r="E71" s="146">
        <f t="shared" si="2"/>
        <v>-134372</v>
      </c>
      <c r="F71" s="150">
        <f t="shared" si="3"/>
        <v>-0.28766979587030755</v>
      </c>
    </row>
    <row r="72" spans="1:6" ht="15" customHeight="1">
      <c r="A72" s="141">
        <v>11</v>
      </c>
      <c r="B72" s="149" t="s">
        <v>427</v>
      </c>
      <c r="C72" s="146">
        <v>41590</v>
      </c>
      <c r="D72" s="146">
        <v>18674</v>
      </c>
      <c r="E72" s="146">
        <f t="shared" si="2"/>
        <v>-22916</v>
      </c>
      <c r="F72" s="150">
        <f t="shared" si="3"/>
        <v>-0.5509978360182737</v>
      </c>
    </row>
    <row r="73" spans="1:6" ht="15" customHeight="1">
      <c r="A73" s="141">
        <v>12</v>
      </c>
      <c r="B73" s="149" t="s">
        <v>428</v>
      </c>
      <c r="C73" s="146">
        <v>6238174</v>
      </c>
      <c r="D73" s="146">
        <v>5380379</v>
      </c>
      <c r="E73" s="146">
        <f t="shared" si="2"/>
        <v>-857795</v>
      </c>
      <c r="F73" s="150">
        <f t="shared" si="3"/>
        <v>-0.13750738597544732</v>
      </c>
    </row>
    <row r="74" spans="1:6" ht="15" customHeight="1">
      <c r="A74" s="141">
        <v>13</v>
      </c>
      <c r="B74" s="149" t="s">
        <v>429</v>
      </c>
      <c r="C74" s="146">
        <v>343117</v>
      </c>
      <c r="D74" s="146">
        <v>339134</v>
      </c>
      <c r="E74" s="146">
        <f t="shared" si="2"/>
        <v>-3983</v>
      </c>
      <c r="F74" s="150">
        <f t="shared" si="3"/>
        <v>-0.011608285220493302</v>
      </c>
    </row>
    <row r="75" spans="1:6" ht="15" customHeight="1">
      <c r="A75" s="141">
        <v>14</v>
      </c>
      <c r="B75" s="149" t="s">
        <v>430</v>
      </c>
      <c r="C75" s="146">
        <v>650541</v>
      </c>
      <c r="D75" s="146">
        <v>613060</v>
      </c>
      <c r="E75" s="146">
        <f t="shared" si="2"/>
        <v>-37481</v>
      </c>
      <c r="F75" s="150">
        <f t="shared" si="3"/>
        <v>-0.0576151234126673</v>
      </c>
    </row>
    <row r="76" spans="1:6" ht="15" customHeight="1">
      <c r="A76" s="141">
        <v>15</v>
      </c>
      <c r="B76" s="149" t="s">
        <v>431</v>
      </c>
      <c r="C76" s="146">
        <v>981258</v>
      </c>
      <c r="D76" s="146">
        <v>1233756</v>
      </c>
      <c r="E76" s="146">
        <f t="shared" si="2"/>
        <v>252498</v>
      </c>
      <c r="F76" s="150">
        <f t="shared" si="3"/>
        <v>0.25732070464648443</v>
      </c>
    </row>
    <row r="77" spans="1:6" ht="15" customHeight="1">
      <c r="A77" s="141">
        <v>16</v>
      </c>
      <c r="B77" s="149" t="s">
        <v>432</v>
      </c>
      <c r="C77" s="146">
        <v>32935386</v>
      </c>
      <c r="D77" s="146">
        <v>33212693</v>
      </c>
      <c r="E77" s="146">
        <f t="shared" si="2"/>
        <v>277307</v>
      </c>
      <c r="F77" s="150">
        <f t="shared" si="3"/>
        <v>0.008419728252160153</v>
      </c>
    </row>
    <row r="78" spans="1:7" ht="15.75" customHeight="1">
      <c r="A78" s="141"/>
      <c r="B78" s="151" t="s">
        <v>433</v>
      </c>
      <c r="C78" s="147">
        <f>SUM(C62:C77)</f>
        <v>51467966</v>
      </c>
      <c r="D78" s="147">
        <f>SUM(D62:D77)</f>
        <v>53857572</v>
      </c>
      <c r="E78" s="147">
        <f t="shared" si="2"/>
        <v>2389606</v>
      </c>
      <c r="F78" s="148">
        <f t="shared" si="3"/>
        <v>0.04642899624205083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434</v>
      </c>
      <c r="B80" s="145" t="s">
        <v>435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436</v>
      </c>
      <c r="C81" s="146">
        <v>483368</v>
      </c>
      <c r="D81" s="146">
        <v>384708</v>
      </c>
      <c r="E81" s="146">
        <f>+D81-C81</f>
        <v>-98660</v>
      </c>
      <c r="F81" s="150">
        <f>IF(C81=0,0,E81/C81)</f>
        <v>-0.20410949835322156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437</v>
      </c>
      <c r="C83" s="147">
        <f>+C81+C78+C59+C50+C47+C44+C41+C35+C30+C24+C18</f>
        <v>278268000</v>
      </c>
      <c r="D83" s="147">
        <f>+D81+D78+D59+D50+D47+D44+D41+D35+D30+D24+D18</f>
        <v>283532000</v>
      </c>
      <c r="E83" s="147">
        <f>+D83-C83</f>
        <v>5264000</v>
      </c>
      <c r="F83" s="148">
        <f>IF(C83=0,0,E83/C83)</f>
        <v>0.01891701525148418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438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260</v>
      </c>
      <c r="B88" s="142" t="s">
        <v>439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326</v>
      </c>
      <c r="B90" s="145" t="s">
        <v>440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441</v>
      </c>
      <c r="C91" s="146">
        <v>60335594</v>
      </c>
      <c r="D91" s="146">
        <v>64416677</v>
      </c>
      <c r="E91" s="146">
        <f aca="true" t="shared" si="4" ref="E91:E109">D91-C91</f>
        <v>4081083</v>
      </c>
      <c r="F91" s="150">
        <f aca="true" t="shared" si="5" ref="F91:F109">IF(C91=0,0,E91/C91)</f>
        <v>0.06763972523416277</v>
      </c>
      <c r="G91" s="155"/>
    </row>
    <row r="92" spans="1:7" ht="15" customHeight="1">
      <c r="A92" s="141">
        <v>2</v>
      </c>
      <c r="B92" s="161" t="s">
        <v>442</v>
      </c>
      <c r="C92" s="146">
        <v>4144715</v>
      </c>
      <c r="D92" s="146">
        <v>5298276</v>
      </c>
      <c r="E92" s="146">
        <f t="shared" si="4"/>
        <v>1153561</v>
      </c>
      <c r="F92" s="150">
        <f t="shared" si="5"/>
        <v>0.27832094607228725</v>
      </c>
      <c r="G92" s="155"/>
    </row>
    <row r="93" spans="1:7" ht="15" customHeight="1">
      <c r="A93" s="141">
        <v>3</v>
      </c>
      <c r="B93" s="161" t="s">
        <v>443</v>
      </c>
      <c r="C93" s="146">
        <v>4036315</v>
      </c>
      <c r="D93" s="146">
        <v>4434606</v>
      </c>
      <c r="E93" s="146">
        <f t="shared" si="4"/>
        <v>398291</v>
      </c>
      <c r="F93" s="150">
        <f t="shared" si="5"/>
        <v>0.09867688721024004</v>
      </c>
      <c r="G93" s="155"/>
    </row>
    <row r="94" spans="1:7" ht="15" customHeight="1">
      <c r="A94" s="141">
        <v>4</v>
      </c>
      <c r="B94" s="161" t="s">
        <v>444</v>
      </c>
      <c r="C94" s="146">
        <v>2772141</v>
      </c>
      <c r="D94" s="146">
        <v>2728628</v>
      </c>
      <c r="E94" s="146">
        <f t="shared" si="4"/>
        <v>-43513</v>
      </c>
      <c r="F94" s="150">
        <f t="shared" si="5"/>
        <v>-0.015696532030657892</v>
      </c>
      <c r="G94" s="155"/>
    </row>
    <row r="95" spans="1:7" ht="15" customHeight="1">
      <c r="A95" s="141">
        <v>5</v>
      </c>
      <c r="B95" s="161" t="s">
        <v>445</v>
      </c>
      <c r="C95" s="146">
        <v>7411212</v>
      </c>
      <c r="D95" s="146">
        <v>7356946</v>
      </c>
      <c r="E95" s="146">
        <f t="shared" si="4"/>
        <v>-54266</v>
      </c>
      <c r="F95" s="150">
        <f t="shared" si="5"/>
        <v>-0.007322149197729062</v>
      </c>
      <c r="G95" s="155"/>
    </row>
    <row r="96" spans="1:7" ht="15" customHeight="1">
      <c r="A96" s="141">
        <v>6</v>
      </c>
      <c r="B96" s="161" t="s">
        <v>446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>
      <c r="A97" s="141">
        <v>7</v>
      </c>
      <c r="B97" s="161" t="s">
        <v>447</v>
      </c>
      <c r="C97" s="146">
        <v>3038505</v>
      </c>
      <c r="D97" s="146">
        <v>2030393</v>
      </c>
      <c r="E97" s="146">
        <f t="shared" si="4"/>
        <v>-1008112</v>
      </c>
      <c r="F97" s="150">
        <f t="shared" si="5"/>
        <v>-0.3317789505036194</v>
      </c>
      <c r="G97" s="155"/>
    </row>
    <row r="98" spans="1:7" ht="15" customHeight="1">
      <c r="A98" s="141">
        <v>8</v>
      </c>
      <c r="B98" s="161" t="s">
        <v>448</v>
      </c>
      <c r="C98" s="146">
        <v>3201345</v>
      </c>
      <c r="D98" s="146">
        <v>3197788</v>
      </c>
      <c r="E98" s="146">
        <f t="shared" si="4"/>
        <v>-3557</v>
      </c>
      <c r="F98" s="150">
        <f t="shared" si="5"/>
        <v>-0.0011110954926757347</v>
      </c>
      <c r="G98" s="155"/>
    </row>
    <row r="99" spans="1:7" ht="15" customHeight="1">
      <c r="A99" s="141">
        <v>9</v>
      </c>
      <c r="B99" s="161" t="s">
        <v>449</v>
      </c>
      <c r="C99" s="146">
        <v>638008</v>
      </c>
      <c r="D99" s="146">
        <v>617550</v>
      </c>
      <c r="E99" s="146">
        <f t="shared" si="4"/>
        <v>-20458</v>
      </c>
      <c r="F99" s="150">
        <f t="shared" si="5"/>
        <v>-0.03206542864666274</v>
      </c>
      <c r="G99" s="155"/>
    </row>
    <row r="100" spans="1:7" ht="15" customHeight="1">
      <c r="A100" s="141">
        <v>10</v>
      </c>
      <c r="B100" s="161" t="s">
        <v>450</v>
      </c>
      <c r="C100" s="146">
        <v>5923894</v>
      </c>
      <c r="D100" s="146">
        <v>5139712</v>
      </c>
      <c r="E100" s="146">
        <f t="shared" si="4"/>
        <v>-784182</v>
      </c>
      <c r="F100" s="150">
        <f t="shared" si="5"/>
        <v>-0.13237610261088398</v>
      </c>
      <c r="G100" s="155"/>
    </row>
    <row r="101" spans="1:7" ht="15" customHeight="1">
      <c r="A101" s="141">
        <v>11</v>
      </c>
      <c r="B101" s="161" t="s">
        <v>451</v>
      </c>
      <c r="C101" s="146">
        <v>2653809</v>
      </c>
      <c r="D101" s="146">
        <v>2639745</v>
      </c>
      <c r="E101" s="146">
        <f t="shared" si="4"/>
        <v>-14064</v>
      </c>
      <c r="F101" s="150">
        <f t="shared" si="5"/>
        <v>-0.00529955245460393</v>
      </c>
      <c r="G101" s="155"/>
    </row>
    <row r="102" spans="1:7" ht="15" customHeight="1">
      <c r="A102" s="141">
        <v>12</v>
      </c>
      <c r="B102" s="161" t="s">
        <v>452</v>
      </c>
      <c r="C102" s="146">
        <v>1265335</v>
      </c>
      <c r="D102" s="146">
        <v>987019</v>
      </c>
      <c r="E102" s="146">
        <f t="shared" si="4"/>
        <v>-278316</v>
      </c>
      <c r="F102" s="150">
        <f t="shared" si="5"/>
        <v>-0.2199543994278195</v>
      </c>
      <c r="G102" s="155"/>
    </row>
    <row r="103" spans="1:7" ht="15" customHeight="1">
      <c r="A103" s="141">
        <v>13</v>
      </c>
      <c r="B103" s="161" t="s">
        <v>453</v>
      </c>
      <c r="C103" s="146">
        <v>4446492</v>
      </c>
      <c r="D103" s="146">
        <v>4315538</v>
      </c>
      <c r="E103" s="146">
        <f t="shared" si="4"/>
        <v>-130954</v>
      </c>
      <c r="F103" s="150">
        <f t="shared" si="5"/>
        <v>-0.029451081886574856</v>
      </c>
      <c r="G103" s="155"/>
    </row>
    <row r="104" spans="1:7" ht="15" customHeight="1">
      <c r="A104" s="141">
        <v>14</v>
      </c>
      <c r="B104" s="161" t="s">
        <v>454</v>
      </c>
      <c r="C104" s="146">
        <v>1679169</v>
      </c>
      <c r="D104" s="146">
        <v>1656834</v>
      </c>
      <c r="E104" s="146">
        <f t="shared" si="4"/>
        <v>-22335</v>
      </c>
      <c r="F104" s="150">
        <f t="shared" si="5"/>
        <v>-0.013301222211701146</v>
      </c>
      <c r="G104" s="155"/>
    </row>
    <row r="105" spans="1:7" ht="15" customHeight="1">
      <c r="A105" s="141">
        <v>15</v>
      </c>
      <c r="B105" s="161" t="s">
        <v>423</v>
      </c>
      <c r="C105" s="146">
        <v>3655881</v>
      </c>
      <c r="D105" s="146">
        <v>3452120</v>
      </c>
      <c r="E105" s="146">
        <f t="shared" si="4"/>
        <v>-203761</v>
      </c>
      <c r="F105" s="150">
        <f t="shared" si="5"/>
        <v>-0.055735129234239296</v>
      </c>
      <c r="G105" s="155"/>
    </row>
    <row r="106" spans="1:7" ht="15" customHeight="1">
      <c r="A106" s="141">
        <v>16</v>
      </c>
      <c r="B106" s="161" t="s">
        <v>455</v>
      </c>
      <c r="C106" s="146">
        <v>2013826</v>
      </c>
      <c r="D106" s="146">
        <v>2384851</v>
      </c>
      <c r="E106" s="146">
        <f t="shared" si="4"/>
        <v>371025</v>
      </c>
      <c r="F106" s="150">
        <f t="shared" si="5"/>
        <v>0.1842388567830587</v>
      </c>
      <c r="G106" s="155"/>
    </row>
    <row r="107" spans="1:7" ht="15" customHeight="1">
      <c r="A107" s="141">
        <v>17</v>
      </c>
      <c r="B107" s="161" t="s">
        <v>456</v>
      </c>
      <c r="C107" s="146">
        <v>9412716</v>
      </c>
      <c r="D107" s="146">
        <v>9904872</v>
      </c>
      <c r="E107" s="146">
        <f t="shared" si="4"/>
        <v>492156</v>
      </c>
      <c r="F107" s="150">
        <f t="shared" si="5"/>
        <v>0.052286290163221755</v>
      </c>
      <c r="G107" s="155"/>
    </row>
    <row r="108" spans="1:7" ht="15" customHeight="1">
      <c r="A108" s="141">
        <v>18</v>
      </c>
      <c r="B108" s="161" t="s">
        <v>457</v>
      </c>
      <c r="C108" s="146">
        <v>4041309</v>
      </c>
      <c r="D108" s="146">
        <v>1928065</v>
      </c>
      <c r="E108" s="146">
        <f t="shared" si="4"/>
        <v>-2113244</v>
      </c>
      <c r="F108" s="150">
        <f t="shared" si="5"/>
        <v>-0.5229107697530676</v>
      </c>
      <c r="G108" s="155"/>
    </row>
    <row r="109" spans="1:7" ht="15.75" customHeight="1">
      <c r="A109" s="141"/>
      <c r="B109" s="154" t="s">
        <v>458</v>
      </c>
      <c r="C109" s="147">
        <f>SUM(C91:C108)</f>
        <v>120670266</v>
      </c>
      <c r="D109" s="147">
        <f>SUM(D91:D108)</f>
        <v>122489620</v>
      </c>
      <c r="E109" s="147">
        <f t="shared" si="4"/>
        <v>1819354</v>
      </c>
      <c r="F109" s="148">
        <f t="shared" si="5"/>
        <v>0.0150770696071889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340</v>
      </c>
      <c r="B111" s="145" t="s">
        <v>459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460</v>
      </c>
      <c r="C112" s="146">
        <v>1017682</v>
      </c>
      <c r="D112" s="146">
        <v>810232</v>
      </c>
      <c r="E112" s="146">
        <f aca="true" t="shared" si="6" ref="E112:E118">D112-C112</f>
        <v>-207450</v>
      </c>
      <c r="F112" s="150">
        <f aca="true" t="shared" si="7" ref="F112:F118">IF(C112=0,0,E112/C112)</f>
        <v>-0.20384560206429905</v>
      </c>
      <c r="G112" s="155"/>
    </row>
    <row r="113" spans="1:7" ht="15" customHeight="1">
      <c r="A113" s="141">
        <v>2</v>
      </c>
      <c r="B113" s="161" t="s">
        <v>461</v>
      </c>
      <c r="C113" s="146">
        <v>2362124</v>
      </c>
      <c r="D113" s="146">
        <v>2329975</v>
      </c>
      <c r="E113" s="146">
        <f t="shared" si="6"/>
        <v>-32149</v>
      </c>
      <c r="F113" s="150">
        <f t="shared" si="7"/>
        <v>-0.013610208439523073</v>
      </c>
      <c r="G113" s="155"/>
    </row>
    <row r="114" spans="1:7" ht="15" customHeight="1">
      <c r="A114" s="141">
        <v>3</v>
      </c>
      <c r="B114" s="161" t="s">
        <v>462</v>
      </c>
      <c r="C114" s="146">
        <v>1222877</v>
      </c>
      <c r="D114" s="146">
        <v>1148464</v>
      </c>
      <c r="E114" s="146">
        <f t="shared" si="6"/>
        <v>-74413</v>
      </c>
      <c r="F114" s="150">
        <f t="shared" si="7"/>
        <v>-0.060850764222403396</v>
      </c>
      <c r="G114" s="155"/>
    </row>
    <row r="115" spans="1:7" ht="15" customHeight="1">
      <c r="A115" s="141">
        <v>4</v>
      </c>
      <c r="B115" s="161" t="s">
        <v>463</v>
      </c>
      <c r="C115" s="146">
        <v>2430914</v>
      </c>
      <c r="D115" s="146">
        <v>2561492</v>
      </c>
      <c r="E115" s="146">
        <f t="shared" si="6"/>
        <v>130578</v>
      </c>
      <c r="F115" s="150">
        <f t="shared" si="7"/>
        <v>0.053715598330504495</v>
      </c>
      <c r="G115" s="155"/>
    </row>
    <row r="116" spans="1:7" ht="15" customHeight="1">
      <c r="A116" s="141">
        <v>5</v>
      </c>
      <c r="B116" s="161" t="s">
        <v>464</v>
      </c>
      <c r="C116" s="146">
        <v>1740566</v>
      </c>
      <c r="D116" s="146">
        <v>1922093</v>
      </c>
      <c r="E116" s="146">
        <f t="shared" si="6"/>
        <v>181527</v>
      </c>
      <c r="F116" s="150">
        <f t="shared" si="7"/>
        <v>0.1042919372204214</v>
      </c>
      <c r="G116" s="155"/>
    </row>
    <row r="117" spans="1:7" ht="15" customHeight="1">
      <c r="A117" s="141">
        <v>6</v>
      </c>
      <c r="B117" s="161" t="s">
        <v>465</v>
      </c>
      <c r="C117" s="146">
        <v>1716467</v>
      </c>
      <c r="D117" s="146">
        <v>1973972</v>
      </c>
      <c r="E117" s="146">
        <f t="shared" si="6"/>
        <v>257505</v>
      </c>
      <c r="F117" s="150">
        <f t="shared" si="7"/>
        <v>0.15002036159157153</v>
      </c>
      <c r="G117" s="155"/>
    </row>
    <row r="118" spans="1:7" ht="15.75" customHeight="1">
      <c r="A118" s="141"/>
      <c r="B118" s="154" t="s">
        <v>466</v>
      </c>
      <c r="C118" s="147">
        <f>SUM(C112:C117)</f>
        <v>10490630</v>
      </c>
      <c r="D118" s="147">
        <f>SUM(D112:D117)</f>
        <v>10746228</v>
      </c>
      <c r="E118" s="147">
        <f t="shared" si="6"/>
        <v>255598</v>
      </c>
      <c r="F118" s="148">
        <f t="shared" si="7"/>
        <v>0.024364409001175334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357</v>
      </c>
      <c r="B120" s="145" t="s">
        <v>467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468</v>
      </c>
      <c r="C121" s="146">
        <v>20302240</v>
      </c>
      <c r="D121" s="146">
        <v>19958970</v>
      </c>
      <c r="E121" s="146">
        <f aca="true" t="shared" si="8" ref="E121:E155">D121-C121</f>
        <v>-343270</v>
      </c>
      <c r="F121" s="150">
        <f aca="true" t="shared" si="9" ref="F121:F155">IF(C121=0,0,E121/C121)</f>
        <v>-0.016907986507892724</v>
      </c>
      <c r="G121" s="155"/>
    </row>
    <row r="122" spans="1:7" ht="15" customHeight="1">
      <c r="A122" s="141">
        <v>2</v>
      </c>
      <c r="B122" s="161" t="s">
        <v>469</v>
      </c>
      <c r="C122" s="146">
        <v>1408994</v>
      </c>
      <c r="D122" s="146">
        <v>1183345</v>
      </c>
      <c r="E122" s="146">
        <f t="shared" si="8"/>
        <v>-225649</v>
      </c>
      <c r="F122" s="150">
        <f t="shared" si="9"/>
        <v>-0.16014901411929364</v>
      </c>
      <c r="G122" s="155"/>
    </row>
    <row r="123" spans="1:7" ht="15" customHeight="1">
      <c r="A123" s="141">
        <v>3</v>
      </c>
      <c r="B123" s="161" t="s">
        <v>470</v>
      </c>
      <c r="C123" s="146">
        <v>636179</v>
      </c>
      <c r="D123" s="146">
        <v>728872</v>
      </c>
      <c r="E123" s="146">
        <f t="shared" si="8"/>
        <v>92693</v>
      </c>
      <c r="F123" s="150">
        <f t="shared" si="9"/>
        <v>0.14570270317001977</v>
      </c>
      <c r="G123" s="155"/>
    </row>
    <row r="124" spans="1:7" ht="15" customHeight="1">
      <c r="A124" s="141">
        <v>4</v>
      </c>
      <c r="B124" s="161" t="s">
        <v>471</v>
      </c>
      <c r="C124" s="146">
        <v>4799465</v>
      </c>
      <c r="D124" s="146">
        <v>5278005</v>
      </c>
      <c r="E124" s="146">
        <f t="shared" si="8"/>
        <v>478540</v>
      </c>
      <c r="F124" s="150">
        <f t="shared" si="9"/>
        <v>0.09970694650341236</v>
      </c>
      <c r="G124" s="155"/>
    </row>
    <row r="125" spans="1:7" ht="15" customHeight="1">
      <c r="A125" s="141">
        <v>5</v>
      </c>
      <c r="B125" s="161" t="s">
        <v>472</v>
      </c>
      <c r="C125" s="146">
        <v>5889394</v>
      </c>
      <c r="D125" s="146">
        <v>5684493</v>
      </c>
      <c r="E125" s="146">
        <f t="shared" si="8"/>
        <v>-204901</v>
      </c>
      <c r="F125" s="150">
        <f t="shared" si="9"/>
        <v>-0.03479152524011808</v>
      </c>
      <c r="G125" s="155"/>
    </row>
    <row r="126" spans="1:7" ht="15" customHeight="1">
      <c r="A126" s="141">
        <v>6</v>
      </c>
      <c r="B126" s="161" t="s">
        <v>473</v>
      </c>
      <c r="C126" s="146">
        <v>1834466</v>
      </c>
      <c r="D126" s="146">
        <v>2088717</v>
      </c>
      <c r="E126" s="146">
        <f t="shared" si="8"/>
        <v>254251</v>
      </c>
      <c r="F126" s="150">
        <f t="shared" si="9"/>
        <v>0.1385967360528895</v>
      </c>
      <c r="G126" s="155"/>
    </row>
    <row r="127" spans="1:7" ht="15" customHeight="1">
      <c r="A127" s="141">
        <v>7</v>
      </c>
      <c r="B127" s="161" t="s">
        <v>474</v>
      </c>
      <c r="C127" s="146">
        <v>3356547</v>
      </c>
      <c r="D127" s="146">
        <v>3455737</v>
      </c>
      <c r="E127" s="146">
        <f t="shared" si="8"/>
        <v>99190</v>
      </c>
      <c r="F127" s="150">
        <f t="shared" si="9"/>
        <v>0.029551202470872596</v>
      </c>
      <c r="G127" s="155"/>
    </row>
    <row r="128" spans="1:7" ht="15" customHeight="1">
      <c r="A128" s="141">
        <v>8</v>
      </c>
      <c r="B128" s="161" t="s">
        <v>475</v>
      </c>
      <c r="C128" s="146">
        <v>993155</v>
      </c>
      <c r="D128" s="146">
        <v>793084</v>
      </c>
      <c r="E128" s="146">
        <f t="shared" si="8"/>
        <v>-200071</v>
      </c>
      <c r="F128" s="150">
        <f t="shared" si="9"/>
        <v>-0.20144992473480977</v>
      </c>
      <c r="G128" s="155"/>
    </row>
    <row r="129" spans="1:7" ht="15" customHeight="1">
      <c r="A129" s="141">
        <v>9</v>
      </c>
      <c r="B129" s="161" t="s">
        <v>476</v>
      </c>
      <c r="C129" s="146">
        <v>1425589</v>
      </c>
      <c r="D129" s="146">
        <v>1354689</v>
      </c>
      <c r="E129" s="146">
        <f t="shared" si="8"/>
        <v>-70900</v>
      </c>
      <c r="F129" s="150">
        <f t="shared" si="9"/>
        <v>-0.04973382931546189</v>
      </c>
      <c r="G129" s="155"/>
    </row>
    <row r="130" spans="1:7" ht="15" customHeight="1">
      <c r="A130" s="141">
        <v>10</v>
      </c>
      <c r="B130" s="161" t="s">
        <v>477</v>
      </c>
      <c r="C130" s="146">
        <v>13389989</v>
      </c>
      <c r="D130" s="146">
        <v>13942337</v>
      </c>
      <c r="E130" s="146">
        <f t="shared" si="8"/>
        <v>552348</v>
      </c>
      <c r="F130" s="150">
        <f t="shared" si="9"/>
        <v>0.04125081805519034</v>
      </c>
      <c r="G130" s="155"/>
    </row>
    <row r="131" spans="1:7" ht="15" customHeight="1">
      <c r="A131" s="141">
        <v>11</v>
      </c>
      <c r="B131" s="161" t="s">
        <v>478</v>
      </c>
      <c r="C131" s="146">
        <v>1273620</v>
      </c>
      <c r="D131" s="146">
        <v>1474996</v>
      </c>
      <c r="E131" s="146">
        <f t="shared" si="8"/>
        <v>201376</v>
      </c>
      <c r="F131" s="150">
        <f t="shared" si="9"/>
        <v>0.1581130949576797</v>
      </c>
      <c r="G131" s="155"/>
    </row>
    <row r="132" spans="1:7" ht="15" customHeight="1">
      <c r="A132" s="141">
        <v>12</v>
      </c>
      <c r="B132" s="161" t="s">
        <v>479</v>
      </c>
      <c r="C132" s="146">
        <v>1069478</v>
      </c>
      <c r="D132" s="146">
        <v>1175623</v>
      </c>
      <c r="E132" s="146">
        <f t="shared" si="8"/>
        <v>106145</v>
      </c>
      <c r="F132" s="150">
        <f t="shared" si="9"/>
        <v>0.09924935342288481</v>
      </c>
      <c r="G132" s="155"/>
    </row>
    <row r="133" spans="1:7" ht="15" customHeight="1">
      <c r="A133" s="141">
        <v>13</v>
      </c>
      <c r="B133" s="161" t="s">
        <v>480</v>
      </c>
      <c r="C133" s="146">
        <v>365114</v>
      </c>
      <c r="D133" s="146">
        <v>366732</v>
      </c>
      <c r="E133" s="146">
        <f t="shared" si="8"/>
        <v>1618</v>
      </c>
      <c r="F133" s="150">
        <f t="shared" si="9"/>
        <v>0.004431492629699217</v>
      </c>
      <c r="G133" s="155"/>
    </row>
    <row r="134" spans="1:7" ht="15" customHeight="1">
      <c r="A134" s="141">
        <v>14</v>
      </c>
      <c r="B134" s="161" t="s">
        <v>481</v>
      </c>
      <c r="C134" s="146">
        <v>1165274</v>
      </c>
      <c r="D134" s="146">
        <v>1159252</v>
      </c>
      <c r="E134" s="146">
        <f t="shared" si="8"/>
        <v>-6022</v>
      </c>
      <c r="F134" s="150">
        <f t="shared" si="9"/>
        <v>-0.005167883261790789</v>
      </c>
      <c r="G134" s="155"/>
    </row>
    <row r="135" spans="1:7" ht="15" customHeight="1">
      <c r="A135" s="141">
        <v>15</v>
      </c>
      <c r="B135" s="161" t="s">
        <v>482</v>
      </c>
      <c r="C135" s="146">
        <v>1766684</v>
      </c>
      <c r="D135" s="146">
        <v>1714799</v>
      </c>
      <c r="E135" s="146">
        <f t="shared" si="8"/>
        <v>-51885</v>
      </c>
      <c r="F135" s="150">
        <f t="shared" si="9"/>
        <v>-0.02936857977997197</v>
      </c>
      <c r="G135" s="155"/>
    </row>
    <row r="136" spans="1:7" ht="15" customHeight="1">
      <c r="A136" s="141">
        <v>16</v>
      </c>
      <c r="B136" s="161" t="s">
        <v>483</v>
      </c>
      <c r="C136" s="146">
        <v>417160</v>
      </c>
      <c r="D136" s="146">
        <v>402670</v>
      </c>
      <c r="E136" s="146">
        <f t="shared" si="8"/>
        <v>-14490</v>
      </c>
      <c r="F136" s="150">
        <f t="shared" si="9"/>
        <v>-0.0347348739092914</v>
      </c>
      <c r="G136" s="155"/>
    </row>
    <row r="137" spans="1:7" ht="15" customHeight="1">
      <c r="A137" s="141">
        <v>17</v>
      </c>
      <c r="B137" s="161" t="s">
        <v>484</v>
      </c>
      <c r="C137" s="146">
        <v>116050</v>
      </c>
      <c r="D137" s="146">
        <v>100676</v>
      </c>
      <c r="E137" s="146">
        <f t="shared" si="8"/>
        <v>-15374</v>
      </c>
      <c r="F137" s="150">
        <f t="shared" si="9"/>
        <v>-0.13247738043946575</v>
      </c>
      <c r="G137" s="155"/>
    </row>
    <row r="138" spans="1:7" ht="15" customHeight="1">
      <c r="A138" s="141">
        <v>18</v>
      </c>
      <c r="B138" s="161" t="s">
        <v>485</v>
      </c>
      <c r="C138" s="146">
        <v>2413879</v>
      </c>
      <c r="D138" s="146">
        <v>2316978</v>
      </c>
      <c r="E138" s="146">
        <f t="shared" si="8"/>
        <v>-96901</v>
      </c>
      <c r="F138" s="150">
        <f t="shared" si="9"/>
        <v>-0.04014327147301087</v>
      </c>
      <c r="G138" s="155"/>
    </row>
    <row r="139" spans="1:7" ht="15" customHeight="1">
      <c r="A139" s="141">
        <v>19</v>
      </c>
      <c r="B139" s="161" t="s">
        <v>486</v>
      </c>
      <c r="C139" s="146">
        <v>411584</v>
      </c>
      <c r="D139" s="146">
        <v>395779</v>
      </c>
      <c r="E139" s="146">
        <f t="shared" si="8"/>
        <v>-15805</v>
      </c>
      <c r="F139" s="150">
        <f t="shared" si="9"/>
        <v>-0.03840042372881356</v>
      </c>
      <c r="G139" s="155"/>
    </row>
    <row r="140" spans="1:7" ht="15" customHeight="1">
      <c r="A140" s="141">
        <v>20</v>
      </c>
      <c r="B140" s="161" t="s">
        <v>487</v>
      </c>
      <c r="C140" s="146">
        <v>1039112</v>
      </c>
      <c r="D140" s="146">
        <v>936743</v>
      </c>
      <c r="E140" s="146">
        <f t="shared" si="8"/>
        <v>-102369</v>
      </c>
      <c r="F140" s="150">
        <f t="shared" si="9"/>
        <v>-0.0985158481472642</v>
      </c>
      <c r="G140" s="155"/>
    </row>
    <row r="141" spans="1:7" ht="15" customHeight="1">
      <c r="A141" s="141">
        <v>21</v>
      </c>
      <c r="B141" s="161" t="s">
        <v>488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489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490</v>
      </c>
      <c r="C143" s="146">
        <v>264794</v>
      </c>
      <c r="D143" s="146">
        <v>311378</v>
      </c>
      <c r="E143" s="146">
        <f t="shared" si="8"/>
        <v>46584</v>
      </c>
      <c r="F143" s="150">
        <f t="shared" si="9"/>
        <v>0.17592543637695718</v>
      </c>
      <c r="G143" s="155"/>
    </row>
    <row r="144" spans="1:7" ht="15" customHeight="1">
      <c r="A144" s="141">
        <v>24</v>
      </c>
      <c r="B144" s="161" t="s">
        <v>491</v>
      </c>
      <c r="C144" s="146">
        <v>10060361</v>
      </c>
      <c r="D144" s="146">
        <v>10167945</v>
      </c>
      <c r="E144" s="146">
        <f t="shared" si="8"/>
        <v>107584</v>
      </c>
      <c r="F144" s="150">
        <f t="shared" si="9"/>
        <v>0.010693850846903009</v>
      </c>
      <c r="G144" s="155"/>
    </row>
    <row r="145" spans="1:7" ht="15" customHeight="1">
      <c r="A145" s="141">
        <v>25</v>
      </c>
      <c r="B145" s="161" t="s">
        <v>492</v>
      </c>
      <c r="C145" s="146">
        <v>1464402</v>
      </c>
      <c r="D145" s="146">
        <v>1216755</v>
      </c>
      <c r="E145" s="146">
        <f t="shared" si="8"/>
        <v>-247647</v>
      </c>
      <c r="F145" s="150">
        <f t="shared" si="9"/>
        <v>-0.16911135057176924</v>
      </c>
      <c r="G145" s="155"/>
    </row>
    <row r="146" spans="1:7" ht="15" customHeight="1">
      <c r="A146" s="141">
        <v>26</v>
      </c>
      <c r="B146" s="161" t="s">
        <v>493</v>
      </c>
      <c r="C146" s="146">
        <v>476490</v>
      </c>
      <c r="D146" s="146">
        <v>485855</v>
      </c>
      <c r="E146" s="146">
        <f t="shared" si="8"/>
        <v>9365</v>
      </c>
      <c r="F146" s="150">
        <f t="shared" si="9"/>
        <v>0.019654137547482634</v>
      </c>
      <c r="G146" s="155"/>
    </row>
    <row r="147" spans="1:7" ht="15" customHeight="1">
      <c r="A147" s="141">
        <v>27</v>
      </c>
      <c r="B147" s="161" t="s">
        <v>494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495</v>
      </c>
      <c r="C148" s="146">
        <v>2768928</v>
      </c>
      <c r="D148" s="146">
        <v>1980130</v>
      </c>
      <c r="E148" s="146">
        <f t="shared" si="8"/>
        <v>-788798</v>
      </c>
      <c r="F148" s="150">
        <f t="shared" si="9"/>
        <v>-0.2848748685411827</v>
      </c>
      <c r="G148" s="155"/>
    </row>
    <row r="149" spans="1:7" ht="15" customHeight="1">
      <c r="A149" s="141">
        <v>29</v>
      </c>
      <c r="B149" s="161" t="s">
        <v>496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497</v>
      </c>
      <c r="C150" s="146">
        <v>135255</v>
      </c>
      <c r="D150" s="146">
        <v>75323</v>
      </c>
      <c r="E150" s="146">
        <f t="shared" si="8"/>
        <v>-59932</v>
      </c>
      <c r="F150" s="150">
        <f t="shared" si="9"/>
        <v>-0.4431037669587076</v>
      </c>
      <c r="G150" s="155"/>
    </row>
    <row r="151" spans="1:7" ht="15" customHeight="1">
      <c r="A151" s="141">
        <v>31</v>
      </c>
      <c r="B151" s="161" t="s">
        <v>498</v>
      </c>
      <c r="C151" s="146">
        <v>1155571</v>
      </c>
      <c r="D151" s="146">
        <v>1140254</v>
      </c>
      <c r="E151" s="146">
        <f t="shared" si="8"/>
        <v>-15317</v>
      </c>
      <c r="F151" s="150">
        <f t="shared" si="9"/>
        <v>-0.013254918996755717</v>
      </c>
      <c r="G151" s="155"/>
    </row>
    <row r="152" spans="1:7" ht="15" customHeight="1">
      <c r="A152" s="141">
        <v>32</v>
      </c>
      <c r="B152" s="161" t="s">
        <v>499</v>
      </c>
      <c r="C152" s="146">
        <v>2325465</v>
      </c>
      <c r="D152" s="146">
        <v>2002899</v>
      </c>
      <c r="E152" s="146">
        <f t="shared" si="8"/>
        <v>-322566</v>
      </c>
      <c r="F152" s="150">
        <f t="shared" si="9"/>
        <v>-0.1387103224516387</v>
      </c>
      <c r="G152" s="155"/>
    </row>
    <row r="153" spans="1:7" ht="15" customHeight="1">
      <c r="A153" s="141">
        <v>33</v>
      </c>
      <c r="B153" s="161" t="s">
        <v>500</v>
      </c>
      <c r="C153" s="146">
        <v>285288</v>
      </c>
      <c r="D153" s="146">
        <v>302250</v>
      </c>
      <c r="E153" s="146">
        <f t="shared" si="8"/>
        <v>16962</v>
      </c>
      <c r="F153" s="150">
        <f t="shared" si="9"/>
        <v>0.059455707916210986</v>
      </c>
      <c r="G153" s="155"/>
    </row>
    <row r="154" spans="1:7" ht="15" customHeight="1">
      <c r="A154" s="141">
        <v>34</v>
      </c>
      <c r="B154" s="161" t="s">
        <v>501</v>
      </c>
      <c r="C154" s="146">
        <v>3412113</v>
      </c>
      <c r="D154" s="146">
        <v>2199683</v>
      </c>
      <c r="E154" s="146">
        <f t="shared" si="8"/>
        <v>-1212430</v>
      </c>
      <c r="F154" s="150">
        <f t="shared" si="9"/>
        <v>-0.3553311393848914</v>
      </c>
      <c r="G154" s="155"/>
    </row>
    <row r="155" spans="1:7" ht="15.75" customHeight="1">
      <c r="A155" s="141"/>
      <c r="B155" s="154" t="s">
        <v>502</v>
      </c>
      <c r="C155" s="147">
        <f>SUM(C121:C154)</f>
        <v>86422640</v>
      </c>
      <c r="D155" s="147">
        <f>SUM(D121:D154)</f>
        <v>84394969</v>
      </c>
      <c r="E155" s="147">
        <f t="shared" si="8"/>
        <v>-2027671</v>
      </c>
      <c r="F155" s="148">
        <f t="shared" si="9"/>
        <v>-0.023462266369090323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387</v>
      </c>
      <c r="B157" s="145" t="s">
        <v>503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504</v>
      </c>
      <c r="C158" s="146">
        <v>17071472</v>
      </c>
      <c r="D158" s="146">
        <v>15624499</v>
      </c>
      <c r="E158" s="146">
        <f aca="true" t="shared" si="10" ref="E158:E171">D158-C158</f>
        <v>-1446973</v>
      </c>
      <c r="F158" s="150">
        <f aca="true" t="shared" si="11" ref="F158:F171">IF(C158=0,0,E158/C158)</f>
        <v>-0.0847597090631669</v>
      </c>
      <c r="G158" s="155"/>
    </row>
    <row r="159" spans="1:7" ht="15" customHeight="1">
      <c r="A159" s="141">
        <v>2</v>
      </c>
      <c r="B159" s="161" t="s">
        <v>505</v>
      </c>
      <c r="C159" s="146">
        <v>2964117</v>
      </c>
      <c r="D159" s="146">
        <v>2550541</v>
      </c>
      <c r="E159" s="146">
        <f t="shared" si="10"/>
        <v>-413576</v>
      </c>
      <c r="F159" s="150">
        <f t="shared" si="11"/>
        <v>-0.1395275557611255</v>
      </c>
      <c r="G159" s="155"/>
    </row>
    <row r="160" spans="1:7" ht="15" customHeight="1">
      <c r="A160" s="141">
        <v>3</v>
      </c>
      <c r="B160" s="161" t="s">
        <v>506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507</v>
      </c>
      <c r="C161" s="146">
        <v>1124110</v>
      </c>
      <c r="D161" s="146">
        <v>1128820</v>
      </c>
      <c r="E161" s="146">
        <f t="shared" si="10"/>
        <v>4710</v>
      </c>
      <c r="F161" s="150">
        <f t="shared" si="11"/>
        <v>0.004189981407513499</v>
      </c>
      <c r="G161" s="155"/>
    </row>
    <row r="162" spans="1:7" ht="15" customHeight="1">
      <c r="A162" s="141">
        <v>5</v>
      </c>
      <c r="B162" s="161" t="s">
        <v>508</v>
      </c>
      <c r="C162" s="146">
        <v>1787728</v>
      </c>
      <c r="D162" s="146">
        <v>1685947</v>
      </c>
      <c r="E162" s="146">
        <f t="shared" si="10"/>
        <v>-101781</v>
      </c>
      <c r="F162" s="150">
        <f t="shared" si="11"/>
        <v>-0.056933157616818664</v>
      </c>
      <c r="G162" s="155"/>
    </row>
    <row r="163" spans="1:7" ht="15" customHeight="1">
      <c r="A163" s="141">
        <v>6</v>
      </c>
      <c r="B163" s="161" t="s">
        <v>509</v>
      </c>
      <c r="C163" s="146">
        <v>3667552</v>
      </c>
      <c r="D163" s="146">
        <v>3245931</v>
      </c>
      <c r="E163" s="146">
        <f t="shared" si="10"/>
        <v>-421621</v>
      </c>
      <c r="F163" s="150">
        <f t="shared" si="11"/>
        <v>-0.11495978789121462</v>
      </c>
      <c r="G163" s="155"/>
    </row>
    <row r="164" spans="1:7" ht="15" customHeight="1">
      <c r="A164" s="141">
        <v>7</v>
      </c>
      <c r="B164" s="161" t="s">
        <v>510</v>
      </c>
      <c r="C164" s="146">
        <v>1324075</v>
      </c>
      <c r="D164" s="146">
        <v>1284985</v>
      </c>
      <c r="E164" s="146">
        <f t="shared" si="10"/>
        <v>-39090</v>
      </c>
      <c r="F164" s="150">
        <f t="shared" si="11"/>
        <v>-0.0295224968374148</v>
      </c>
      <c r="G164" s="155"/>
    </row>
    <row r="165" spans="1:7" ht="15" customHeight="1">
      <c r="A165" s="141">
        <v>8</v>
      </c>
      <c r="B165" s="161" t="s">
        <v>511</v>
      </c>
      <c r="C165" s="146">
        <v>2566457</v>
      </c>
      <c r="D165" s="146">
        <v>2432864</v>
      </c>
      <c r="E165" s="146">
        <f t="shared" si="10"/>
        <v>-133593</v>
      </c>
      <c r="F165" s="150">
        <f t="shared" si="11"/>
        <v>-0.052053472939542725</v>
      </c>
      <c r="G165" s="155"/>
    </row>
    <row r="166" spans="1:7" ht="15" customHeight="1">
      <c r="A166" s="141">
        <v>9</v>
      </c>
      <c r="B166" s="161" t="s">
        <v>512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513</v>
      </c>
      <c r="C167" s="146">
        <v>1900184</v>
      </c>
      <c r="D167" s="146">
        <v>4247245</v>
      </c>
      <c r="E167" s="146">
        <f t="shared" si="10"/>
        <v>2347061</v>
      </c>
      <c r="F167" s="150">
        <f t="shared" si="11"/>
        <v>1.235175646147952</v>
      </c>
      <c r="G167" s="155"/>
    </row>
    <row r="168" spans="1:7" ht="15" customHeight="1">
      <c r="A168" s="141">
        <v>11</v>
      </c>
      <c r="B168" s="161" t="s">
        <v>514</v>
      </c>
      <c r="C168" s="146">
        <v>724515</v>
      </c>
      <c r="D168" s="146">
        <v>745777</v>
      </c>
      <c r="E168" s="146">
        <f t="shared" si="10"/>
        <v>21262</v>
      </c>
      <c r="F168" s="150">
        <f t="shared" si="11"/>
        <v>0.029346528367252576</v>
      </c>
      <c r="G168" s="155"/>
    </row>
    <row r="169" spans="1:7" ht="15" customHeight="1">
      <c r="A169" s="141">
        <v>12</v>
      </c>
      <c r="B169" s="161" t="s">
        <v>515</v>
      </c>
      <c r="C169" s="146">
        <v>4256660</v>
      </c>
      <c r="D169" s="146">
        <v>4333409</v>
      </c>
      <c r="E169" s="146">
        <f t="shared" si="10"/>
        <v>76749</v>
      </c>
      <c r="F169" s="150">
        <f t="shared" si="11"/>
        <v>0.018030333641869446</v>
      </c>
      <c r="G169" s="155"/>
    </row>
    <row r="170" spans="1:7" ht="15" customHeight="1">
      <c r="A170" s="141">
        <v>13</v>
      </c>
      <c r="B170" s="161" t="s">
        <v>516</v>
      </c>
      <c r="C170" s="146">
        <v>2217361</v>
      </c>
      <c r="D170" s="146">
        <v>2235189</v>
      </c>
      <c r="E170" s="146">
        <f t="shared" si="10"/>
        <v>17828</v>
      </c>
      <c r="F170" s="150">
        <f t="shared" si="11"/>
        <v>0.008040188313946173</v>
      </c>
      <c r="G170" s="155"/>
    </row>
    <row r="171" spans="1:7" ht="15.75" customHeight="1">
      <c r="A171" s="141"/>
      <c r="B171" s="154" t="s">
        <v>517</v>
      </c>
      <c r="C171" s="147">
        <f>SUM(C158:C170)</f>
        <v>39604231</v>
      </c>
      <c r="D171" s="147">
        <f>SUM(D158:D170)</f>
        <v>39515207</v>
      </c>
      <c r="E171" s="147">
        <f t="shared" si="10"/>
        <v>-89024</v>
      </c>
      <c r="F171" s="148">
        <f t="shared" si="11"/>
        <v>-0.00224784064106686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392</v>
      </c>
      <c r="B173" s="145" t="s">
        <v>518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519</v>
      </c>
      <c r="C174" s="146">
        <v>21080233</v>
      </c>
      <c r="D174" s="146">
        <v>26385976</v>
      </c>
      <c r="E174" s="146">
        <f>D174-C174</f>
        <v>5305743</v>
      </c>
      <c r="F174" s="150">
        <f>IF(C174=0,0,E174/C174)</f>
        <v>0.25169280624175266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520</v>
      </c>
      <c r="C176" s="147">
        <f>+C174+C171+C155+C118+C109</f>
        <v>278268000</v>
      </c>
      <c r="D176" s="147">
        <f>+D174+D171+D155+D118+D109</f>
        <v>283532000</v>
      </c>
      <c r="E176" s="147">
        <f>D176-C176</f>
        <v>5264000</v>
      </c>
      <c r="F176" s="148">
        <f>IF(C176=0,0,E176/C176)</f>
        <v>0.01891701525148418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521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FILING&amp;RGREENWICH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216</v>
      </c>
      <c r="C1" s="3"/>
      <c r="D1" s="3"/>
      <c r="E1" s="4"/>
      <c r="F1" s="5"/>
    </row>
    <row r="2" spans="1:6" ht="24" customHeight="1">
      <c r="A2" s="35"/>
      <c r="B2" s="3" t="s">
        <v>217</v>
      </c>
      <c r="C2" s="3"/>
      <c r="D2" s="3"/>
      <c r="E2" s="4"/>
      <c r="F2" s="5"/>
    </row>
    <row r="3" spans="1:6" ht="24" customHeight="1">
      <c r="A3" s="35"/>
      <c r="B3" s="3" t="s">
        <v>218</v>
      </c>
      <c r="C3" s="3"/>
      <c r="D3" s="3"/>
      <c r="E3" s="4"/>
      <c r="F3" s="5"/>
    </row>
    <row r="4" spans="1:6" ht="24" customHeight="1">
      <c r="A4" s="35"/>
      <c r="B4" s="3" t="s">
        <v>522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226</v>
      </c>
      <c r="D7" s="11" t="s">
        <v>226</v>
      </c>
      <c r="E7" s="11" t="s">
        <v>226</v>
      </c>
      <c r="F7" s="11"/>
    </row>
    <row r="8" spans="1:6" ht="24" customHeight="1">
      <c r="A8" s="13" t="s">
        <v>224</v>
      </c>
      <c r="B8" s="16" t="s">
        <v>225</v>
      </c>
      <c r="C8" s="13" t="s">
        <v>523</v>
      </c>
      <c r="D8" s="13" t="s">
        <v>220</v>
      </c>
      <c r="E8" s="13" t="s">
        <v>221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230</v>
      </c>
      <c r="B10" s="30" t="s">
        <v>524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291</v>
      </c>
      <c r="C11" s="51">
        <v>241849000</v>
      </c>
      <c r="D11" s="164">
        <v>263093000</v>
      </c>
      <c r="E11" s="51">
        <v>269158231</v>
      </c>
      <c r="F11" s="13"/>
    </row>
    <row r="12" spans="1:6" ht="24" customHeight="1">
      <c r="A12" s="44">
        <v>2</v>
      </c>
      <c r="B12" s="165" t="s">
        <v>525</v>
      </c>
      <c r="C12" s="49">
        <v>13929000</v>
      </c>
      <c r="D12" s="49">
        <v>21552000</v>
      </c>
      <c r="E12" s="49">
        <v>24947769</v>
      </c>
      <c r="F12" s="13"/>
    </row>
    <row r="13" spans="1:6" ht="24" customHeight="1">
      <c r="A13" s="44">
        <v>3</v>
      </c>
      <c r="B13" s="48" t="s">
        <v>294</v>
      </c>
      <c r="C13" s="51">
        <f>+C11+C12</f>
        <v>255778000</v>
      </c>
      <c r="D13" s="51">
        <f>+D11+D12</f>
        <v>284645000</v>
      </c>
      <c r="E13" s="51">
        <f>+E11+E12</f>
        <v>294106000</v>
      </c>
      <c r="F13" s="13"/>
    </row>
    <row r="14" spans="1:6" ht="24" customHeight="1">
      <c r="A14" s="44">
        <v>4</v>
      </c>
      <c r="B14" s="166" t="s">
        <v>305</v>
      </c>
      <c r="C14" s="49">
        <v>248255000</v>
      </c>
      <c r="D14" s="49">
        <v>278268000</v>
      </c>
      <c r="E14" s="49">
        <v>283532000</v>
      </c>
      <c r="F14" s="13"/>
    </row>
    <row r="15" spans="1:6" ht="24" customHeight="1">
      <c r="A15" s="44">
        <v>5</v>
      </c>
      <c r="B15" s="48" t="s">
        <v>306</v>
      </c>
      <c r="C15" s="51">
        <f>+C13-C14</f>
        <v>7523000</v>
      </c>
      <c r="D15" s="51">
        <f>+D13-D14</f>
        <v>6377000</v>
      </c>
      <c r="E15" s="51">
        <f>+E13-E14</f>
        <v>10574000</v>
      </c>
      <c r="F15" s="13"/>
    </row>
    <row r="16" spans="1:6" ht="24" customHeight="1">
      <c r="A16" s="44">
        <v>6</v>
      </c>
      <c r="B16" s="166" t="s">
        <v>311</v>
      </c>
      <c r="C16" s="49">
        <v>6980000</v>
      </c>
      <c r="D16" s="49">
        <v>-15899000</v>
      </c>
      <c r="E16" s="49">
        <v>-1092000</v>
      </c>
      <c r="F16" s="13"/>
    </row>
    <row r="17" spans="1:6" ht="24" customHeight="1">
      <c r="A17" s="44">
        <v>7</v>
      </c>
      <c r="B17" s="45" t="s">
        <v>526</v>
      </c>
      <c r="C17" s="51">
        <f>C15+C16</f>
        <v>14503000</v>
      </c>
      <c r="D17" s="51">
        <f>D15+D16</f>
        <v>-9522000</v>
      </c>
      <c r="E17" s="51">
        <f>E15+E16</f>
        <v>9482000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242</v>
      </c>
      <c r="B19" s="30" t="s">
        <v>527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528</v>
      </c>
      <c r="C20" s="169">
        <f>IF(+C27=0,0,+C24/+C27)</f>
        <v>0.02863090752707815</v>
      </c>
      <c r="D20" s="169">
        <f>IF(+D27=0,0,+D24/+D27)</f>
        <v>0.023728725264748125</v>
      </c>
      <c r="E20" s="169">
        <f>IF(+E27=0,0,+E24/+E27)</f>
        <v>0.0360870129072331</v>
      </c>
      <c r="F20" s="13"/>
    </row>
    <row r="21" spans="1:6" ht="24" customHeight="1">
      <c r="A21" s="25">
        <v>2</v>
      </c>
      <c r="B21" s="48" t="s">
        <v>529</v>
      </c>
      <c r="C21" s="169">
        <f>IF(C27=0,0,+C26/C27)</f>
        <v>0.026564367212415986</v>
      </c>
      <c r="D21" s="169">
        <f>IF(D27=0,0,+D26/D27)</f>
        <v>-0.059159950287632185</v>
      </c>
      <c r="E21" s="169">
        <f>IF(E27=0,0,+E26/E27)</f>
        <v>-0.0037267843857290094</v>
      </c>
      <c r="F21" s="13"/>
    </row>
    <row r="22" spans="1:6" ht="24" customHeight="1">
      <c r="A22" s="25">
        <v>3</v>
      </c>
      <c r="B22" s="48" t="s">
        <v>530</v>
      </c>
      <c r="C22" s="169">
        <f>IF(C27=0,0,+C28/C27)</f>
        <v>0.055195274739494135</v>
      </c>
      <c r="D22" s="169">
        <f>IF(D27=0,0,+D28/D27)</f>
        <v>-0.03543122502288406</v>
      </c>
      <c r="E22" s="169">
        <f>IF(E27=0,0,+E28/E27)</f>
        <v>0.032360228521504095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306</v>
      </c>
      <c r="C24" s="51">
        <f>+C15</f>
        <v>7523000</v>
      </c>
      <c r="D24" s="51">
        <f>+D15</f>
        <v>6377000</v>
      </c>
      <c r="E24" s="51">
        <f>+E15</f>
        <v>10574000</v>
      </c>
      <c r="F24" s="13"/>
    </row>
    <row r="25" spans="1:6" ht="24" customHeight="1">
      <c r="A25" s="21">
        <v>5</v>
      </c>
      <c r="B25" s="48" t="s">
        <v>294</v>
      </c>
      <c r="C25" s="51">
        <f>+C13</f>
        <v>255778000</v>
      </c>
      <c r="D25" s="51">
        <f>+D13</f>
        <v>284645000</v>
      </c>
      <c r="E25" s="51">
        <f>+E13</f>
        <v>294106000</v>
      </c>
      <c r="F25" s="13"/>
    </row>
    <row r="26" spans="1:6" ht="24" customHeight="1">
      <c r="A26" s="21">
        <v>6</v>
      </c>
      <c r="B26" s="48" t="s">
        <v>311</v>
      </c>
      <c r="C26" s="51">
        <f>+C16</f>
        <v>6980000</v>
      </c>
      <c r="D26" s="51">
        <f>+D16</f>
        <v>-15899000</v>
      </c>
      <c r="E26" s="51">
        <f>+E16</f>
        <v>-1092000</v>
      </c>
      <c r="F26" s="13"/>
    </row>
    <row r="27" spans="1:6" ht="24" customHeight="1">
      <c r="A27" s="21">
        <v>7</v>
      </c>
      <c r="B27" s="48" t="s">
        <v>531</v>
      </c>
      <c r="C27" s="51">
        <f>+C25+C26</f>
        <v>262758000</v>
      </c>
      <c r="D27" s="51">
        <f>+D25+D26</f>
        <v>268746000</v>
      </c>
      <c r="E27" s="51">
        <f>+E25+E26</f>
        <v>293014000</v>
      </c>
      <c r="F27" s="13"/>
    </row>
    <row r="28" spans="1:6" ht="24" customHeight="1">
      <c r="A28" s="21">
        <v>8</v>
      </c>
      <c r="B28" s="45" t="s">
        <v>526</v>
      </c>
      <c r="C28" s="51">
        <f>+C17</f>
        <v>14503000</v>
      </c>
      <c r="D28" s="51">
        <f>+D17</f>
        <v>-9522000</v>
      </c>
      <c r="E28" s="51">
        <f>+E17</f>
        <v>9482000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252</v>
      </c>
      <c r="B30" s="41" t="s">
        <v>532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533</v>
      </c>
      <c r="C31" s="51">
        <v>320933000</v>
      </c>
      <c r="D31" s="51">
        <v>304976000</v>
      </c>
      <c r="E31" s="51">
        <v>280445000</v>
      </c>
      <c r="F31" s="13"/>
    </row>
    <row r="32" spans="1:6" ht="24" customHeight="1">
      <c r="A32" s="25">
        <v>2</v>
      </c>
      <c r="B32" s="48" t="s">
        <v>534</v>
      </c>
      <c r="C32" s="51">
        <v>376486000</v>
      </c>
      <c r="D32" s="51">
        <v>352160000</v>
      </c>
      <c r="E32" s="51">
        <v>328100000</v>
      </c>
      <c r="F32" s="13"/>
    </row>
    <row r="33" spans="1:6" ht="24" customHeight="1">
      <c r="A33" s="25">
        <v>3</v>
      </c>
      <c r="B33" s="48" t="s">
        <v>535</v>
      </c>
      <c r="C33" s="51">
        <v>376486000</v>
      </c>
      <c r="D33" s="51">
        <f>+D32-C32</f>
        <v>-24326000</v>
      </c>
      <c r="E33" s="51">
        <f>+E32-D32</f>
        <v>-24060000</v>
      </c>
      <c r="F33" s="5"/>
    </row>
    <row r="34" spans="1:6" ht="24" customHeight="1">
      <c r="A34" s="25">
        <v>4</v>
      </c>
      <c r="B34" s="48" t="s">
        <v>536</v>
      </c>
      <c r="C34" s="171">
        <v>0</v>
      </c>
      <c r="D34" s="171">
        <f>IF(C32=0,0,+D33/C32)</f>
        <v>-0.06461329239334265</v>
      </c>
      <c r="E34" s="171">
        <f>IF(D32=0,0,+E33/D32)</f>
        <v>-0.06832121762835075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537</v>
      </c>
      <c r="B36" s="41" t="s">
        <v>538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539</v>
      </c>
      <c r="C38" s="172">
        <f>IF((C40+C41)=0,0,+C39/(C40+C41))</f>
        <v>0.36631254710363337</v>
      </c>
      <c r="D38" s="172">
        <f>IF((D40+D41)=0,0,+D39/(D40+D41))</f>
        <v>0.3378783461909284</v>
      </c>
      <c r="E38" s="172">
        <f>IF((E40+E41)=0,0,+E39/(E40+E41))</f>
        <v>0.3316827104231575</v>
      </c>
      <c r="F38" s="5"/>
    </row>
    <row r="39" spans="1:6" ht="24" customHeight="1">
      <c r="A39" s="21">
        <v>2</v>
      </c>
      <c r="B39" s="48" t="s">
        <v>540</v>
      </c>
      <c r="C39" s="51">
        <v>240267136</v>
      </c>
      <c r="D39" s="51">
        <v>268866398</v>
      </c>
      <c r="E39" s="23">
        <v>283532000</v>
      </c>
      <c r="F39" s="5"/>
    </row>
    <row r="40" spans="1:6" ht="24" customHeight="1">
      <c r="A40" s="21">
        <v>3</v>
      </c>
      <c r="B40" s="48" t="s">
        <v>541</v>
      </c>
      <c r="C40" s="51">
        <v>640911472</v>
      </c>
      <c r="D40" s="51">
        <v>773049769</v>
      </c>
      <c r="E40" s="23">
        <v>829881442</v>
      </c>
      <c r="F40" s="5"/>
    </row>
    <row r="41" spans="1:6" ht="24" customHeight="1">
      <c r="A41" s="21">
        <v>4</v>
      </c>
      <c r="B41" s="48" t="s">
        <v>542</v>
      </c>
      <c r="C41" s="51">
        <v>14995998</v>
      </c>
      <c r="D41" s="51">
        <v>22699355</v>
      </c>
      <c r="E41" s="23">
        <v>24947559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543</v>
      </c>
      <c r="C43" s="173">
        <f>IF(C38=0,0,IF((C46-C47)=0,0,((+C44-C45)/(C46-C47)/C38)))</f>
        <v>1.212246396031439</v>
      </c>
      <c r="D43" s="173">
        <f>IF(D38=0,0,IF((D46-D47)=0,0,((+D44-D45)/(D46-D47)/D38)))</f>
        <v>1.2222702232195617</v>
      </c>
      <c r="E43" s="173">
        <f>IF(E38=0,0,IF((E46-E47)=0,0,((+E44-E45)/(E46-E47)/E38)))</f>
        <v>1.206034382274306</v>
      </c>
      <c r="F43" s="5"/>
    </row>
    <row r="44" spans="1:6" ht="24" customHeight="1">
      <c r="A44" s="21">
        <v>6</v>
      </c>
      <c r="B44" s="48" t="s">
        <v>544</v>
      </c>
      <c r="C44" s="51">
        <v>160023904</v>
      </c>
      <c r="D44" s="51">
        <v>176569569</v>
      </c>
      <c r="E44" s="23">
        <v>183789577</v>
      </c>
      <c r="F44" s="5"/>
    </row>
    <row r="45" spans="1:6" ht="24" customHeight="1">
      <c r="A45" s="21">
        <v>7</v>
      </c>
      <c r="B45" s="48" t="s">
        <v>545</v>
      </c>
      <c r="C45" s="51">
        <v>4125075</v>
      </c>
      <c r="D45" s="51">
        <v>4605949</v>
      </c>
      <c r="E45" s="23">
        <v>4423064</v>
      </c>
      <c r="F45" s="5"/>
    </row>
    <row r="46" spans="1:6" ht="24" customHeight="1">
      <c r="A46" s="21">
        <v>8</v>
      </c>
      <c r="B46" s="48" t="s">
        <v>546</v>
      </c>
      <c r="C46" s="51">
        <v>378164578</v>
      </c>
      <c r="D46" s="51">
        <v>449380334</v>
      </c>
      <c r="E46" s="23">
        <v>481796590</v>
      </c>
      <c r="F46" s="5"/>
    </row>
    <row r="47" spans="1:6" ht="24" customHeight="1">
      <c r="A47" s="21">
        <v>9</v>
      </c>
      <c r="B47" s="48" t="s">
        <v>547</v>
      </c>
      <c r="C47" s="51">
        <v>27089374</v>
      </c>
      <c r="D47" s="51">
        <v>32981996</v>
      </c>
      <c r="E47" s="174">
        <v>33403571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548</v>
      </c>
      <c r="C49" s="175">
        <f>IF(C38=0,0,IF(C51=0,0,(C50/C51)/C38))</f>
        <v>0.7855375419878348</v>
      </c>
      <c r="D49" s="175">
        <f>IF(D38=0,0,IF(D51=0,0,(D50/D51)/D38))</f>
        <v>0.7359145252553162</v>
      </c>
      <c r="E49" s="175">
        <f>IF(E38=0,0,IF(E51=0,0,(E50/E51)/E38))</f>
        <v>0.7160565773930228</v>
      </c>
      <c r="F49" s="7"/>
    </row>
    <row r="50" spans="1:6" ht="24" customHeight="1">
      <c r="A50" s="21">
        <v>11</v>
      </c>
      <c r="B50" s="48" t="s">
        <v>549</v>
      </c>
      <c r="C50" s="176">
        <v>69991177</v>
      </c>
      <c r="D50" s="176">
        <v>74117766</v>
      </c>
      <c r="E50" s="176">
        <v>75089754</v>
      </c>
      <c r="F50" s="11"/>
    </row>
    <row r="51" spans="1:6" ht="24" customHeight="1">
      <c r="A51" s="21">
        <v>12</v>
      </c>
      <c r="B51" s="48" t="s">
        <v>550</v>
      </c>
      <c r="C51" s="176">
        <v>243234154</v>
      </c>
      <c r="D51" s="176">
        <v>298081200</v>
      </c>
      <c r="E51" s="176">
        <v>316162611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551</v>
      </c>
      <c r="C53" s="175">
        <f>IF(C38=0,0,IF(C55=0,0,(C54/C55)/C38))</f>
        <v>0.878351726053767</v>
      </c>
      <c r="D53" s="175">
        <f>IF(D38=0,0,IF(D55=0,0,(D54/D55)/D38))</f>
        <v>0.7929246041240847</v>
      </c>
      <c r="E53" s="175">
        <f>IF(E38=0,0,IF(E55=0,0,(E54/E55)/E38))</f>
        <v>0.7974463009808027</v>
      </c>
      <c r="F53" s="13"/>
    </row>
    <row r="54" spans="1:6" ht="24" customHeight="1">
      <c r="A54" s="21">
        <v>14</v>
      </c>
      <c r="B54" s="48" t="s">
        <v>552</v>
      </c>
      <c r="C54" s="176">
        <v>3927440</v>
      </c>
      <c r="D54" s="176">
        <v>3112292</v>
      </c>
      <c r="E54" s="176">
        <v>4495846</v>
      </c>
      <c r="F54" s="13"/>
    </row>
    <row r="55" spans="1:6" ht="24" customHeight="1">
      <c r="A55" s="21">
        <v>15</v>
      </c>
      <c r="B55" s="48" t="s">
        <v>553</v>
      </c>
      <c r="C55" s="176">
        <v>12206448</v>
      </c>
      <c r="D55" s="176">
        <v>11616842</v>
      </c>
      <c r="E55" s="176">
        <v>16997582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554</v>
      </c>
      <c r="C57" s="53">
        <f>+C60*C38</f>
        <v>8412548.60263321</v>
      </c>
      <c r="D57" s="53">
        <f>+D60*D38</f>
        <v>9588769.195486909</v>
      </c>
      <c r="E57" s="53">
        <f>+E60*E38</f>
        <v>9612333.11119729</v>
      </c>
      <c r="F57" s="13"/>
    </row>
    <row r="58" spans="1:6" ht="24" customHeight="1">
      <c r="A58" s="21">
        <v>17</v>
      </c>
      <c r="B58" s="48" t="s">
        <v>555</v>
      </c>
      <c r="C58" s="51">
        <v>14259114</v>
      </c>
      <c r="D58" s="51">
        <v>18262127</v>
      </c>
      <c r="E58" s="52">
        <v>21129180</v>
      </c>
      <c r="F58" s="28"/>
    </row>
    <row r="59" spans="1:6" ht="24" customHeight="1">
      <c r="A59" s="21">
        <v>18</v>
      </c>
      <c r="B59" s="48" t="s">
        <v>301</v>
      </c>
      <c r="C59" s="51">
        <v>8706380</v>
      </c>
      <c r="D59" s="51">
        <v>10117227</v>
      </c>
      <c r="E59" s="52">
        <v>7851327</v>
      </c>
      <c r="F59" s="28"/>
    </row>
    <row r="60" spans="1:6" ht="24" customHeight="1">
      <c r="A60" s="21">
        <v>19</v>
      </c>
      <c r="B60" s="48" t="s">
        <v>556</v>
      </c>
      <c r="C60" s="51">
        <v>22965494</v>
      </c>
      <c r="D60" s="51">
        <v>28379354</v>
      </c>
      <c r="E60" s="52">
        <v>28980507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557</v>
      </c>
      <c r="C62" s="178">
        <f>IF(C63=0,0,+C57/C63)</f>
        <v>0.03501331369194499</v>
      </c>
      <c r="D62" s="178">
        <f>IF(D63=0,0,+D57/D63)</f>
        <v>0.03566369493106725</v>
      </c>
      <c r="E62" s="178">
        <f>IF(E63=0,0,+E57/E63)</f>
        <v>0.033902110206951205</v>
      </c>
      <c r="F62" s="13"/>
    </row>
    <row r="63" spans="1:6" ht="24" customHeight="1">
      <c r="A63" s="21">
        <v>21</v>
      </c>
      <c r="B63" s="45" t="s">
        <v>540</v>
      </c>
      <c r="C63" s="176">
        <v>240267136</v>
      </c>
      <c r="D63" s="176">
        <v>268866398</v>
      </c>
      <c r="E63" s="176">
        <v>283532000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558</v>
      </c>
      <c r="B65" s="41" t="s">
        <v>559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560</v>
      </c>
      <c r="C67" s="179">
        <f>IF(C69=0,0,C68/C69)</f>
        <v>2.548746890630433</v>
      </c>
      <c r="D67" s="179">
        <f>IF(D69=0,0,D68/D69)</f>
        <v>2.3836035110882907</v>
      </c>
      <c r="E67" s="179">
        <f>IF(E69=0,0,E68/E69)</f>
        <v>2.310916288327779</v>
      </c>
      <c r="F67" s="28"/>
    </row>
    <row r="68" spans="1:6" ht="24" customHeight="1">
      <c r="A68" s="21">
        <v>2</v>
      </c>
      <c r="B68" s="48" t="s">
        <v>241</v>
      </c>
      <c r="C68" s="180">
        <v>95290000</v>
      </c>
      <c r="D68" s="180">
        <v>97487000</v>
      </c>
      <c r="E68" s="180">
        <v>103328000</v>
      </c>
      <c r="F68" s="28"/>
    </row>
    <row r="69" spans="1:6" ht="24" customHeight="1">
      <c r="A69" s="21">
        <v>3</v>
      </c>
      <c r="B69" s="48" t="s">
        <v>270</v>
      </c>
      <c r="C69" s="180">
        <v>37387000</v>
      </c>
      <c r="D69" s="180">
        <v>40899000</v>
      </c>
      <c r="E69" s="180">
        <v>44713000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561</v>
      </c>
      <c r="C71" s="181">
        <f>IF((C77/365)=0,0,+C74/(C77/365))</f>
        <v>86.35082627418821</v>
      </c>
      <c r="D71" s="181">
        <f>IF((D77/365)=0,0,+D74/(D77/365))</f>
        <v>77.60440615591779</v>
      </c>
      <c r="E71" s="181">
        <f>IF((E77/365)=0,0,+E74/(E77/365))</f>
        <v>83.21327173678819</v>
      </c>
      <c r="F71" s="28"/>
    </row>
    <row r="72" spans="1:6" ht="24" customHeight="1">
      <c r="A72" s="21">
        <v>5</v>
      </c>
      <c r="B72" s="22" t="s">
        <v>232</v>
      </c>
      <c r="C72" s="182">
        <v>22076000</v>
      </c>
      <c r="D72" s="182">
        <v>29053000</v>
      </c>
      <c r="E72" s="182">
        <v>32032000</v>
      </c>
      <c r="F72" s="28"/>
    </row>
    <row r="73" spans="1:6" ht="24" customHeight="1">
      <c r="A73" s="21">
        <v>6</v>
      </c>
      <c r="B73" s="183" t="s">
        <v>233</v>
      </c>
      <c r="C73" s="184">
        <v>33026000</v>
      </c>
      <c r="D73" s="184">
        <v>26526000</v>
      </c>
      <c r="E73" s="184">
        <v>28273000</v>
      </c>
      <c r="F73" s="28"/>
    </row>
    <row r="74" spans="1:6" ht="24" customHeight="1">
      <c r="A74" s="21">
        <v>7</v>
      </c>
      <c r="B74" s="48" t="s">
        <v>562</v>
      </c>
      <c r="C74" s="180">
        <f>+C72+C73</f>
        <v>55102000</v>
      </c>
      <c r="D74" s="180">
        <f>+D72+D73</f>
        <v>55579000</v>
      </c>
      <c r="E74" s="180">
        <f>+E72+E73</f>
        <v>60305000</v>
      </c>
      <c r="F74" s="28"/>
    </row>
    <row r="75" spans="1:6" ht="24" customHeight="1">
      <c r="A75" s="21">
        <v>8</v>
      </c>
      <c r="B75" s="48" t="s">
        <v>540</v>
      </c>
      <c r="C75" s="180">
        <f>+C14</f>
        <v>248255000</v>
      </c>
      <c r="D75" s="180">
        <f>+D14</f>
        <v>278268000</v>
      </c>
      <c r="E75" s="180">
        <f>+E14</f>
        <v>283532000</v>
      </c>
      <c r="F75" s="28"/>
    </row>
    <row r="76" spans="1:6" ht="24" customHeight="1">
      <c r="A76" s="21">
        <v>9</v>
      </c>
      <c r="B76" s="45" t="s">
        <v>563</v>
      </c>
      <c r="C76" s="180">
        <v>15342000</v>
      </c>
      <c r="D76" s="180">
        <v>16861000</v>
      </c>
      <c r="E76" s="180">
        <v>19015000</v>
      </c>
      <c r="F76" s="28"/>
    </row>
    <row r="77" spans="1:6" ht="24" customHeight="1">
      <c r="A77" s="21">
        <v>10</v>
      </c>
      <c r="B77" s="45" t="s">
        <v>564</v>
      </c>
      <c r="C77" s="180">
        <f>+C75-C76</f>
        <v>232913000</v>
      </c>
      <c r="D77" s="180">
        <f>+D75-D76</f>
        <v>261407000</v>
      </c>
      <c r="E77" s="180">
        <f>+E75-E76</f>
        <v>264517000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565</v>
      </c>
      <c r="C79" s="179">
        <f>IF((C84/365)=0,0,+C83/(C84/365))</f>
        <v>47.156655599154846</v>
      </c>
      <c r="D79" s="179">
        <f>IF((D84/365)=0,0,+D83/(D84/365))</f>
        <v>46.38994576062457</v>
      </c>
      <c r="E79" s="179">
        <f>IF((E84/365)=0,0,+E83/(E84/365))</f>
        <v>43.25351655324262</v>
      </c>
      <c r="F79" s="28"/>
    </row>
    <row r="80" spans="1:6" ht="24" customHeight="1">
      <c r="A80" s="21">
        <v>12</v>
      </c>
      <c r="B80" s="188" t="s">
        <v>566</v>
      </c>
      <c r="C80" s="189">
        <v>32662000</v>
      </c>
      <c r="D80" s="189">
        <v>33602000</v>
      </c>
      <c r="E80" s="189">
        <v>32088000</v>
      </c>
      <c r="F80" s="28"/>
    </row>
    <row r="81" spans="1:6" ht="24" customHeight="1">
      <c r="A81" s="21">
        <v>13</v>
      </c>
      <c r="B81" s="188" t="s">
        <v>237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265</v>
      </c>
      <c r="C82" s="190">
        <v>1416000</v>
      </c>
      <c r="D82" s="190">
        <v>164000</v>
      </c>
      <c r="E82" s="190">
        <v>192000</v>
      </c>
      <c r="F82" s="28"/>
    </row>
    <row r="83" spans="1:6" ht="33.75" customHeight="1">
      <c r="A83" s="21">
        <v>15</v>
      </c>
      <c r="B83" s="45" t="s">
        <v>567</v>
      </c>
      <c r="C83" s="191">
        <f>+C80+C81-C82</f>
        <v>31246000</v>
      </c>
      <c r="D83" s="191">
        <f>+D80+D81-D82</f>
        <v>33438000</v>
      </c>
      <c r="E83" s="191">
        <f>+E80+E81-E82</f>
        <v>31896000</v>
      </c>
      <c r="F83" s="28"/>
    </row>
    <row r="84" spans="1:6" ht="24" customHeight="1">
      <c r="A84" s="21">
        <v>16</v>
      </c>
      <c r="B84" s="48" t="s">
        <v>291</v>
      </c>
      <c r="C84" s="180">
        <f>+C11</f>
        <v>241849000</v>
      </c>
      <c r="D84" s="191">
        <f>+D11</f>
        <v>263093000</v>
      </c>
      <c r="E84" s="191">
        <f>+E11</f>
        <v>269158231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568</v>
      </c>
      <c r="C86" s="179">
        <f>IF((C90/365)=0,0,+C87/(C90/365))</f>
        <v>58.58949478990009</v>
      </c>
      <c r="D86" s="179">
        <f>IF((D90/365)=0,0,+D87/(D90/365))</f>
        <v>57.10686783444973</v>
      </c>
      <c r="E86" s="179">
        <f>IF((E90/365)=0,0,+E87/(E90/365))</f>
        <v>61.69828404223547</v>
      </c>
      <c r="F86" s="13"/>
    </row>
    <row r="87" spans="1:6" ht="24" customHeight="1">
      <c r="A87" s="21">
        <v>18</v>
      </c>
      <c r="B87" s="48" t="s">
        <v>270</v>
      </c>
      <c r="C87" s="51">
        <f>+C69</f>
        <v>37387000</v>
      </c>
      <c r="D87" s="51">
        <f>+D69</f>
        <v>40899000</v>
      </c>
      <c r="E87" s="51">
        <f>+E69</f>
        <v>44713000</v>
      </c>
      <c r="F87" s="28"/>
    </row>
    <row r="88" spans="1:6" ht="24" customHeight="1">
      <c r="A88" s="21">
        <v>19</v>
      </c>
      <c r="B88" s="48" t="s">
        <v>540</v>
      </c>
      <c r="C88" s="51">
        <f aca="true" t="shared" si="0" ref="C88:E89">+C75</f>
        <v>248255000</v>
      </c>
      <c r="D88" s="51">
        <f t="shared" si="0"/>
        <v>278268000</v>
      </c>
      <c r="E88" s="51">
        <f t="shared" si="0"/>
        <v>283532000</v>
      </c>
      <c r="F88" s="28"/>
    </row>
    <row r="89" spans="1:6" ht="24" customHeight="1">
      <c r="A89" s="21">
        <v>20</v>
      </c>
      <c r="B89" s="48" t="s">
        <v>563</v>
      </c>
      <c r="C89" s="52">
        <f t="shared" si="0"/>
        <v>15342000</v>
      </c>
      <c r="D89" s="52">
        <f t="shared" si="0"/>
        <v>16861000</v>
      </c>
      <c r="E89" s="52">
        <f t="shared" si="0"/>
        <v>19015000</v>
      </c>
      <c r="F89" s="28"/>
    </row>
    <row r="90" spans="1:6" ht="24" customHeight="1">
      <c r="A90" s="21">
        <v>21</v>
      </c>
      <c r="B90" s="48" t="s">
        <v>569</v>
      </c>
      <c r="C90" s="51">
        <f>+C88-C89</f>
        <v>232913000</v>
      </c>
      <c r="D90" s="51">
        <f>+D88-D89</f>
        <v>261407000</v>
      </c>
      <c r="E90" s="51">
        <f>+E88-E89</f>
        <v>264517000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570</v>
      </c>
      <c r="B92" s="41" t="s">
        <v>571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572</v>
      </c>
      <c r="C94" s="192">
        <f>IF(C96=0,0,(C95/C96)*100)</f>
        <v>77.50069989954383</v>
      </c>
      <c r="D94" s="192">
        <f>IF(D96=0,0,(D95/D96)*100)</f>
        <v>75.95007688608135</v>
      </c>
      <c r="E94" s="192">
        <f>IF(E96=0,0,(E95/E96)*100)</f>
        <v>69.4648811729212</v>
      </c>
      <c r="F94" s="28"/>
    </row>
    <row r="95" spans="1:6" ht="24" customHeight="1">
      <c r="A95" s="21">
        <v>2</v>
      </c>
      <c r="B95" s="48" t="s">
        <v>283</v>
      </c>
      <c r="C95" s="51">
        <f>+C32</f>
        <v>376486000</v>
      </c>
      <c r="D95" s="51">
        <f>+D32</f>
        <v>352160000</v>
      </c>
      <c r="E95" s="51">
        <f>+E32</f>
        <v>328100000</v>
      </c>
      <c r="F95" s="28"/>
    </row>
    <row r="96" spans="1:6" ht="24" customHeight="1">
      <c r="A96" s="21">
        <v>3</v>
      </c>
      <c r="B96" s="48" t="s">
        <v>259</v>
      </c>
      <c r="C96" s="51">
        <v>485784000</v>
      </c>
      <c r="D96" s="51">
        <v>463673000</v>
      </c>
      <c r="E96" s="51">
        <v>472325000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573</v>
      </c>
      <c r="C98" s="192">
        <f>IF(C104=0,0,(C101/C104)*100)</f>
        <v>33.202799069943374</v>
      </c>
      <c r="D98" s="192">
        <f>IF(D104=0,0,(D101/D104)*100)</f>
        <v>8.122495960333797</v>
      </c>
      <c r="E98" s="192">
        <f>IF(E104=0,0,(E101/E104)*100)</f>
        <v>30.98240883689578</v>
      </c>
      <c r="F98" s="28"/>
    </row>
    <row r="99" spans="1:6" ht="24" customHeight="1">
      <c r="A99" s="21">
        <v>5</v>
      </c>
      <c r="B99" s="48" t="s">
        <v>574</v>
      </c>
      <c r="C99" s="51">
        <f>+C28</f>
        <v>14503000</v>
      </c>
      <c r="D99" s="51">
        <f>+D28</f>
        <v>-9522000</v>
      </c>
      <c r="E99" s="51">
        <f>+E28</f>
        <v>9482000</v>
      </c>
      <c r="F99" s="28"/>
    </row>
    <row r="100" spans="1:6" ht="24" customHeight="1">
      <c r="A100" s="21">
        <v>6</v>
      </c>
      <c r="B100" s="48" t="s">
        <v>563</v>
      </c>
      <c r="C100" s="52">
        <f>+C76</f>
        <v>15342000</v>
      </c>
      <c r="D100" s="52">
        <f>+D76</f>
        <v>16861000</v>
      </c>
      <c r="E100" s="52">
        <f>+E76</f>
        <v>19015000</v>
      </c>
      <c r="F100" s="28"/>
    </row>
    <row r="101" spans="1:6" ht="24" customHeight="1">
      <c r="A101" s="21">
        <v>7</v>
      </c>
      <c r="B101" s="48" t="s">
        <v>575</v>
      </c>
      <c r="C101" s="51">
        <f>+C99+C100</f>
        <v>29845000</v>
      </c>
      <c r="D101" s="51">
        <f>+D99+D100</f>
        <v>7339000</v>
      </c>
      <c r="E101" s="51">
        <f>+E99+E100</f>
        <v>28497000</v>
      </c>
      <c r="F101" s="28"/>
    </row>
    <row r="102" spans="1:6" ht="24" customHeight="1">
      <c r="A102" s="21">
        <v>8</v>
      </c>
      <c r="B102" s="48" t="s">
        <v>270</v>
      </c>
      <c r="C102" s="180">
        <f>+C69</f>
        <v>37387000</v>
      </c>
      <c r="D102" s="180">
        <f>+D69</f>
        <v>40899000</v>
      </c>
      <c r="E102" s="180">
        <f>+E69</f>
        <v>44713000</v>
      </c>
      <c r="F102" s="28"/>
    </row>
    <row r="103" spans="1:6" ht="24" customHeight="1">
      <c r="A103" s="21">
        <v>9</v>
      </c>
      <c r="B103" s="48" t="s">
        <v>274</v>
      </c>
      <c r="C103" s="194">
        <v>52500000</v>
      </c>
      <c r="D103" s="194">
        <v>49455000</v>
      </c>
      <c r="E103" s="194">
        <v>47265000</v>
      </c>
      <c r="F103" s="28"/>
    </row>
    <row r="104" spans="1:6" ht="24" customHeight="1">
      <c r="A104" s="21">
        <v>10</v>
      </c>
      <c r="B104" s="195" t="s">
        <v>576</v>
      </c>
      <c r="C104" s="180">
        <f>+C102+C103</f>
        <v>89887000</v>
      </c>
      <c r="D104" s="180">
        <f>+D102+D103</f>
        <v>90354000</v>
      </c>
      <c r="E104" s="180">
        <f>+E102+E103</f>
        <v>91978000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577</v>
      </c>
      <c r="C106" s="197">
        <f>IF(C109=0,0,(C107/C109)*100)</f>
        <v>12.23816161832787</v>
      </c>
      <c r="D106" s="197">
        <f>IF(D109=0,0,(D107/D109)*100)</f>
        <v>12.314032095414763</v>
      </c>
      <c r="E106" s="197">
        <f>IF(E109=0,0,(E107/E109)*100)</f>
        <v>12.59174403580515</v>
      </c>
      <c r="F106" s="28"/>
    </row>
    <row r="107" spans="1:6" ht="24" customHeight="1">
      <c r="A107" s="17">
        <v>12</v>
      </c>
      <c r="B107" s="48" t="s">
        <v>274</v>
      </c>
      <c r="C107" s="180">
        <f>+C103</f>
        <v>52500000</v>
      </c>
      <c r="D107" s="180">
        <f>+D103</f>
        <v>49455000</v>
      </c>
      <c r="E107" s="180">
        <f>+E103</f>
        <v>47265000</v>
      </c>
      <c r="F107" s="28"/>
    </row>
    <row r="108" spans="1:6" ht="24" customHeight="1">
      <c r="A108" s="17">
        <v>13</v>
      </c>
      <c r="B108" s="48" t="s">
        <v>283</v>
      </c>
      <c r="C108" s="180">
        <f>+C32</f>
        <v>376486000</v>
      </c>
      <c r="D108" s="180">
        <f>+D32</f>
        <v>352160000</v>
      </c>
      <c r="E108" s="180">
        <f>+E32</f>
        <v>328100000</v>
      </c>
      <c r="F108" s="28"/>
    </row>
    <row r="109" spans="1:6" ht="24" customHeight="1">
      <c r="A109" s="17">
        <v>14</v>
      </c>
      <c r="B109" s="48" t="s">
        <v>578</v>
      </c>
      <c r="C109" s="180">
        <f>+C107+C108</f>
        <v>428986000</v>
      </c>
      <c r="D109" s="180">
        <f>+D107+D108</f>
        <v>401615000</v>
      </c>
      <c r="E109" s="180">
        <f>+E107+E108</f>
        <v>375365000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579</v>
      </c>
      <c r="C111" s="197">
        <f>IF((+C113+C115)=0,0,((+C112+C113+C114)/(+C113+C115)))</f>
        <v>17.7292600896861</v>
      </c>
      <c r="D111" s="197">
        <f>IF((+D113+D115)=0,0,((+D112+D113+D114)/(+D113+D115)))</f>
        <v>4.328344671201814</v>
      </c>
      <c r="E111" s="197">
        <f>IF((+E113+E115)=0,0,((+E112+E113+E114)/(+E113+E115)))</f>
        <v>10.201469045120671</v>
      </c>
    </row>
    <row r="112" spans="1:6" ht="24" customHeight="1">
      <c r="A112" s="17">
        <v>16</v>
      </c>
      <c r="B112" s="48" t="s">
        <v>580</v>
      </c>
      <c r="C112" s="180">
        <f>+C17</f>
        <v>14503000</v>
      </c>
      <c r="D112" s="180">
        <f>+D17</f>
        <v>-9522000</v>
      </c>
      <c r="E112" s="180">
        <f>+E17</f>
        <v>9482000</v>
      </c>
      <c r="F112" s="28"/>
    </row>
    <row r="113" spans="1:6" ht="24" customHeight="1">
      <c r="A113" s="17">
        <v>17</v>
      </c>
      <c r="B113" s="48" t="s">
        <v>402</v>
      </c>
      <c r="C113" s="180">
        <v>1784000</v>
      </c>
      <c r="D113" s="180">
        <v>2205000</v>
      </c>
      <c r="E113" s="180">
        <v>669000</v>
      </c>
      <c r="F113" s="28"/>
    </row>
    <row r="114" spans="1:6" ht="24" customHeight="1">
      <c r="A114" s="17">
        <v>18</v>
      </c>
      <c r="B114" s="48" t="s">
        <v>581</v>
      </c>
      <c r="C114" s="180">
        <v>15342000</v>
      </c>
      <c r="D114" s="180">
        <v>16861000</v>
      </c>
      <c r="E114" s="180">
        <v>19015000</v>
      </c>
      <c r="F114" s="28"/>
    </row>
    <row r="115" spans="1:6" ht="24" customHeight="1">
      <c r="A115" s="17">
        <v>19</v>
      </c>
      <c r="B115" s="48" t="s">
        <v>318</v>
      </c>
      <c r="C115" s="180">
        <v>0</v>
      </c>
      <c r="D115" s="180">
        <v>0</v>
      </c>
      <c r="E115" s="180">
        <v>2190000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582</v>
      </c>
      <c r="B117" s="30" t="s">
        <v>583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584</v>
      </c>
      <c r="C119" s="197">
        <f>IF(+C121=0,0,(+C120)/(+C121))</f>
        <v>7.7862077955937945</v>
      </c>
      <c r="D119" s="197">
        <f>IF(+D121=0,0,(+D120)/(+D121))</f>
        <v>8.051420437696459</v>
      </c>
      <c r="E119" s="197">
        <f>IF(+E121=0,0,(+E120)/(+E121))</f>
        <v>8.089560872995005</v>
      </c>
    </row>
    <row r="120" spans="1:6" ht="24" customHeight="1">
      <c r="A120" s="17">
        <v>21</v>
      </c>
      <c r="B120" s="48" t="s">
        <v>585</v>
      </c>
      <c r="C120" s="180">
        <v>119456000</v>
      </c>
      <c r="D120" s="180">
        <v>135755000</v>
      </c>
      <c r="E120" s="180">
        <v>153823000</v>
      </c>
      <c r="F120" s="28"/>
    </row>
    <row r="121" spans="1:6" ht="24" customHeight="1">
      <c r="A121" s="17">
        <v>22</v>
      </c>
      <c r="B121" s="48" t="s">
        <v>581</v>
      </c>
      <c r="C121" s="180">
        <v>15342000</v>
      </c>
      <c r="D121" s="180">
        <v>16861000</v>
      </c>
      <c r="E121" s="180">
        <v>19015000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586</v>
      </c>
      <c r="B123" s="30" t="s">
        <v>587</v>
      </c>
      <c r="C123" s="27"/>
      <c r="D123" s="27"/>
      <c r="E123" s="53"/>
    </row>
    <row r="124" spans="1:5" ht="24" customHeight="1">
      <c r="A124" s="44">
        <v>1</v>
      </c>
      <c r="B124" s="48" t="s">
        <v>588</v>
      </c>
      <c r="C124" s="198">
        <v>48835</v>
      </c>
      <c r="D124" s="198">
        <v>51700</v>
      </c>
      <c r="E124" s="198">
        <v>50149</v>
      </c>
    </row>
    <row r="125" spans="1:5" ht="24" customHeight="1">
      <c r="A125" s="44">
        <v>2</v>
      </c>
      <c r="B125" s="48" t="s">
        <v>589</v>
      </c>
      <c r="C125" s="198">
        <v>12779</v>
      </c>
      <c r="D125" s="198">
        <v>12731</v>
      </c>
      <c r="E125" s="198">
        <v>12931</v>
      </c>
    </row>
    <row r="126" spans="1:5" ht="24" customHeight="1">
      <c r="A126" s="44">
        <v>3</v>
      </c>
      <c r="B126" s="48" t="s">
        <v>590</v>
      </c>
      <c r="C126" s="199">
        <f>IF(C125=0,0,C124/C125)</f>
        <v>3.8215040300492995</v>
      </c>
      <c r="D126" s="199">
        <f>IF(D125=0,0,D124/D125)</f>
        <v>4.060953577880763</v>
      </c>
      <c r="E126" s="199">
        <f>IF(E125=0,0,E124/E125)</f>
        <v>3.878199675199134</v>
      </c>
    </row>
    <row r="127" spans="1:5" ht="24" customHeight="1">
      <c r="A127" s="44">
        <v>4</v>
      </c>
      <c r="B127" s="48" t="s">
        <v>591</v>
      </c>
      <c r="C127" s="198">
        <v>206</v>
      </c>
      <c r="D127" s="198">
        <v>206</v>
      </c>
      <c r="E127" s="198">
        <v>206</v>
      </c>
    </row>
    <row r="128" spans="1:8" ht="24" customHeight="1">
      <c r="A128" s="44">
        <v>5</v>
      </c>
      <c r="B128" s="48" t="s">
        <v>592</v>
      </c>
      <c r="C128" s="198">
        <v>0</v>
      </c>
      <c r="D128" s="198">
        <v>0</v>
      </c>
      <c r="E128" s="198">
        <v>206</v>
      </c>
      <c r="G128" s="6"/>
      <c r="H128" s="12"/>
    </row>
    <row r="129" spans="1:8" ht="24" customHeight="1">
      <c r="A129" s="44">
        <v>6</v>
      </c>
      <c r="B129" s="48" t="s">
        <v>593</v>
      </c>
      <c r="C129" s="198">
        <v>206</v>
      </c>
      <c r="D129" s="198">
        <v>206</v>
      </c>
      <c r="E129" s="198">
        <v>206</v>
      </c>
      <c r="G129" s="6"/>
      <c r="H129" s="12"/>
    </row>
    <row r="130" spans="1:5" ht="24" customHeight="1">
      <c r="A130" s="44">
        <v>6</v>
      </c>
      <c r="B130" s="48" t="s">
        <v>594</v>
      </c>
      <c r="C130" s="171">
        <v>0.6494</v>
      </c>
      <c r="D130" s="171">
        <v>0.6875</v>
      </c>
      <c r="E130" s="171">
        <v>0.6669</v>
      </c>
    </row>
    <row r="131" spans="1:5" ht="24" customHeight="1">
      <c r="A131" s="44">
        <v>7</v>
      </c>
      <c r="B131" s="48" t="s">
        <v>595</v>
      </c>
      <c r="C131" s="171">
        <v>0.6494</v>
      </c>
      <c r="D131" s="171">
        <v>0.6875</v>
      </c>
      <c r="E131" s="171">
        <v>0.6669</v>
      </c>
    </row>
    <row r="132" spans="1:5" ht="24" customHeight="1">
      <c r="A132" s="44">
        <v>8</v>
      </c>
      <c r="B132" s="48" t="s">
        <v>596</v>
      </c>
      <c r="C132" s="199">
        <v>1563.3</v>
      </c>
      <c r="D132" s="199">
        <v>1595.9</v>
      </c>
      <c r="E132" s="199">
        <v>1440.1</v>
      </c>
    </row>
    <row r="133" ht="24" customHeight="1">
      <c r="B133" s="55"/>
    </row>
    <row r="134" spans="1:6" ht="19.5" customHeight="1">
      <c r="A134" s="200" t="s">
        <v>228</v>
      </c>
      <c r="B134" s="30" t="s">
        <v>597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598</v>
      </c>
      <c r="C135" s="203">
        <f>IF(C149=0,0,C143/C149)</f>
        <v>0.5477748789617547</v>
      </c>
      <c r="D135" s="203">
        <f>IF(D149=0,0,D143/D149)</f>
        <v>0.5386436355044044</v>
      </c>
      <c r="E135" s="203">
        <f>IF(E149=0,0,E143/E149)</f>
        <v>0.5403097313748583</v>
      </c>
      <c r="G135" s="6"/>
    </row>
    <row r="136" spans="1:5" ht="19.5" customHeight="1">
      <c r="A136" s="202">
        <v>2</v>
      </c>
      <c r="B136" s="195" t="s">
        <v>599</v>
      </c>
      <c r="C136" s="203">
        <f>IF(C149=0,0,C144/C149)</f>
        <v>0.37951287287926716</v>
      </c>
      <c r="D136" s="203">
        <f>IF(D149=0,0,D144/D149)</f>
        <v>0.3855912154085386</v>
      </c>
      <c r="E136" s="203">
        <f>IF(E149=0,0,E144/E149)</f>
        <v>0.3809732270166851</v>
      </c>
    </row>
    <row r="137" spans="1:7" ht="19.5" customHeight="1">
      <c r="A137" s="202">
        <v>3</v>
      </c>
      <c r="B137" s="195" t="s">
        <v>600</v>
      </c>
      <c r="C137" s="203">
        <f>IF(C149=0,0,C145/C149)</f>
        <v>0.019045450944900545</v>
      </c>
      <c r="D137" s="203">
        <f>IF(D149=0,0,D145/D149)</f>
        <v>0.015027288624673271</v>
      </c>
      <c r="E137" s="203">
        <f>IF(E149=0,0,E145/E149)</f>
        <v>0.020481940117899396</v>
      </c>
      <c r="G137" s="6"/>
    </row>
    <row r="138" spans="1:7" ht="19.5" customHeight="1">
      <c r="A138" s="202">
        <v>4</v>
      </c>
      <c r="B138" s="195" t="s">
        <v>601</v>
      </c>
      <c r="C138" s="203">
        <f>IF(C149=0,0,C146/C149)</f>
        <v>0.01105050901632168</v>
      </c>
      <c r="D138" s="203">
        <f>IF(D149=0,0,D146/D149)</f>
        <v>0.01771238612193415</v>
      </c>
      <c r="E138" s="203">
        <f>IF(E149=0,0,E146/E149)</f>
        <v>0.01720783027221857</v>
      </c>
      <c r="G138" s="6"/>
    </row>
    <row r="139" spans="1:5" ht="19.5" customHeight="1">
      <c r="A139" s="202">
        <v>5</v>
      </c>
      <c r="B139" s="195" t="s">
        <v>602</v>
      </c>
      <c r="C139" s="203">
        <f>IF(C149=0,0,C147/C149)</f>
        <v>0.04226695133957596</v>
      </c>
      <c r="D139" s="203">
        <f>IF(D149=0,0,D147/D149)</f>
        <v>0.04266477699445506</v>
      </c>
      <c r="E139" s="203">
        <f>IF(E149=0,0,E147/E149)</f>
        <v>0.040251015758947406</v>
      </c>
    </row>
    <row r="140" spans="1:5" ht="19.5" customHeight="1">
      <c r="A140" s="202">
        <v>6</v>
      </c>
      <c r="B140" s="195" t="s">
        <v>603</v>
      </c>
      <c r="C140" s="203">
        <f>IF(C149=0,0,C148/C149)</f>
        <v>0.0003493368581800015</v>
      </c>
      <c r="D140" s="203">
        <f>IF(D149=0,0,D148/D149)</f>
        <v>0.00036069734599455006</v>
      </c>
      <c r="E140" s="203">
        <f>IF(E149=0,0,E148/E149)</f>
        <v>0.0007762554593912705</v>
      </c>
    </row>
    <row r="141" spans="1:5" ht="19.5" customHeight="1">
      <c r="A141" s="202">
        <v>7</v>
      </c>
      <c r="B141" s="195" t="s">
        <v>604</v>
      </c>
      <c r="C141" s="203">
        <f>SUM(C135:C140)</f>
        <v>0.9999999999999999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605</v>
      </c>
      <c r="C143" s="204">
        <f>+C46-C147</f>
        <v>351075204</v>
      </c>
      <c r="D143" s="205">
        <f>+D46-D147</f>
        <v>416398338</v>
      </c>
      <c r="E143" s="205">
        <f>+E46-E147</f>
        <v>448393019</v>
      </c>
    </row>
    <row r="144" spans="1:5" ht="19.5" customHeight="1">
      <c r="A144" s="202">
        <v>9</v>
      </c>
      <c r="B144" s="201" t="s">
        <v>606</v>
      </c>
      <c r="C144" s="206">
        <f>+C51</f>
        <v>243234154</v>
      </c>
      <c r="D144" s="205">
        <f>+D51</f>
        <v>298081200</v>
      </c>
      <c r="E144" s="205">
        <f>+E51</f>
        <v>316162611</v>
      </c>
    </row>
    <row r="145" spans="1:5" ht="19.5" customHeight="1">
      <c r="A145" s="202">
        <v>10</v>
      </c>
      <c r="B145" s="201" t="s">
        <v>607</v>
      </c>
      <c r="C145" s="206">
        <f>+C55</f>
        <v>12206448</v>
      </c>
      <c r="D145" s="205">
        <f>+D55</f>
        <v>11616842</v>
      </c>
      <c r="E145" s="205">
        <f>+E55</f>
        <v>16997582</v>
      </c>
    </row>
    <row r="146" spans="1:5" ht="19.5" customHeight="1">
      <c r="A146" s="202">
        <v>11</v>
      </c>
      <c r="B146" s="201" t="s">
        <v>608</v>
      </c>
      <c r="C146" s="204">
        <v>7082398</v>
      </c>
      <c r="D146" s="205">
        <v>13692556</v>
      </c>
      <c r="E146" s="205">
        <v>14280459</v>
      </c>
    </row>
    <row r="147" spans="1:5" ht="19.5" customHeight="1">
      <c r="A147" s="202">
        <v>12</v>
      </c>
      <c r="B147" s="201" t="s">
        <v>609</v>
      </c>
      <c r="C147" s="206">
        <f>+C47</f>
        <v>27089374</v>
      </c>
      <c r="D147" s="205">
        <f>+D47</f>
        <v>32981996</v>
      </c>
      <c r="E147" s="205">
        <f>+E47</f>
        <v>33403571</v>
      </c>
    </row>
    <row r="148" spans="1:5" ht="19.5" customHeight="1">
      <c r="A148" s="202">
        <v>13</v>
      </c>
      <c r="B148" s="201" t="s">
        <v>610</v>
      </c>
      <c r="C148" s="206">
        <v>223894</v>
      </c>
      <c r="D148" s="205">
        <v>278837</v>
      </c>
      <c r="E148" s="205">
        <v>644200</v>
      </c>
    </row>
    <row r="149" spans="1:5" ht="19.5" customHeight="1">
      <c r="A149" s="202">
        <v>14</v>
      </c>
      <c r="B149" s="201" t="s">
        <v>611</v>
      </c>
      <c r="C149" s="204">
        <f>SUM(C143:C148)</f>
        <v>640911472</v>
      </c>
      <c r="D149" s="205">
        <f>SUM(D143:D148)</f>
        <v>773049769</v>
      </c>
      <c r="E149" s="205">
        <f>SUM(E143:E148)</f>
        <v>829881442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612</v>
      </c>
      <c r="B151" s="30" t="s">
        <v>613</v>
      </c>
      <c r="C151" s="201"/>
      <c r="D151" s="201"/>
      <c r="E151" s="201"/>
    </row>
    <row r="152" spans="1:5" ht="19.5" customHeight="1">
      <c r="A152" s="202">
        <v>1</v>
      </c>
      <c r="B152" s="195" t="s">
        <v>614</v>
      </c>
      <c r="C152" s="203">
        <f>IF(C166=0,0,C160/C166)</f>
        <v>0.6639483350109832</v>
      </c>
      <c r="D152" s="203">
        <f>IF(D166=0,0,D160/D166)</f>
        <v>0.6702562898366037</v>
      </c>
      <c r="E152" s="203">
        <f>IF(E166=0,0,E160/E166)</f>
        <v>0.6744962790787365</v>
      </c>
    </row>
    <row r="153" spans="1:5" ht="19.5" customHeight="1">
      <c r="A153" s="202">
        <v>2</v>
      </c>
      <c r="B153" s="195" t="s">
        <v>615</v>
      </c>
      <c r="C153" s="203">
        <f>IF(C166=0,0,C161/C166)</f>
        <v>0.2980812988313659</v>
      </c>
      <c r="D153" s="203">
        <f>IF(D166=0,0,D161/D166)</f>
        <v>0.2888860960832155</v>
      </c>
      <c r="E153" s="203">
        <f>IF(E166=0,0,E161/E166)</f>
        <v>0.28237020847886846</v>
      </c>
    </row>
    <row r="154" spans="1:5" ht="19.5" customHeight="1">
      <c r="A154" s="202">
        <v>3</v>
      </c>
      <c r="B154" s="195" t="s">
        <v>616</v>
      </c>
      <c r="C154" s="203">
        <f>IF(C166=0,0,C162/C166)</f>
        <v>0.016726342754348304</v>
      </c>
      <c r="D154" s="203">
        <f>IF(D166=0,0,D162/D166)</f>
        <v>0.012130666293301704</v>
      </c>
      <c r="E154" s="203">
        <f>IF(E166=0,0,E162/E166)</f>
        <v>0.016906340807946806</v>
      </c>
    </row>
    <row r="155" spans="1:7" ht="19.5" customHeight="1">
      <c r="A155" s="202">
        <v>4</v>
      </c>
      <c r="B155" s="195" t="s">
        <v>617</v>
      </c>
      <c r="C155" s="203">
        <f>IF(C166=0,0,C163/C166)</f>
        <v>0.003169306014565756</v>
      </c>
      <c r="D155" s="203">
        <f>IF(D166=0,0,D163/D166)</f>
        <v>0.01031440586721804</v>
      </c>
      <c r="E155" s="203">
        <f>IF(E166=0,0,E163/E166)</f>
        <v>0.008743551266037996</v>
      </c>
      <c r="G155" s="6"/>
    </row>
    <row r="156" spans="1:5" ht="19.5" customHeight="1">
      <c r="A156" s="202">
        <v>5</v>
      </c>
      <c r="B156" s="195" t="s">
        <v>618</v>
      </c>
      <c r="C156" s="203">
        <f>IF(C166=0,0,C164/C166)</f>
        <v>0.017568038808331465</v>
      </c>
      <c r="D156" s="203">
        <f>IF(D166=0,0,D164/D166)</f>
        <v>0.017952438358279588</v>
      </c>
      <c r="E156" s="203">
        <f>IF(E166=0,0,E164/E166)</f>
        <v>0.01663264876051369</v>
      </c>
    </row>
    <row r="157" spans="1:5" ht="19.5" customHeight="1">
      <c r="A157" s="202">
        <v>6</v>
      </c>
      <c r="B157" s="195" t="s">
        <v>619</v>
      </c>
      <c r="C157" s="203">
        <f>IF(C166=0,0,C165/C166)</f>
        <v>0.0005066785804054479</v>
      </c>
      <c r="D157" s="203">
        <f>IF(D166=0,0,D165/D166)</f>
        <v>0.00046010356138148124</v>
      </c>
      <c r="E157" s="203">
        <f>IF(E166=0,0,E165/E166)</f>
        <v>0.0008509716078965183</v>
      </c>
    </row>
    <row r="158" spans="1:5" ht="19.5" customHeight="1">
      <c r="A158" s="202">
        <v>7</v>
      </c>
      <c r="B158" s="195" t="s">
        <v>620</v>
      </c>
      <c r="C158" s="203">
        <f>SUM(C152:C157)</f>
        <v>1</v>
      </c>
      <c r="D158" s="203">
        <f>SUM(D152:D157)</f>
        <v>0.9999999999999999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621</v>
      </c>
      <c r="C160" s="207">
        <f>+C44-C164</f>
        <v>155898829</v>
      </c>
      <c r="D160" s="208">
        <f>+D44-D164</f>
        <v>171963620</v>
      </c>
      <c r="E160" s="208">
        <f>+E44-E164</f>
        <v>179366513</v>
      </c>
    </row>
    <row r="161" spans="1:5" ht="19.5" customHeight="1">
      <c r="A161" s="202">
        <v>9</v>
      </c>
      <c r="B161" s="201" t="s">
        <v>622</v>
      </c>
      <c r="C161" s="209">
        <f>+C50</f>
        <v>69991177</v>
      </c>
      <c r="D161" s="208">
        <f>+D50</f>
        <v>74117766</v>
      </c>
      <c r="E161" s="208">
        <f>+E50</f>
        <v>75089754</v>
      </c>
    </row>
    <row r="162" spans="1:5" ht="19.5" customHeight="1">
      <c r="A162" s="202">
        <v>10</v>
      </c>
      <c r="B162" s="201" t="s">
        <v>623</v>
      </c>
      <c r="C162" s="209">
        <f>+C54</f>
        <v>3927440</v>
      </c>
      <c r="D162" s="208">
        <f>+D54</f>
        <v>3112292</v>
      </c>
      <c r="E162" s="208">
        <f>+E54</f>
        <v>4495846</v>
      </c>
    </row>
    <row r="163" spans="1:5" ht="19.5" customHeight="1">
      <c r="A163" s="202">
        <v>11</v>
      </c>
      <c r="B163" s="201" t="s">
        <v>624</v>
      </c>
      <c r="C163" s="207">
        <v>744171</v>
      </c>
      <c r="D163" s="208">
        <v>2646305</v>
      </c>
      <c r="E163" s="208">
        <v>2325143</v>
      </c>
    </row>
    <row r="164" spans="1:5" ht="19.5" customHeight="1">
      <c r="A164" s="202">
        <v>12</v>
      </c>
      <c r="B164" s="201" t="s">
        <v>625</v>
      </c>
      <c r="C164" s="209">
        <f>+C45</f>
        <v>4125075</v>
      </c>
      <c r="D164" s="208">
        <f>+D45</f>
        <v>4605949</v>
      </c>
      <c r="E164" s="208">
        <f>+E45</f>
        <v>4423064</v>
      </c>
    </row>
    <row r="165" spans="1:5" ht="19.5" customHeight="1">
      <c r="A165" s="202">
        <v>13</v>
      </c>
      <c r="B165" s="201" t="s">
        <v>626</v>
      </c>
      <c r="C165" s="209">
        <v>118971</v>
      </c>
      <c r="D165" s="208">
        <v>118046</v>
      </c>
      <c r="E165" s="208">
        <v>226296</v>
      </c>
    </row>
    <row r="166" spans="1:5" ht="19.5" customHeight="1">
      <c r="A166" s="202">
        <v>14</v>
      </c>
      <c r="B166" s="201" t="s">
        <v>627</v>
      </c>
      <c r="C166" s="207">
        <f>SUM(C160:C165)</f>
        <v>234805663</v>
      </c>
      <c r="D166" s="208">
        <f>SUM(D160:D165)</f>
        <v>256563978</v>
      </c>
      <c r="E166" s="208">
        <f>SUM(E160:E165)</f>
        <v>265926616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628</v>
      </c>
      <c r="B168" s="30" t="s">
        <v>589</v>
      </c>
      <c r="C168" s="201"/>
      <c r="D168" s="201"/>
      <c r="E168" s="201"/>
    </row>
    <row r="169" spans="1:5" ht="19.5" customHeight="1">
      <c r="A169" s="202">
        <v>1</v>
      </c>
      <c r="B169" s="201" t="s">
        <v>629</v>
      </c>
      <c r="C169" s="198">
        <v>7655</v>
      </c>
      <c r="D169" s="198">
        <v>7567</v>
      </c>
      <c r="E169" s="198">
        <v>7298</v>
      </c>
    </row>
    <row r="170" spans="1:5" ht="19.5" customHeight="1">
      <c r="A170" s="202">
        <v>2</v>
      </c>
      <c r="B170" s="201" t="s">
        <v>630</v>
      </c>
      <c r="C170" s="198">
        <v>4677</v>
      </c>
      <c r="D170" s="198">
        <v>4740</v>
      </c>
      <c r="E170" s="198">
        <v>5054</v>
      </c>
    </row>
    <row r="171" spans="1:5" ht="19.5" customHeight="1">
      <c r="A171" s="202">
        <v>3</v>
      </c>
      <c r="B171" s="201" t="s">
        <v>631</v>
      </c>
      <c r="C171" s="198">
        <v>443</v>
      </c>
      <c r="D171" s="198">
        <v>422</v>
      </c>
      <c r="E171" s="198">
        <v>573</v>
      </c>
    </row>
    <row r="172" spans="1:5" ht="19.5" customHeight="1">
      <c r="A172" s="202">
        <v>4</v>
      </c>
      <c r="B172" s="201" t="s">
        <v>632</v>
      </c>
      <c r="C172" s="198">
        <v>242</v>
      </c>
      <c r="D172" s="198">
        <v>161</v>
      </c>
      <c r="E172" s="198">
        <v>327</v>
      </c>
    </row>
    <row r="173" spans="1:5" ht="19.5" customHeight="1">
      <c r="A173" s="202">
        <v>5</v>
      </c>
      <c r="B173" s="201" t="s">
        <v>633</v>
      </c>
      <c r="C173" s="198">
        <v>201</v>
      </c>
      <c r="D173" s="198">
        <v>261</v>
      </c>
      <c r="E173" s="198">
        <v>246</v>
      </c>
    </row>
    <row r="174" spans="1:5" ht="19.5" customHeight="1">
      <c r="A174" s="202">
        <v>6</v>
      </c>
      <c r="B174" s="201" t="s">
        <v>634</v>
      </c>
      <c r="C174" s="198">
        <v>4</v>
      </c>
      <c r="D174" s="198">
        <v>2</v>
      </c>
      <c r="E174" s="198">
        <v>6</v>
      </c>
    </row>
    <row r="175" spans="1:5" ht="19.5" customHeight="1">
      <c r="A175" s="202">
        <v>7</v>
      </c>
      <c r="B175" s="201" t="s">
        <v>635</v>
      </c>
      <c r="C175" s="198">
        <v>478</v>
      </c>
      <c r="D175" s="198">
        <v>448</v>
      </c>
      <c r="E175" s="198">
        <v>296</v>
      </c>
    </row>
    <row r="176" spans="1:5" ht="19.5" customHeight="1">
      <c r="A176" s="202">
        <v>8</v>
      </c>
      <c r="B176" s="201" t="s">
        <v>636</v>
      </c>
      <c r="C176" s="198">
        <f>+C169+C170+C171+C174</f>
        <v>12779</v>
      </c>
      <c r="D176" s="198">
        <f>+D169+D170+D171+D174</f>
        <v>12731</v>
      </c>
      <c r="E176" s="198">
        <f>+E169+E170+E171+E174</f>
        <v>12931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637</v>
      </c>
      <c r="B178" s="30" t="s">
        <v>638</v>
      </c>
      <c r="C178" s="201"/>
      <c r="D178" s="201"/>
      <c r="E178" s="201"/>
    </row>
    <row r="179" spans="1:5" ht="19.5" customHeight="1">
      <c r="A179" s="202">
        <v>1</v>
      </c>
      <c r="B179" s="201" t="s">
        <v>629</v>
      </c>
      <c r="C179" s="210">
        <v>0.8102</v>
      </c>
      <c r="D179" s="210">
        <v>0.8566</v>
      </c>
      <c r="E179" s="210">
        <v>0.8455</v>
      </c>
    </row>
    <row r="180" spans="1:5" ht="19.5" customHeight="1">
      <c r="A180" s="202">
        <v>2</v>
      </c>
      <c r="B180" s="201" t="s">
        <v>630</v>
      </c>
      <c r="C180" s="210">
        <v>1.3821</v>
      </c>
      <c r="D180" s="210">
        <v>1.457</v>
      </c>
      <c r="E180" s="210">
        <v>1.4065</v>
      </c>
    </row>
    <row r="181" spans="1:5" ht="19.5" customHeight="1">
      <c r="A181" s="202">
        <v>3</v>
      </c>
      <c r="B181" s="201" t="s">
        <v>631</v>
      </c>
      <c r="C181" s="210">
        <v>0.972287</v>
      </c>
      <c r="D181" s="210">
        <v>1.153674</v>
      </c>
      <c r="E181" s="210">
        <v>1.057653</v>
      </c>
    </row>
    <row r="182" spans="1:5" ht="19.5" customHeight="1">
      <c r="A182" s="202">
        <v>4</v>
      </c>
      <c r="B182" s="201" t="s">
        <v>632</v>
      </c>
      <c r="C182" s="210">
        <v>0.93</v>
      </c>
      <c r="D182" s="210">
        <v>1.1619</v>
      </c>
      <c r="E182" s="210">
        <v>1.1254</v>
      </c>
    </row>
    <row r="183" spans="1:5" ht="19.5" customHeight="1">
      <c r="A183" s="202">
        <v>5</v>
      </c>
      <c r="B183" s="201" t="s">
        <v>633</v>
      </c>
      <c r="C183" s="210">
        <v>1.0232</v>
      </c>
      <c r="D183" s="210">
        <v>1.1486</v>
      </c>
      <c r="E183" s="210">
        <v>0.9676</v>
      </c>
    </row>
    <row r="184" spans="1:5" ht="19.5" customHeight="1">
      <c r="A184" s="202">
        <v>6</v>
      </c>
      <c r="B184" s="201" t="s">
        <v>634</v>
      </c>
      <c r="C184" s="210">
        <v>0.667</v>
      </c>
      <c r="D184" s="210">
        <v>0.6886</v>
      </c>
      <c r="E184" s="210">
        <v>1.4673</v>
      </c>
    </row>
    <row r="185" spans="1:5" ht="19.5" customHeight="1">
      <c r="A185" s="202">
        <v>7</v>
      </c>
      <c r="B185" s="201" t="s">
        <v>635</v>
      </c>
      <c r="C185" s="210">
        <v>0.9296</v>
      </c>
      <c r="D185" s="210">
        <v>0.911</v>
      </c>
      <c r="E185" s="210">
        <v>0.9178</v>
      </c>
    </row>
    <row r="186" spans="1:5" ht="19.5" customHeight="1">
      <c r="A186" s="202">
        <v>8</v>
      </c>
      <c r="B186" s="201" t="s">
        <v>639</v>
      </c>
      <c r="C186" s="210">
        <v>1.025084</v>
      </c>
      <c r="D186" s="210">
        <v>1.089961</v>
      </c>
      <c r="E186" s="210">
        <v>1.074452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640</v>
      </c>
      <c r="B188" s="30" t="s">
        <v>641</v>
      </c>
      <c r="C188" s="201"/>
      <c r="D188" s="201"/>
      <c r="E188" s="201"/>
    </row>
    <row r="189" spans="1:5" ht="19.5" customHeight="1">
      <c r="A189" s="202">
        <v>1</v>
      </c>
      <c r="B189" s="201" t="s">
        <v>642</v>
      </c>
      <c r="C189" s="198">
        <v>6956</v>
      </c>
      <c r="D189" s="198">
        <v>7569</v>
      </c>
      <c r="E189" s="198">
        <v>7824</v>
      </c>
    </row>
    <row r="190" spans="1:5" ht="19.5" customHeight="1">
      <c r="A190" s="202">
        <v>2</v>
      </c>
      <c r="B190" s="201" t="s">
        <v>643</v>
      </c>
      <c r="C190" s="198">
        <v>32906</v>
      </c>
      <c r="D190" s="198">
        <v>33101</v>
      </c>
      <c r="E190" s="198">
        <v>35461</v>
      </c>
    </row>
    <row r="191" spans="1:5" ht="19.5" customHeight="1">
      <c r="A191" s="202">
        <v>3</v>
      </c>
      <c r="B191" s="201" t="s">
        <v>644</v>
      </c>
      <c r="C191" s="198">
        <f>+C190+C189</f>
        <v>39862</v>
      </c>
      <c r="D191" s="198">
        <f>+D190+D189</f>
        <v>40670</v>
      </c>
      <c r="E191" s="198">
        <f>+E190+E189</f>
        <v>43285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FILING&amp;RGREENWICH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216</v>
      </c>
      <c r="B2" s="687"/>
      <c r="C2" s="687"/>
      <c r="D2" s="687"/>
      <c r="E2" s="687"/>
      <c r="F2" s="687"/>
    </row>
    <row r="3" spans="1:6" ht="20.25" customHeight="1">
      <c r="A3" s="687" t="s">
        <v>217</v>
      </c>
      <c r="B3" s="687"/>
      <c r="C3" s="687"/>
      <c r="D3" s="687"/>
      <c r="E3" s="687"/>
      <c r="F3" s="687"/>
    </row>
    <row r="4" spans="1:6" ht="20.25" customHeight="1">
      <c r="A4" s="687" t="s">
        <v>218</v>
      </c>
      <c r="B4" s="687"/>
      <c r="C4" s="687"/>
      <c r="D4" s="687"/>
      <c r="E4" s="687"/>
      <c r="F4" s="687"/>
    </row>
    <row r="5" spans="1:6" ht="20.25" customHeight="1">
      <c r="A5" s="687" t="s">
        <v>645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370</v>
      </c>
      <c r="B8" s="221" t="s">
        <v>225</v>
      </c>
      <c r="C8" s="222" t="s">
        <v>646</v>
      </c>
      <c r="D8" s="223" t="s">
        <v>647</v>
      </c>
      <c r="E8" s="223" t="s">
        <v>648</v>
      </c>
      <c r="F8" s="224" t="s">
        <v>324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228</v>
      </c>
      <c r="B10" s="681" t="s">
        <v>329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326</v>
      </c>
      <c r="B13" s="231" t="s">
        <v>649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650</v>
      </c>
      <c r="C14" s="237">
        <v>396680</v>
      </c>
      <c r="D14" s="237">
        <v>379330</v>
      </c>
      <c r="E14" s="237">
        <f aca="true" t="shared" si="0" ref="E14:E24">D14-C14</f>
        <v>-17350</v>
      </c>
      <c r="F14" s="238">
        <f aca="true" t="shared" si="1" ref="F14:F24">IF(C14=0,0,E14/C14)</f>
        <v>-0.04373802561258445</v>
      </c>
    </row>
    <row r="15" spans="1:6" ht="20.25" customHeight="1">
      <c r="A15" s="235">
        <v>2</v>
      </c>
      <c r="B15" s="236" t="s">
        <v>651</v>
      </c>
      <c r="C15" s="237">
        <v>45984</v>
      </c>
      <c r="D15" s="237">
        <v>141784</v>
      </c>
      <c r="E15" s="237">
        <f t="shared" si="0"/>
        <v>95800</v>
      </c>
      <c r="F15" s="238">
        <f t="shared" si="1"/>
        <v>2.0833333333333335</v>
      </c>
    </row>
    <row r="16" spans="1:6" ht="20.25" customHeight="1">
      <c r="A16" s="235">
        <v>3</v>
      </c>
      <c r="B16" s="236" t="s">
        <v>652</v>
      </c>
      <c r="C16" s="237">
        <v>211743</v>
      </c>
      <c r="D16" s="237">
        <v>228983</v>
      </c>
      <c r="E16" s="237">
        <f t="shared" si="0"/>
        <v>17240</v>
      </c>
      <c r="F16" s="238">
        <f t="shared" si="1"/>
        <v>0.08141945660541317</v>
      </c>
    </row>
    <row r="17" spans="1:6" ht="20.25" customHeight="1">
      <c r="A17" s="235">
        <v>4</v>
      </c>
      <c r="B17" s="236" t="s">
        <v>653</v>
      </c>
      <c r="C17" s="237">
        <v>57349</v>
      </c>
      <c r="D17" s="237">
        <v>71105</v>
      </c>
      <c r="E17" s="237">
        <f t="shared" si="0"/>
        <v>13756</v>
      </c>
      <c r="F17" s="238">
        <f t="shared" si="1"/>
        <v>0.2398646881375438</v>
      </c>
    </row>
    <row r="18" spans="1:6" ht="20.25" customHeight="1">
      <c r="A18" s="235">
        <v>5</v>
      </c>
      <c r="B18" s="236" t="s">
        <v>589</v>
      </c>
      <c r="C18" s="239">
        <v>10</v>
      </c>
      <c r="D18" s="239">
        <v>9</v>
      </c>
      <c r="E18" s="239">
        <f t="shared" si="0"/>
        <v>-1</v>
      </c>
      <c r="F18" s="238">
        <f t="shared" si="1"/>
        <v>-0.1</v>
      </c>
    </row>
    <row r="19" spans="1:6" ht="20.25" customHeight="1">
      <c r="A19" s="235">
        <v>6</v>
      </c>
      <c r="B19" s="236" t="s">
        <v>588</v>
      </c>
      <c r="C19" s="239">
        <v>49</v>
      </c>
      <c r="D19" s="239">
        <v>48</v>
      </c>
      <c r="E19" s="239">
        <f t="shared" si="0"/>
        <v>-1</v>
      </c>
      <c r="F19" s="238">
        <f t="shared" si="1"/>
        <v>-0.02040816326530612</v>
      </c>
    </row>
    <row r="20" spans="1:6" ht="20.25" customHeight="1">
      <c r="A20" s="235">
        <v>7</v>
      </c>
      <c r="B20" s="236" t="s">
        <v>654</v>
      </c>
      <c r="C20" s="239">
        <v>159</v>
      </c>
      <c r="D20" s="239">
        <v>224</v>
      </c>
      <c r="E20" s="239">
        <f t="shared" si="0"/>
        <v>65</v>
      </c>
      <c r="F20" s="238">
        <f t="shared" si="1"/>
        <v>0.4088050314465409</v>
      </c>
    </row>
    <row r="21" spans="1:6" ht="20.25" customHeight="1">
      <c r="A21" s="235">
        <v>8</v>
      </c>
      <c r="B21" s="236" t="s">
        <v>655</v>
      </c>
      <c r="C21" s="239">
        <v>14</v>
      </c>
      <c r="D21" s="239">
        <v>12</v>
      </c>
      <c r="E21" s="239">
        <f t="shared" si="0"/>
        <v>-2</v>
      </c>
      <c r="F21" s="238">
        <f t="shared" si="1"/>
        <v>-0.14285714285714285</v>
      </c>
    </row>
    <row r="22" spans="1:6" ht="20.25" customHeight="1">
      <c r="A22" s="235">
        <v>9</v>
      </c>
      <c r="B22" s="236" t="s">
        <v>656</v>
      </c>
      <c r="C22" s="239">
        <v>3</v>
      </c>
      <c r="D22" s="239">
        <v>9</v>
      </c>
      <c r="E22" s="239">
        <f t="shared" si="0"/>
        <v>6</v>
      </c>
      <c r="F22" s="238">
        <f t="shared" si="1"/>
        <v>2</v>
      </c>
    </row>
    <row r="23" spans="1:6" s="240" customFormat="1" ht="20.25" customHeight="1">
      <c r="A23" s="241"/>
      <c r="B23" s="242" t="s">
        <v>657</v>
      </c>
      <c r="C23" s="243">
        <f>+C14+C16</f>
        <v>608423</v>
      </c>
      <c r="D23" s="243">
        <f>+D14+D16</f>
        <v>608313</v>
      </c>
      <c r="E23" s="243">
        <f t="shared" si="0"/>
        <v>-110</v>
      </c>
      <c r="F23" s="244">
        <f t="shared" si="1"/>
        <v>-0.00018079526908088616</v>
      </c>
    </row>
    <row r="24" spans="1:6" s="240" customFormat="1" ht="20.25" customHeight="1">
      <c r="A24" s="241"/>
      <c r="B24" s="242" t="s">
        <v>658</v>
      </c>
      <c r="C24" s="243">
        <f>+C15+C17</f>
        <v>103333</v>
      </c>
      <c r="D24" s="243">
        <f>+D15+D17</f>
        <v>212889</v>
      </c>
      <c r="E24" s="243">
        <f t="shared" si="0"/>
        <v>109556</v>
      </c>
      <c r="F24" s="244">
        <f t="shared" si="1"/>
        <v>1.060222774912177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340</v>
      </c>
      <c r="B26" s="231" t="s">
        <v>659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650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651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652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653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589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588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654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655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656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657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658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357</v>
      </c>
      <c r="B39" s="231" t="s">
        <v>660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650</v>
      </c>
      <c r="C40" s="237">
        <v>0</v>
      </c>
      <c r="D40" s="237">
        <v>0</v>
      </c>
      <c r="E40" s="237">
        <f aca="true" t="shared" si="4" ref="E40:E50">D40-C40</f>
        <v>0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651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>
      <c r="A42" s="235">
        <v>3</v>
      </c>
      <c r="B42" s="236" t="s">
        <v>652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>
      <c r="A43" s="235">
        <v>4</v>
      </c>
      <c r="B43" s="236" t="s">
        <v>653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>
      <c r="A44" s="235">
        <v>5</v>
      </c>
      <c r="B44" s="236" t="s">
        <v>589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>
      <c r="A45" s="235">
        <v>6</v>
      </c>
      <c r="B45" s="236" t="s">
        <v>588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>
      <c r="A46" s="235">
        <v>7</v>
      </c>
      <c r="B46" s="236" t="s">
        <v>654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>
      <c r="A47" s="235">
        <v>8</v>
      </c>
      <c r="B47" s="236" t="s">
        <v>655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>
      <c r="A48" s="235">
        <v>9</v>
      </c>
      <c r="B48" s="236" t="s">
        <v>656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>
      <c r="A49" s="241"/>
      <c r="B49" s="242" t="s">
        <v>657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>
      <c r="A50" s="241"/>
      <c r="B50" s="242" t="s">
        <v>658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387</v>
      </c>
      <c r="B52" s="231" t="s">
        <v>661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650</v>
      </c>
      <c r="C53" s="237">
        <v>2719834</v>
      </c>
      <c r="D53" s="237">
        <v>3189399</v>
      </c>
      <c r="E53" s="237">
        <f aca="true" t="shared" si="6" ref="E53:E63">D53-C53</f>
        <v>469565</v>
      </c>
      <c r="F53" s="238">
        <f aca="true" t="shared" si="7" ref="F53:F63">IF(C53=0,0,E53/C53)</f>
        <v>0.17264472758263924</v>
      </c>
    </row>
    <row r="54" spans="1:6" ht="20.25" customHeight="1">
      <c r="A54" s="235">
        <v>2</v>
      </c>
      <c r="B54" s="236" t="s">
        <v>651</v>
      </c>
      <c r="C54" s="237">
        <v>752254</v>
      </c>
      <c r="D54" s="237">
        <v>645593</v>
      </c>
      <c r="E54" s="237">
        <f t="shared" si="6"/>
        <v>-106661</v>
      </c>
      <c r="F54" s="238">
        <f t="shared" si="7"/>
        <v>-0.1417885448266144</v>
      </c>
    </row>
    <row r="55" spans="1:6" ht="20.25" customHeight="1">
      <c r="A55" s="235">
        <v>3</v>
      </c>
      <c r="B55" s="236" t="s">
        <v>652</v>
      </c>
      <c r="C55" s="237">
        <v>3189586</v>
      </c>
      <c r="D55" s="237">
        <v>3686736</v>
      </c>
      <c r="E55" s="237">
        <f t="shared" si="6"/>
        <v>497150</v>
      </c>
      <c r="F55" s="238">
        <f t="shared" si="7"/>
        <v>0.15586662344266622</v>
      </c>
    </row>
    <row r="56" spans="1:6" ht="20.25" customHeight="1">
      <c r="A56" s="235">
        <v>4</v>
      </c>
      <c r="B56" s="236" t="s">
        <v>653</v>
      </c>
      <c r="C56" s="237">
        <v>612828</v>
      </c>
      <c r="D56" s="237">
        <v>585793</v>
      </c>
      <c r="E56" s="237">
        <f t="shared" si="6"/>
        <v>-27035</v>
      </c>
      <c r="F56" s="238">
        <f t="shared" si="7"/>
        <v>-0.04411515139647666</v>
      </c>
    </row>
    <row r="57" spans="1:6" ht="20.25" customHeight="1">
      <c r="A57" s="235">
        <v>5</v>
      </c>
      <c r="B57" s="236" t="s">
        <v>589</v>
      </c>
      <c r="C57" s="239">
        <v>79</v>
      </c>
      <c r="D57" s="239">
        <v>76</v>
      </c>
      <c r="E57" s="239">
        <f t="shared" si="6"/>
        <v>-3</v>
      </c>
      <c r="F57" s="238">
        <f t="shared" si="7"/>
        <v>-0.0379746835443038</v>
      </c>
    </row>
    <row r="58" spans="1:6" ht="20.25" customHeight="1">
      <c r="A58" s="235">
        <v>6</v>
      </c>
      <c r="B58" s="236" t="s">
        <v>588</v>
      </c>
      <c r="C58" s="239">
        <v>363</v>
      </c>
      <c r="D58" s="239">
        <v>453</v>
      </c>
      <c r="E58" s="239">
        <f t="shared" si="6"/>
        <v>90</v>
      </c>
      <c r="F58" s="238">
        <f t="shared" si="7"/>
        <v>0.24793388429752067</v>
      </c>
    </row>
    <row r="59" spans="1:6" ht="20.25" customHeight="1">
      <c r="A59" s="235">
        <v>7</v>
      </c>
      <c r="B59" s="236" t="s">
        <v>654</v>
      </c>
      <c r="C59" s="239">
        <v>3387</v>
      </c>
      <c r="D59" s="239">
        <v>3992</v>
      </c>
      <c r="E59" s="239">
        <f t="shared" si="6"/>
        <v>605</v>
      </c>
      <c r="F59" s="238">
        <f t="shared" si="7"/>
        <v>0.1786241511662238</v>
      </c>
    </row>
    <row r="60" spans="1:6" ht="20.25" customHeight="1">
      <c r="A60" s="235">
        <v>8</v>
      </c>
      <c r="B60" s="236" t="s">
        <v>655</v>
      </c>
      <c r="C60" s="239">
        <v>296</v>
      </c>
      <c r="D60" s="239">
        <v>121</v>
      </c>
      <c r="E60" s="239">
        <f t="shared" si="6"/>
        <v>-175</v>
      </c>
      <c r="F60" s="238">
        <f t="shared" si="7"/>
        <v>-0.5912162162162162</v>
      </c>
    </row>
    <row r="61" spans="1:6" ht="20.25" customHeight="1">
      <c r="A61" s="235">
        <v>9</v>
      </c>
      <c r="B61" s="236" t="s">
        <v>656</v>
      </c>
      <c r="C61" s="239">
        <v>64</v>
      </c>
      <c r="D61" s="239">
        <v>77</v>
      </c>
      <c r="E61" s="239">
        <f t="shared" si="6"/>
        <v>13</v>
      </c>
      <c r="F61" s="238">
        <f t="shared" si="7"/>
        <v>0.203125</v>
      </c>
    </row>
    <row r="62" spans="1:6" s="240" customFormat="1" ht="20.25" customHeight="1">
      <c r="A62" s="241"/>
      <c r="B62" s="242" t="s">
        <v>657</v>
      </c>
      <c r="C62" s="243">
        <f>+C53+C55</f>
        <v>5909420</v>
      </c>
      <c r="D62" s="243">
        <f>+D53+D55</f>
        <v>6876135</v>
      </c>
      <c r="E62" s="243">
        <f t="shared" si="6"/>
        <v>966715</v>
      </c>
      <c r="F62" s="244">
        <f t="shared" si="7"/>
        <v>0.16358881243844572</v>
      </c>
    </row>
    <row r="63" spans="1:6" s="240" customFormat="1" ht="20.25" customHeight="1">
      <c r="A63" s="241"/>
      <c r="B63" s="242" t="s">
        <v>658</v>
      </c>
      <c r="C63" s="243">
        <f>+C54+C56</f>
        <v>1365082</v>
      </c>
      <c r="D63" s="243">
        <f>+D54+D56</f>
        <v>1231386</v>
      </c>
      <c r="E63" s="243">
        <f t="shared" si="6"/>
        <v>-133696</v>
      </c>
      <c r="F63" s="244">
        <f t="shared" si="7"/>
        <v>-0.09793990397646442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392</v>
      </c>
      <c r="B65" s="231" t="s">
        <v>662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650</v>
      </c>
      <c r="C66" s="237">
        <v>7693208</v>
      </c>
      <c r="D66" s="237">
        <v>9089710</v>
      </c>
      <c r="E66" s="237">
        <f aca="true" t="shared" si="8" ref="E66:E76">D66-C66</f>
        <v>1396502</v>
      </c>
      <c r="F66" s="238">
        <f aca="true" t="shared" si="9" ref="F66:F76">IF(C66=0,0,E66/C66)</f>
        <v>0.18152401442935118</v>
      </c>
    </row>
    <row r="67" spans="1:6" ht="20.25" customHeight="1">
      <c r="A67" s="235">
        <v>2</v>
      </c>
      <c r="B67" s="236" t="s">
        <v>651</v>
      </c>
      <c r="C67" s="237">
        <v>1923329</v>
      </c>
      <c r="D67" s="237">
        <v>1873962</v>
      </c>
      <c r="E67" s="237">
        <f t="shared" si="8"/>
        <v>-49367</v>
      </c>
      <c r="F67" s="238">
        <f t="shared" si="9"/>
        <v>-0.0256674755073105</v>
      </c>
    </row>
    <row r="68" spans="1:6" ht="20.25" customHeight="1">
      <c r="A68" s="235">
        <v>3</v>
      </c>
      <c r="B68" s="236" t="s">
        <v>652</v>
      </c>
      <c r="C68" s="237">
        <v>2606268</v>
      </c>
      <c r="D68" s="237">
        <v>2949016</v>
      </c>
      <c r="E68" s="237">
        <f t="shared" si="8"/>
        <v>342748</v>
      </c>
      <c r="F68" s="238">
        <f t="shared" si="9"/>
        <v>0.13150911571641904</v>
      </c>
    </row>
    <row r="69" spans="1:6" ht="20.25" customHeight="1">
      <c r="A69" s="235">
        <v>4</v>
      </c>
      <c r="B69" s="236" t="s">
        <v>653</v>
      </c>
      <c r="C69" s="237">
        <v>741320</v>
      </c>
      <c r="D69" s="237">
        <v>655672</v>
      </c>
      <c r="E69" s="237">
        <f t="shared" si="8"/>
        <v>-85648</v>
      </c>
      <c r="F69" s="238">
        <f t="shared" si="9"/>
        <v>-0.11553445205849026</v>
      </c>
    </row>
    <row r="70" spans="1:6" ht="20.25" customHeight="1">
      <c r="A70" s="235">
        <v>5</v>
      </c>
      <c r="B70" s="236" t="s">
        <v>589</v>
      </c>
      <c r="C70" s="239">
        <v>230</v>
      </c>
      <c r="D70" s="239">
        <v>246</v>
      </c>
      <c r="E70" s="239">
        <f t="shared" si="8"/>
        <v>16</v>
      </c>
      <c r="F70" s="238">
        <f t="shared" si="9"/>
        <v>0.06956521739130435</v>
      </c>
    </row>
    <row r="71" spans="1:6" ht="20.25" customHeight="1">
      <c r="A71" s="235">
        <v>6</v>
      </c>
      <c r="B71" s="236" t="s">
        <v>588</v>
      </c>
      <c r="C71" s="239">
        <v>1220</v>
      </c>
      <c r="D71" s="239">
        <v>1266</v>
      </c>
      <c r="E71" s="239">
        <f t="shared" si="8"/>
        <v>46</v>
      </c>
      <c r="F71" s="238">
        <f t="shared" si="9"/>
        <v>0.03770491803278689</v>
      </c>
    </row>
    <row r="72" spans="1:6" ht="20.25" customHeight="1">
      <c r="A72" s="235">
        <v>7</v>
      </c>
      <c r="B72" s="236" t="s">
        <v>654</v>
      </c>
      <c r="C72" s="239">
        <v>968</v>
      </c>
      <c r="D72" s="239">
        <v>1236</v>
      </c>
      <c r="E72" s="239">
        <f t="shared" si="8"/>
        <v>268</v>
      </c>
      <c r="F72" s="238">
        <f t="shared" si="9"/>
        <v>0.2768595041322314</v>
      </c>
    </row>
    <row r="73" spans="1:6" ht="20.25" customHeight="1">
      <c r="A73" s="235">
        <v>8</v>
      </c>
      <c r="B73" s="236" t="s">
        <v>655</v>
      </c>
      <c r="C73" s="239">
        <v>84</v>
      </c>
      <c r="D73" s="239">
        <v>237</v>
      </c>
      <c r="E73" s="239">
        <f t="shared" si="8"/>
        <v>153</v>
      </c>
      <c r="F73" s="238">
        <f t="shared" si="9"/>
        <v>1.8214285714285714</v>
      </c>
    </row>
    <row r="74" spans="1:6" ht="20.25" customHeight="1">
      <c r="A74" s="235">
        <v>9</v>
      </c>
      <c r="B74" s="236" t="s">
        <v>656</v>
      </c>
      <c r="C74" s="239">
        <v>19</v>
      </c>
      <c r="D74" s="239">
        <v>254</v>
      </c>
      <c r="E74" s="239">
        <f t="shared" si="8"/>
        <v>235</v>
      </c>
      <c r="F74" s="238">
        <f t="shared" si="9"/>
        <v>12.368421052631579</v>
      </c>
    </row>
    <row r="75" spans="1:6" s="240" customFormat="1" ht="20.25" customHeight="1">
      <c r="A75" s="241"/>
      <c r="B75" s="242" t="s">
        <v>657</v>
      </c>
      <c r="C75" s="243">
        <f>+C66+C68</f>
        <v>10299476</v>
      </c>
      <c r="D75" s="243">
        <f>+D66+D68</f>
        <v>12038726</v>
      </c>
      <c r="E75" s="243">
        <f t="shared" si="8"/>
        <v>1739250</v>
      </c>
      <c r="F75" s="244">
        <f t="shared" si="9"/>
        <v>0.16886781424608396</v>
      </c>
    </row>
    <row r="76" spans="1:6" s="240" customFormat="1" ht="20.25" customHeight="1">
      <c r="A76" s="241"/>
      <c r="B76" s="242" t="s">
        <v>658</v>
      </c>
      <c r="C76" s="243">
        <f>+C67+C69</f>
        <v>2664649</v>
      </c>
      <c r="D76" s="243">
        <f>+D67+D69</f>
        <v>2529634</v>
      </c>
      <c r="E76" s="243">
        <f t="shared" si="8"/>
        <v>-135015</v>
      </c>
      <c r="F76" s="244">
        <f t="shared" si="9"/>
        <v>-0.050668962403678686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398</v>
      </c>
      <c r="B78" s="231" t="s">
        <v>663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650</v>
      </c>
      <c r="C79" s="237">
        <v>504399</v>
      </c>
      <c r="D79" s="237">
        <v>739026</v>
      </c>
      <c r="E79" s="237">
        <f aca="true" t="shared" si="10" ref="E79:E89">D79-C79</f>
        <v>234627</v>
      </c>
      <c r="F79" s="238">
        <f aca="true" t="shared" si="11" ref="F79:F89">IF(C79=0,0,E79/C79)</f>
        <v>0.46516150904343584</v>
      </c>
    </row>
    <row r="80" spans="1:6" ht="20.25" customHeight="1">
      <c r="A80" s="235">
        <v>2</v>
      </c>
      <c r="B80" s="236" t="s">
        <v>651</v>
      </c>
      <c r="C80" s="237">
        <v>154184</v>
      </c>
      <c r="D80" s="237">
        <v>164228</v>
      </c>
      <c r="E80" s="237">
        <f t="shared" si="10"/>
        <v>10044</v>
      </c>
      <c r="F80" s="238">
        <f t="shared" si="11"/>
        <v>0.06514294609038551</v>
      </c>
    </row>
    <row r="81" spans="1:6" ht="20.25" customHeight="1">
      <c r="A81" s="235">
        <v>3</v>
      </c>
      <c r="B81" s="236" t="s">
        <v>652</v>
      </c>
      <c r="C81" s="237">
        <v>43776</v>
      </c>
      <c r="D81" s="237">
        <v>185056</v>
      </c>
      <c r="E81" s="237">
        <f t="shared" si="10"/>
        <v>141280</v>
      </c>
      <c r="F81" s="238">
        <f t="shared" si="11"/>
        <v>3.2273391812865495</v>
      </c>
    </row>
    <row r="82" spans="1:6" ht="20.25" customHeight="1">
      <c r="A82" s="235">
        <v>4</v>
      </c>
      <c r="B82" s="236" t="s">
        <v>653</v>
      </c>
      <c r="C82" s="237">
        <v>14499</v>
      </c>
      <c r="D82" s="237">
        <v>98123</v>
      </c>
      <c r="E82" s="237">
        <f t="shared" si="10"/>
        <v>83624</v>
      </c>
      <c r="F82" s="238">
        <f t="shared" si="11"/>
        <v>5.767570177253604</v>
      </c>
    </row>
    <row r="83" spans="1:6" ht="20.25" customHeight="1">
      <c r="A83" s="235">
        <v>5</v>
      </c>
      <c r="B83" s="236" t="s">
        <v>589</v>
      </c>
      <c r="C83" s="239">
        <v>7</v>
      </c>
      <c r="D83" s="239">
        <v>20</v>
      </c>
      <c r="E83" s="239">
        <f t="shared" si="10"/>
        <v>13</v>
      </c>
      <c r="F83" s="238">
        <f t="shared" si="11"/>
        <v>1.8571428571428572</v>
      </c>
    </row>
    <row r="84" spans="1:6" ht="20.25" customHeight="1">
      <c r="A84" s="235">
        <v>6</v>
      </c>
      <c r="B84" s="236" t="s">
        <v>588</v>
      </c>
      <c r="C84" s="239">
        <v>62</v>
      </c>
      <c r="D84" s="239">
        <v>106</v>
      </c>
      <c r="E84" s="239">
        <f t="shared" si="10"/>
        <v>44</v>
      </c>
      <c r="F84" s="238">
        <f t="shared" si="11"/>
        <v>0.7096774193548387</v>
      </c>
    </row>
    <row r="85" spans="1:6" ht="20.25" customHeight="1">
      <c r="A85" s="235">
        <v>7</v>
      </c>
      <c r="B85" s="236" t="s">
        <v>654</v>
      </c>
      <c r="C85" s="239">
        <v>25</v>
      </c>
      <c r="D85" s="239">
        <v>96</v>
      </c>
      <c r="E85" s="239">
        <f t="shared" si="10"/>
        <v>71</v>
      </c>
      <c r="F85" s="238">
        <f t="shared" si="11"/>
        <v>2.84</v>
      </c>
    </row>
    <row r="86" spans="1:6" ht="20.25" customHeight="1">
      <c r="A86" s="235">
        <v>8</v>
      </c>
      <c r="B86" s="236" t="s">
        <v>655</v>
      </c>
      <c r="C86" s="239">
        <v>2</v>
      </c>
      <c r="D86" s="239">
        <v>20</v>
      </c>
      <c r="E86" s="239">
        <f t="shared" si="10"/>
        <v>18</v>
      </c>
      <c r="F86" s="238">
        <f t="shared" si="11"/>
        <v>9</v>
      </c>
    </row>
    <row r="87" spans="1:6" ht="20.25" customHeight="1">
      <c r="A87" s="235">
        <v>9</v>
      </c>
      <c r="B87" s="236" t="s">
        <v>656</v>
      </c>
      <c r="C87" s="239">
        <v>0</v>
      </c>
      <c r="D87" s="239">
        <v>22</v>
      </c>
      <c r="E87" s="239">
        <f t="shared" si="10"/>
        <v>22</v>
      </c>
      <c r="F87" s="238">
        <f t="shared" si="11"/>
        <v>0</v>
      </c>
    </row>
    <row r="88" spans="1:6" s="240" customFormat="1" ht="20.25" customHeight="1">
      <c r="A88" s="241"/>
      <c r="B88" s="242" t="s">
        <v>657</v>
      </c>
      <c r="C88" s="243">
        <f>+C79+C81</f>
        <v>548175</v>
      </c>
      <c r="D88" s="243">
        <f>+D79+D81</f>
        <v>924082</v>
      </c>
      <c r="E88" s="243">
        <f t="shared" si="10"/>
        <v>375907</v>
      </c>
      <c r="F88" s="244">
        <f t="shared" si="11"/>
        <v>0.6857426916586856</v>
      </c>
    </row>
    <row r="89" spans="1:6" s="240" customFormat="1" ht="20.25" customHeight="1">
      <c r="A89" s="241"/>
      <c r="B89" s="242" t="s">
        <v>658</v>
      </c>
      <c r="C89" s="243">
        <f>+C80+C82</f>
        <v>168683</v>
      </c>
      <c r="D89" s="243">
        <f>+D80+D82</f>
        <v>262351</v>
      </c>
      <c r="E89" s="243">
        <f t="shared" si="10"/>
        <v>93668</v>
      </c>
      <c r="F89" s="244">
        <f t="shared" si="11"/>
        <v>0.5552901003657749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400</v>
      </c>
      <c r="B91" s="231" t="s">
        <v>664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650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651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652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653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589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588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654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655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656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657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658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403</v>
      </c>
      <c r="B104" s="231" t="s">
        <v>665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650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651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652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653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589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588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654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655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656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657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658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406</v>
      </c>
      <c r="B117" s="231" t="s">
        <v>666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650</v>
      </c>
      <c r="C118" s="237">
        <v>2386283</v>
      </c>
      <c r="D118" s="237">
        <v>2841686</v>
      </c>
      <c r="E118" s="237">
        <f aca="true" t="shared" si="16" ref="E118:E128">D118-C118</f>
        <v>455403</v>
      </c>
      <c r="F118" s="238">
        <f aca="true" t="shared" si="17" ref="F118:F128">IF(C118=0,0,E118/C118)</f>
        <v>0.19084199149891273</v>
      </c>
    </row>
    <row r="119" spans="1:6" ht="20.25" customHeight="1">
      <c r="A119" s="235">
        <v>2</v>
      </c>
      <c r="B119" s="236" t="s">
        <v>651</v>
      </c>
      <c r="C119" s="237">
        <v>595412</v>
      </c>
      <c r="D119" s="237">
        <v>576900</v>
      </c>
      <c r="E119" s="237">
        <f t="shared" si="16"/>
        <v>-18512</v>
      </c>
      <c r="F119" s="238">
        <f t="shared" si="17"/>
        <v>-0.031091076431109886</v>
      </c>
    </row>
    <row r="120" spans="1:6" ht="20.25" customHeight="1">
      <c r="A120" s="235">
        <v>3</v>
      </c>
      <c r="B120" s="236" t="s">
        <v>652</v>
      </c>
      <c r="C120" s="237">
        <v>988637</v>
      </c>
      <c r="D120" s="237">
        <v>1451799</v>
      </c>
      <c r="E120" s="237">
        <f t="shared" si="16"/>
        <v>463162</v>
      </c>
      <c r="F120" s="238">
        <f t="shared" si="17"/>
        <v>0.46848539959560487</v>
      </c>
    </row>
    <row r="121" spans="1:6" ht="20.25" customHeight="1">
      <c r="A121" s="235">
        <v>4</v>
      </c>
      <c r="B121" s="236" t="s">
        <v>653</v>
      </c>
      <c r="C121" s="237">
        <v>296863</v>
      </c>
      <c r="D121" s="237">
        <v>327734</v>
      </c>
      <c r="E121" s="237">
        <f t="shared" si="16"/>
        <v>30871</v>
      </c>
      <c r="F121" s="238">
        <f t="shared" si="17"/>
        <v>0.10399072973054911</v>
      </c>
    </row>
    <row r="122" spans="1:6" ht="20.25" customHeight="1">
      <c r="A122" s="235">
        <v>5</v>
      </c>
      <c r="B122" s="236" t="s">
        <v>589</v>
      </c>
      <c r="C122" s="239">
        <v>75</v>
      </c>
      <c r="D122" s="239">
        <v>79</v>
      </c>
      <c r="E122" s="239">
        <f t="shared" si="16"/>
        <v>4</v>
      </c>
      <c r="F122" s="238">
        <f t="shared" si="17"/>
        <v>0.05333333333333334</v>
      </c>
    </row>
    <row r="123" spans="1:6" ht="20.25" customHeight="1">
      <c r="A123" s="235">
        <v>6</v>
      </c>
      <c r="B123" s="236" t="s">
        <v>588</v>
      </c>
      <c r="C123" s="239">
        <v>383</v>
      </c>
      <c r="D123" s="239">
        <v>410</v>
      </c>
      <c r="E123" s="239">
        <f t="shared" si="16"/>
        <v>27</v>
      </c>
      <c r="F123" s="238">
        <f t="shared" si="17"/>
        <v>0.07049608355091384</v>
      </c>
    </row>
    <row r="124" spans="1:6" ht="20.25" customHeight="1">
      <c r="A124" s="235">
        <v>7</v>
      </c>
      <c r="B124" s="236" t="s">
        <v>654</v>
      </c>
      <c r="C124" s="239">
        <v>523</v>
      </c>
      <c r="D124" s="239">
        <v>708</v>
      </c>
      <c r="E124" s="239">
        <f t="shared" si="16"/>
        <v>185</v>
      </c>
      <c r="F124" s="238">
        <f t="shared" si="17"/>
        <v>0.35372848948374763</v>
      </c>
    </row>
    <row r="125" spans="1:6" ht="20.25" customHeight="1">
      <c r="A125" s="235">
        <v>8</v>
      </c>
      <c r="B125" s="236" t="s">
        <v>655</v>
      </c>
      <c r="C125" s="239">
        <v>46</v>
      </c>
      <c r="D125" s="239">
        <v>75</v>
      </c>
      <c r="E125" s="239">
        <f t="shared" si="16"/>
        <v>29</v>
      </c>
      <c r="F125" s="238">
        <f t="shared" si="17"/>
        <v>0.6304347826086957</v>
      </c>
    </row>
    <row r="126" spans="1:6" ht="20.25" customHeight="1">
      <c r="A126" s="235">
        <v>9</v>
      </c>
      <c r="B126" s="236" t="s">
        <v>656</v>
      </c>
      <c r="C126" s="239">
        <v>10</v>
      </c>
      <c r="D126" s="239">
        <v>83</v>
      </c>
      <c r="E126" s="239">
        <f t="shared" si="16"/>
        <v>73</v>
      </c>
      <c r="F126" s="238">
        <f t="shared" si="17"/>
        <v>7.3</v>
      </c>
    </row>
    <row r="127" spans="1:6" s="240" customFormat="1" ht="20.25" customHeight="1">
      <c r="A127" s="241"/>
      <c r="B127" s="242" t="s">
        <v>657</v>
      </c>
      <c r="C127" s="243">
        <f>+C118+C120</f>
        <v>3374920</v>
      </c>
      <c r="D127" s="243">
        <f>+D118+D120</f>
        <v>4293485</v>
      </c>
      <c r="E127" s="243">
        <f t="shared" si="16"/>
        <v>918565</v>
      </c>
      <c r="F127" s="244">
        <f t="shared" si="17"/>
        <v>0.2721738589359155</v>
      </c>
    </row>
    <row r="128" spans="1:6" s="240" customFormat="1" ht="20.25" customHeight="1">
      <c r="A128" s="241"/>
      <c r="B128" s="242" t="s">
        <v>658</v>
      </c>
      <c r="C128" s="243">
        <f>+C119+C121</f>
        <v>892275</v>
      </c>
      <c r="D128" s="243">
        <f>+D119+D121</f>
        <v>904634</v>
      </c>
      <c r="E128" s="243">
        <f t="shared" si="16"/>
        <v>12359</v>
      </c>
      <c r="F128" s="244">
        <f t="shared" si="17"/>
        <v>0.013851110924322658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415</v>
      </c>
      <c r="B130" s="231" t="s">
        <v>667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650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651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652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653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589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588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654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655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656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657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658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434</v>
      </c>
      <c r="B143" s="231" t="s">
        <v>668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650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651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652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653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589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588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654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655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656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657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658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669</v>
      </c>
      <c r="B156" s="231" t="s">
        <v>670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650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651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652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653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589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588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654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655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656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657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658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671</v>
      </c>
      <c r="B169" s="231" t="s">
        <v>672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650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651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652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653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589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588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654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655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656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657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658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673</v>
      </c>
      <c r="B182" s="231" t="s">
        <v>674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650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651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652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653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589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588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654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655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656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657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658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260</v>
      </c>
      <c r="B195" s="689" t="s">
        <v>675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676</v>
      </c>
      <c r="C198" s="243">
        <f aca="true" t="shared" si="28" ref="C198:D206">+C183+C170+C157+C144+C131+C118+C105+C92+C79+C66+C53+C40+C27+C14</f>
        <v>13700404</v>
      </c>
      <c r="D198" s="243">
        <f t="shared" si="28"/>
        <v>16239151</v>
      </c>
      <c r="E198" s="243">
        <f aca="true" t="shared" si="29" ref="E198:E208">D198-C198</f>
        <v>2538747</v>
      </c>
      <c r="F198" s="251">
        <f aca="true" t="shared" si="30" ref="F198:F208">IF(C198=0,0,E198/C198)</f>
        <v>0.1853045355450832</v>
      </c>
    </row>
    <row r="199" spans="1:6" ht="20.25" customHeight="1">
      <c r="A199" s="249"/>
      <c r="B199" s="250" t="s">
        <v>677</v>
      </c>
      <c r="C199" s="243">
        <f t="shared" si="28"/>
        <v>3471163</v>
      </c>
      <c r="D199" s="243">
        <f t="shared" si="28"/>
        <v>3402467</v>
      </c>
      <c r="E199" s="243">
        <f t="shared" si="29"/>
        <v>-68696</v>
      </c>
      <c r="F199" s="251">
        <f t="shared" si="30"/>
        <v>-0.01979048520625508</v>
      </c>
    </row>
    <row r="200" spans="1:6" ht="20.25" customHeight="1">
      <c r="A200" s="249"/>
      <c r="B200" s="250" t="s">
        <v>678</v>
      </c>
      <c r="C200" s="243">
        <f t="shared" si="28"/>
        <v>7040010</v>
      </c>
      <c r="D200" s="243">
        <f t="shared" si="28"/>
        <v>8501590</v>
      </c>
      <c r="E200" s="243">
        <f t="shared" si="29"/>
        <v>1461580</v>
      </c>
      <c r="F200" s="251">
        <f t="shared" si="30"/>
        <v>0.20761050055326627</v>
      </c>
    </row>
    <row r="201" spans="1:6" ht="20.25" customHeight="1">
      <c r="A201" s="249"/>
      <c r="B201" s="250" t="s">
        <v>679</v>
      </c>
      <c r="C201" s="243">
        <f t="shared" si="28"/>
        <v>1722859</v>
      </c>
      <c r="D201" s="243">
        <f t="shared" si="28"/>
        <v>1738427</v>
      </c>
      <c r="E201" s="243">
        <f t="shared" si="29"/>
        <v>15568</v>
      </c>
      <c r="F201" s="251">
        <f t="shared" si="30"/>
        <v>0.009036142830028458</v>
      </c>
    </row>
    <row r="202" spans="1:6" ht="20.25" customHeight="1">
      <c r="A202" s="249"/>
      <c r="B202" s="250" t="s">
        <v>680</v>
      </c>
      <c r="C202" s="252">
        <f t="shared" si="28"/>
        <v>401</v>
      </c>
      <c r="D202" s="252">
        <f t="shared" si="28"/>
        <v>430</v>
      </c>
      <c r="E202" s="252">
        <f t="shared" si="29"/>
        <v>29</v>
      </c>
      <c r="F202" s="251">
        <f t="shared" si="30"/>
        <v>0.07231920199501247</v>
      </c>
    </row>
    <row r="203" spans="1:6" ht="20.25" customHeight="1">
      <c r="A203" s="249"/>
      <c r="B203" s="250" t="s">
        <v>681</v>
      </c>
      <c r="C203" s="252">
        <f t="shared" si="28"/>
        <v>2077</v>
      </c>
      <c r="D203" s="252">
        <f t="shared" si="28"/>
        <v>2283</v>
      </c>
      <c r="E203" s="252">
        <f t="shared" si="29"/>
        <v>206</v>
      </c>
      <c r="F203" s="251">
        <f t="shared" si="30"/>
        <v>0.0991815117958594</v>
      </c>
    </row>
    <row r="204" spans="1:6" ht="39.75" customHeight="1">
      <c r="A204" s="249"/>
      <c r="B204" s="250" t="s">
        <v>682</v>
      </c>
      <c r="C204" s="252">
        <f t="shared" si="28"/>
        <v>5062</v>
      </c>
      <c r="D204" s="252">
        <f t="shared" si="28"/>
        <v>6256</v>
      </c>
      <c r="E204" s="252">
        <f t="shared" si="29"/>
        <v>1194</v>
      </c>
      <c r="F204" s="251">
        <f t="shared" si="30"/>
        <v>0.23587514816278152</v>
      </c>
    </row>
    <row r="205" spans="1:6" ht="39.75" customHeight="1">
      <c r="A205" s="249"/>
      <c r="B205" s="250" t="s">
        <v>683</v>
      </c>
      <c r="C205" s="252">
        <f t="shared" si="28"/>
        <v>442</v>
      </c>
      <c r="D205" s="252">
        <f t="shared" si="28"/>
        <v>465</v>
      </c>
      <c r="E205" s="252">
        <f t="shared" si="29"/>
        <v>23</v>
      </c>
      <c r="F205" s="251">
        <f t="shared" si="30"/>
        <v>0.05203619909502263</v>
      </c>
    </row>
    <row r="206" spans="1:6" ht="39.75" customHeight="1">
      <c r="A206" s="249"/>
      <c r="B206" s="250" t="s">
        <v>684</v>
      </c>
      <c r="C206" s="252">
        <f t="shared" si="28"/>
        <v>96</v>
      </c>
      <c r="D206" s="252">
        <f t="shared" si="28"/>
        <v>445</v>
      </c>
      <c r="E206" s="252">
        <f t="shared" si="29"/>
        <v>349</v>
      </c>
      <c r="F206" s="251">
        <f t="shared" si="30"/>
        <v>3.6354166666666665</v>
      </c>
    </row>
    <row r="207" spans="1:6" ht="20.25" customHeight="1">
      <c r="A207" s="249"/>
      <c r="B207" s="242" t="s">
        <v>685</v>
      </c>
      <c r="C207" s="243">
        <f>+C198+C200</f>
        <v>20740414</v>
      </c>
      <c r="D207" s="243">
        <f>+D198+D200</f>
        <v>24740741</v>
      </c>
      <c r="E207" s="243">
        <f t="shared" si="29"/>
        <v>4000327</v>
      </c>
      <c r="F207" s="251">
        <f t="shared" si="30"/>
        <v>0.19287594741358585</v>
      </c>
    </row>
    <row r="208" spans="1:6" ht="20.25" customHeight="1">
      <c r="A208" s="249"/>
      <c r="B208" s="242" t="s">
        <v>686</v>
      </c>
      <c r="C208" s="243">
        <f>+C199+C201</f>
        <v>5194022</v>
      </c>
      <c r="D208" s="243">
        <f>+D199+D201</f>
        <v>5140894</v>
      </c>
      <c r="E208" s="243">
        <f t="shared" si="29"/>
        <v>-53128</v>
      </c>
      <c r="F208" s="251">
        <f t="shared" si="30"/>
        <v>-0.010228682127260916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FILING&amp;RGREENWICH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216</v>
      </c>
      <c r="B2" s="687"/>
      <c r="C2" s="687"/>
      <c r="D2" s="687"/>
      <c r="E2" s="687"/>
      <c r="F2" s="687"/>
    </row>
    <row r="3" spans="1:6" ht="20.25" customHeight="1">
      <c r="A3" s="687" t="s">
        <v>217</v>
      </c>
      <c r="B3" s="687"/>
      <c r="C3" s="687"/>
      <c r="D3" s="687"/>
      <c r="E3" s="687"/>
      <c r="F3" s="687"/>
    </row>
    <row r="4" spans="1:6" ht="20.25" customHeight="1">
      <c r="A4" s="687" t="s">
        <v>218</v>
      </c>
      <c r="B4" s="687"/>
      <c r="C4" s="687"/>
      <c r="D4" s="687"/>
      <c r="E4" s="687"/>
      <c r="F4" s="687"/>
    </row>
    <row r="5" spans="1:6" ht="20.25" customHeight="1">
      <c r="A5" s="687" t="s">
        <v>687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646</v>
      </c>
      <c r="D8" s="223" t="s">
        <v>647</v>
      </c>
      <c r="E8" s="223" t="s">
        <v>648</v>
      </c>
      <c r="F8" s="224" t="s">
        <v>324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228</v>
      </c>
      <c r="B10" s="689" t="s">
        <v>331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326</v>
      </c>
      <c r="B13" s="261" t="s">
        <v>688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650</v>
      </c>
      <c r="C14" s="237">
        <v>172699</v>
      </c>
      <c r="D14" s="237">
        <v>15015</v>
      </c>
      <c r="E14" s="237">
        <f aca="true" t="shared" si="0" ref="E14:E24">D14-C14</f>
        <v>-157684</v>
      </c>
      <c r="F14" s="238">
        <f aca="true" t="shared" si="1" ref="F14:F24">IF(C14=0,0,E14/C14)</f>
        <v>-0.9130568214060302</v>
      </c>
    </row>
    <row r="15" spans="1:6" ht="20.25" customHeight="1">
      <c r="A15" s="235">
        <v>2</v>
      </c>
      <c r="B15" s="236" t="s">
        <v>651</v>
      </c>
      <c r="C15" s="237">
        <v>55977</v>
      </c>
      <c r="D15" s="237">
        <v>13824</v>
      </c>
      <c r="E15" s="237">
        <f t="shared" si="0"/>
        <v>-42153</v>
      </c>
      <c r="F15" s="238">
        <f t="shared" si="1"/>
        <v>-0.753041427729246</v>
      </c>
    </row>
    <row r="16" spans="1:6" ht="20.25" customHeight="1">
      <c r="A16" s="235">
        <v>3</v>
      </c>
      <c r="B16" s="236" t="s">
        <v>652</v>
      </c>
      <c r="C16" s="237">
        <v>312693</v>
      </c>
      <c r="D16" s="237">
        <v>74814</v>
      </c>
      <c r="E16" s="237">
        <f t="shared" si="0"/>
        <v>-237879</v>
      </c>
      <c r="F16" s="238">
        <f t="shared" si="1"/>
        <v>-0.7607429651447266</v>
      </c>
    </row>
    <row r="17" spans="1:6" ht="20.25" customHeight="1">
      <c r="A17" s="235">
        <v>4</v>
      </c>
      <c r="B17" s="236" t="s">
        <v>653</v>
      </c>
      <c r="C17" s="237">
        <v>41666</v>
      </c>
      <c r="D17" s="237">
        <v>14123</v>
      </c>
      <c r="E17" s="237">
        <f t="shared" si="0"/>
        <v>-27543</v>
      </c>
      <c r="F17" s="238">
        <f t="shared" si="1"/>
        <v>-0.6610425766812269</v>
      </c>
    </row>
    <row r="18" spans="1:6" ht="20.25" customHeight="1">
      <c r="A18" s="235">
        <v>5</v>
      </c>
      <c r="B18" s="236" t="s">
        <v>589</v>
      </c>
      <c r="C18" s="239">
        <v>10</v>
      </c>
      <c r="D18" s="239">
        <v>1</v>
      </c>
      <c r="E18" s="239">
        <f t="shared" si="0"/>
        <v>-9</v>
      </c>
      <c r="F18" s="238">
        <f t="shared" si="1"/>
        <v>-0.9</v>
      </c>
    </row>
    <row r="19" spans="1:6" ht="20.25" customHeight="1">
      <c r="A19" s="235">
        <v>6</v>
      </c>
      <c r="B19" s="236" t="s">
        <v>588</v>
      </c>
      <c r="C19" s="239">
        <v>25</v>
      </c>
      <c r="D19" s="239">
        <v>2</v>
      </c>
      <c r="E19" s="239">
        <f t="shared" si="0"/>
        <v>-23</v>
      </c>
      <c r="F19" s="238">
        <f t="shared" si="1"/>
        <v>-0.92</v>
      </c>
    </row>
    <row r="20" spans="1:6" ht="20.25" customHeight="1">
      <c r="A20" s="235">
        <v>7</v>
      </c>
      <c r="B20" s="236" t="s">
        <v>654</v>
      </c>
      <c r="C20" s="239">
        <v>209</v>
      </c>
      <c r="D20" s="239">
        <v>26</v>
      </c>
      <c r="E20" s="239">
        <f t="shared" si="0"/>
        <v>-183</v>
      </c>
      <c r="F20" s="238">
        <f t="shared" si="1"/>
        <v>-0.8755980861244019</v>
      </c>
    </row>
    <row r="21" spans="1:6" ht="20.25" customHeight="1">
      <c r="A21" s="235">
        <v>8</v>
      </c>
      <c r="B21" s="236" t="s">
        <v>655</v>
      </c>
      <c r="C21" s="239">
        <v>107</v>
      </c>
      <c r="D21" s="239">
        <v>26</v>
      </c>
      <c r="E21" s="239">
        <f t="shared" si="0"/>
        <v>-81</v>
      </c>
      <c r="F21" s="238">
        <f t="shared" si="1"/>
        <v>-0.7570093457943925</v>
      </c>
    </row>
    <row r="22" spans="1:6" ht="20.25" customHeight="1">
      <c r="A22" s="235">
        <v>9</v>
      </c>
      <c r="B22" s="236" t="s">
        <v>656</v>
      </c>
      <c r="C22" s="239">
        <v>9</v>
      </c>
      <c r="D22" s="239">
        <v>1</v>
      </c>
      <c r="E22" s="239">
        <f t="shared" si="0"/>
        <v>-8</v>
      </c>
      <c r="F22" s="238">
        <f t="shared" si="1"/>
        <v>-0.8888888888888888</v>
      </c>
    </row>
    <row r="23" spans="1:6" s="240" customFormat="1" ht="39.75" customHeight="1">
      <c r="A23" s="245"/>
      <c r="B23" s="242" t="s">
        <v>657</v>
      </c>
      <c r="C23" s="243">
        <f>+C14+C16</f>
        <v>485392</v>
      </c>
      <c r="D23" s="243">
        <f>+D14+D16</f>
        <v>89829</v>
      </c>
      <c r="E23" s="243">
        <f t="shared" si="0"/>
        <v>-395563</v>
      </c>
      <c r="F23" s="244">
        <f t="shared" si="1"/>
        <v>-0.8149351452022283</v>
      </c>
    </row>
    <row r="24" spans="1:6" s="240" customFormat="1" ht="39.75" customHeight="1">
      <c r="A24" s="245"/>
      <c r="B24" s="242" t="s">
        <v>686</v>
      </c>
      <c r="C24" s="243">
        <f>+C15+C17</f>
        <v>97643</v>
      </c>
      <c r="D24" s="243">
        <f>+D15+D17</f>
        <v>27947</v>
      </c>
      <c r="E24" s="243">
        <f t="shared" si="0"/>
        <v>-69696</v>
      </c>
      <c r="F24" s="244">
        <f t="shared" si="1"/>
        <v>-0.7137838861976793</v>
      </c>
    </row>
    <row r="25" spans="1:6" ht="42" customHeight="1">
      <c r="A25" s="227" t="s">
        <v>340</v>
      </c>
      <c r="B25" s="261" t="s">
        <v>689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650</v>
      </c>
      <c r="C26" s="237">
        <v>531134</v>
      </c>
      <c r="D26" s="237">
        <v>1341496</v>
      </c>
      <c r="E26" s="237">
        <f aca="true" t="shared" si="2" ref="E26:E36">D26-C26</f>
        <v>810362</v>
      </c>
      <c r="F26" s="238">
        <f aca="true" t="shared" si="3" ref="F26:F36">IF(C26=0,0,E26/C26)</f>
        <v>1.5257204396630606</v>
      </c>
    </row>
    <row r="27" spans="1:6" ht="20.25" customHeight="1">
      <c r="A27" s="235">
        <v>2</v>
      </c>
      <c r="B27" s="236" t="s">
        <v>651</v>
      </c>
      <c r="C27" s="237">
        <v>102424</v>
      </c>
      <c r="D27" s="237">
        <v>316928</v>
      </c>
      <c r="E27" s="237">
        <f t="shared" si="2"/>
        <v>214504</v>
      </c>
      <c r="F27" s="238">
        <f t="shared" si="3"/>
        <v>2.09427477934859</v>
      </c>
    </row>
    <row r="28" spans="1:6" ht="20.25" customHeight="1">
      <c r="A28" s="235">
        <v>3</v>
      </c>
      <c r="B28" s="236" t="s">
        <v>652</v>
      </c>
      <c r="C28" s="237">
        <v>3035236</v>
      </c>
      <c r="D28" s="237">
        <v>5697915</v>
      </c>
      <c r="E28" s="237">
        <f t="shared" si="2"/>
        <v>2662679</v>
      </c>
      <c r="F28" s="238">
        <f t="shared" si="3"/>
        <v>0.8772560024986525</v>
      </c>
    </row>
    <row r="29" spans="1:6" ht="20.25" customHeight="1">
      <c r="A29" s="235">
        <v>4</v>
      </c>
      <c r="B29" s="236" t="s">
        <v>653</v>
      </c>
      <c r="C29" s="237">
        <v>812803</v>
      </c>
      <c r="D29" s="237">
        <v>1320139</v>
      </c>
      <c r="E29" s="237">
        <f t="shared" si="2"/>
        <v>507336</v>
      </c>
      <c r="F29" s="238">
        <f t="shared" si="3"/>
        <v>0.6241807670493342</v>
      </c>
    </row>
    <row r="30" spans="1:6" ht="20.25" customHeight="1">
      <c r="A30" s="235">
        <v>5</v>
      </c>
      <c r="B30" s="236" t="s">
        <v>589</v>
      </c>
      <c r="C30" s="239">
        <v>33</v>
      </c>
      <c r="D30" s="239">
        <v>83</v>
      </c>
      <c r="E30" s="239">
        <f t="shared" si="2"/>
        <v>50</v>
      </c>
      <c r="F30" s="238">
        <f t="shared" si="3"/>
        <v>1.5151515151515151</v>
      </c>
    </row>
    <row r="31" spans="1:6" ht="20.25" customHeight="1">
      <c r="A31" s="235">
        <v>6</v>
      </c>
      <c r="B31" s="236" t="s">
        <v>588</v>
      </c>
      <c r="C31" s="239">
        <v>75</v>
      </c>
      <c r="D31" s="239">
        <v>228</v>
      </c>
      <c r="E31" s="239">
        <f t="shared" si="2"/>
        <v>153</v>
      </c>
      <c r="F31" s="238">
        <f t="shared" si="3"/>
        <v>2.04</v>
      </c>
    </row>
    <row r="32" spans="1:6" ht="20.25" customHeight="1">
      <c r="A32" s="235">
        <v>7</v>
      </c>
      <c r="B32" s="236" t="s">
        <v>654</v>
      </c>
      <c r="C32" s="239">
        <v>4321</v>
      </c>
      <c r="D32" s="239">
        <v>7259</v>
      </c>
      <c r="E32" s="239">
        <f t="shared" si="2"/>
        <v>2938</v>
      </c>
      <c r="F32" s="238">
        <f t="shared" si="3"/>
        <v>0.6799352001851423</v>
      </c>
    </row>
    <row r="33" spans="1:6" ht="20.25" customHeight="1">
      <c r="A33" s="235">
        <v>8</v>
      </c>
      <c r="B33" s="236" t="s">
        <v>655</v>
      </c>
      <c r="C33" s="239">
        <v>744</v>
      </c>
      <c r="D33" s="239">
        <v>1342</v>
      </c>
      <c r="E33" s="239">
        <f t="shared" si="2"/>
        <v>598</v>
      </c>
      <c r="F33" s="238">
        <f t="shared" si="3"/>
        <v>0.803763440860215</v>
      </c>
    </row>
    <row r="34" spans="1:6" ht="20.25" customHeight="1">
      <c r="A34" s="235">
        <v>9</v>
      </c>
      <c r="B34" s="236" t="s">
        <v>656</v>
      </c>
      <c r="C34" s="239">
        <v>55</v>
      </c>
      <c r="D34" s="239">
        <v>51</v>
      </c>
      <c r="E34" s="239">
        <f t="shared" si="2"/>
        <v>-4</v>
      </c>
      <c r="F34" s="238">
        <f t="shared" si="3"/>
        <v>-0.07272727272727272</v>
      </c>
    </row>
    <row r="35" spans="1:6" s="240" customFormat="1" ht="39.75" customHeight="1">
      <c r="A35" s="245"/>
      <c r="B35" s="242" t="s">
        <v>657</v>
      </c>
      <c r="C35" s="243">
        <f>+C26+C28</f>
        <v>3566370</v>
      </c>
      <c r="D35" s="243">
        <f>+D26+D28</f>
        <v>7039411</v>
      </c>
      <c r="E35" s="243">
        <f t="shared" si="2"/>
        <v>3473041</v>
      </c>
      <c r="F35" s="244">
        <f t="shared" si="3"/>
        <v>0.9738308139648999</v>
      </c>
    </row>
    <row r="36" spans="1:6" s="240" customFormat="1" ht="39.75" customHeight="1">
      <c r="A36" s="245"/>
      <c r="B36" s="242" t="s">
        <v>686</v>
      </c>
      <c r="C36" s="243">
        <f>+C27+C29</f>
        <v>915227</v>
      </c>
      <c r="D36" s="243">
        <f>+D27+D29</f>
        <v>1637067</v>
      </c>
      <c r="E36" s="243">
        <f t="shared" si="2"/>
        <v>721840</v>
      </c>
      <c r="F36" s="244">
        <f t="shared" si="3"/>
        <v>0.7887005081799379</v>
      </c>
    </row>
    <row r="37" spans="1:6" ht="42" customHeight="1">
      <c r="A37" s="227" t="s">
        <v>357</v>
      </c>
      <c r="B37" s="261" t="s">
        <v>690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650</v>
      </c>
      <c r="C38" s="237">
        <v>159514</v>
      </c>
      <c r="D38" s="237">
        <v>0</v>
      </c>
      <c r="E38" s="237">
        <f aca="true" t="shared" si="4" ref="E38:E48">D38-C38</f>
        <v>-159514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651</v>
      </c>
      <c r="C39" s="237">
        <v>37938</v>
      </c>
      <c r="D39" s="237">
        <v>0</v>
      </c>
      <c r="E39" s="237">
        <f t="shared" si="4"/>
        <v>-37938</v>
      </c>
      <c r="F39" s="238">
        <f t="shared" si="5"/>
        <v>-1</v>
      </c>
    </row>
    <row r="40" spans="1:6" ht="20.25" customHeight="1">
      <c r="A40" s="235">
        <v>3</v>
      </c>
      <c r="B40" s="236" t="s">
        <v>652</v>
      </c>
      <c r="C40" s="237">
        <v>1521834</v>
      </c>
      <c r="D40" s="237">
        <v>0</v>
      </c>
      <c r="E40" s="237">
        <f t="shared" si="4"/>
        <v>-1521834</v>
      </c>
      <c r="F40" s="238">
        <f t="shared" si="5"/>
        <v>-1</v>
      </c>
    </row>
    <row r="41" spans="1:6" ht="20.25" customHeight="1">
      <c r="A41" s="235">
        <v>4</v>
      </c>
      <c r="B41" s="236" t="s">
        <v>653</v>
      </c>
      <c r="C41" s="237">
        <v>313287</v>
      </c>
      <c r="D41" s="237">
        <v>0</v>
      </c>
      <c r="E41" s="237">
        <f t="shared" si="4"/>
        <v>-313287</v>
      </c>
      <c r="F41" s="238">
        <f t="shared" si="5"/>
        <v>-1</v>
      </c>
    </row>
    <row r="42" spans="1:6" ht="20.25" customHeight="1">
      <c r="A42" s="235">
        <v>5</v>
      </c>
      <c r="B42" s="236" t="s">
        <v>589</v>
      </c>
      <c r="C42" s="239">
        <v>12</v>
      </c>
      <c r="D42" s="239">
        <v>0</v>
      </c>
      <c r="E42" s="239">
        <f t="shared" si="4"/>
        <v>-12</v>
      </c>
      <c r="F42" s="238">
        <f t="shared" si="5"/>
        <v>-1</v>
      </c>
    </row>
    <row r="43" spans="1:6" ht="20.25" customHeight="1">
      <c r="A43" s="235">
        <v>6</v>
      </c>
      <c r="B43" s="236" t="s">
        <v>588</v>
      </c>
      <c r="C43" s="239">
        <v>22</v>
      </c>
      <c r="D43" s="239">
        <v>0</v>
      </c>
      <c r="E43" s="239">
        <f t="shared" si="4"/>
        <v>-22</v>
      </c>
      <c r="F43" s="238">
        <f t="shared" si="5"/>
        <v>-1</v>
      </c>
    </row>
    <row r="44" spans="1:6" ht="20.25" customHeight="1">
      <c r="A44" s="235">
        <v>7</v>
      </c>
      <c r="B44" s="236" t="s">
        <v>654</v>
      </c>
      <c r="C44" s="239">
        <v>1812</v>
      </c>
      <c r="D44" s="239">
        <v>0</v>
      </c>
      <c r="E44" s="239">
        <f t="shared" si="4"/>
        <v>-1812</v>
      </c>
      <c r="F44" s="238">
        <f t="shared" si="5"/>
        <v>-1</v>
      </c>
    </row>
    <row r="45" spans="1:6" ht="20.25" customHeight="1">
      <c r="A45" s="235">
        <v>8</v>
      </c>
      <c r="B45" s="236" t="s">
        <v>655</v>
      </c>
      <c r="C45" s="239">
        <v>270</v>
      </c>
      <c r="D45" s="239">
        <v>0</v>
      </c>
      <c r="E45" s="239">
        <f t="shared" si="4"/>
        <v>-270</v>
      </c>
      <c r="F45" s="238">
        <f t="shared" si="5"/>
        <v>-1</v>
      </c>
    </row>
    <row r="46" spans="1:6" ht="20.25" customHeight="1">
      <c r="A46" s="235">
        <v>9</v>
      </c>
      <c r="B46" s="236" t="s">
        <v>656</v>
      </c>
      <c r="C46" s="239">
        <v>20</v>
      </c>
      <c r="D46" s="239">
        <v>0</v>
      </c>
      <c r="E46" s="239">
        <f t="shared" si="4"/>
        <v>-20</v>
      </c>
      <c r="F46" s="238">
        <f t="shared" si="5"/>
        <v>-1</v>
      </c>
    </row>
    <row r="47" spans="1:6" s="240" customFormat="1" ht="39.75" customHeight="1">
      <c r="A47" s="245"/>
      <c r="B47" s="242" t="s">
        <v>657</v>
      </c>
      <c r="C47" s="243">
        <f>+C38+C40</f>
        <v>1681348</v>
      </c>
      <c r="D47" s="243">
        <f>+D38+D40</f>
        <v>0</v>
      </c>
      <c r="E47" s="243">
        <f t="shared" si="4"/>
        <v>-1681348</v>
      </c>
      <c r="F47" s="244">
        <f t="shared" si="5"/>
        <v>-1</v>
      </c>
    </row>
    <row r="48" spans="1:6" s="240" customFormat="1" ht="39.75" customHeight="1">
      <c r="A48" s="245"/>
      <c r="B48" s="242" t="s">
        <v>686</v>
      </c>
      <c r="C48" s="243">
        <f>+C39+C41</f>
        <v>351225</v>
      </c>
      <c r="D48" s="243">
        <f>+D39+D41</f>
        <v>0</v>
      </c>
      <c r="E48" s="243">
        <f t="shared" si="4"/>
        <v>-351225</v>
      </c>
      <c r="F48" s="244">
        <f t="shared" si="5"/>
        <v>-1</v>
      </c>
    </row>
    <row r="49" spans="1:6" ht="42" customHeight="1">
      <c r="A49" s="227" t="s">
        <v>387</v>
      </c>
      <c r="B49" s="261" t="s">
        <v>691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650</v>
      </c>
      <c r="C50" s="237">
        <v>40592</v>
      </c>
      <c r="D50" s="237">
        <v>83621</v>
      </c>
      <c r="E50" s="237">
        <f aca="true" t="shared" si="6" ref="E50:E60">D50-C50</f>
        <v>43029</v>
      </c>
      <c r="F50" s="238">
        <f aca="true" t="shared" si="7" ref="F50:F60">IF(C50=0,0,E50/C50)</f>
        <v>1.060036460386283</v>
      </c>
    </row>
    <row r="51" spans="1:6" ht="20.25" customHeight="1">
      <c r="A51" s="235">
        <v>2</v>
      </c>
      <c r="B51" s="236" t="s">
        <v>651</v>
      </c>
      <c r="C51" s="237">
        <v>1900</v>
      </c>
      <c r="D51" s="237">
        <v>2793</v>
      </c>
      <c r="E51" s="237">
        <f t="shared" si="6"/>
        <v>893</v>
      </c>
      <c r="F51" s="238">
        <f t="shared" si="7"/>
        <v>0.47</v>
      </c>
    </row>
    <row r="52" spans="1:6" ht="20.25" customHeight="1">
      <c r="A52" s="235">
        <v>3</v>
      </c>
      <c r="B52" s="236" t="s">
        <v>652</v>
      </c>
      <c r="C52" s="237">
        <v>256462</v>
      </c>
      <c r="D52" s="237">
        <v>325616</v>
      </c>
      <c r="E52" s="237">
        <f t="shared" si="6"/>
        <v>69154</v>
      </c>
      <c r="F52" s="238">
        <f t="shared" si="7"/>
        <v>0.2696461853997863</v>
      </c>
    </row>
    <row r="53" spans="1:6" ht="20.25" customHeight="1">
      <c r="A53" s="235">
        <v>4</v>
      </c>
      <c r="B53" s="236" t="s">
        <v>653</v>
      </c>
      <c r="C53" s="237">
        <v>35680</v>
      </c>
      <c r="D53" s="237">
        <v>23548</v>
      </c>
      <c r="E53" s="237">
        <f t="shared" si="6"/>
        <v>-12132</v>
      </c>
      <c r="F53" s="238">
        <f t="shared" si="7"/>
        <v>-0.34002242152466366</v>
      </c>
    </row>
    <row r="54" spans="1:6" ht="20.25" customHeight="1">
      <c r="A54" s="235">
        <v>5</v>
      </c>
      <c r="B54" s="236" t="s">
        <v>589</v>
      </c>
      <c r="C54" s="239">
        <v>8</v>
      </c>
      <c r="D54" s="239">
        <v>13</v>
      </c>
      <c r="E54" s="239">
        <f t="shared" si="6"/>
        <v>5</v>
      </c>
      <c r="F54" s="238">
        <f t="shared" si="7"/>
        <v>0.625</v>
      </c>
    </row>
    <row r="55" spans="1:6" ht="20.25" customHeight="1">
      <c r="A55" s="235">
        <v>6</v>
      </c>
      <c r="B55" s="236" t="s">
        <v>588</v>
      </c>
      <c r="C55" s="239">
        <v>25</v>
      </c>
      <c r="D55" s="239">
        <v>45</v>
      </c>
      <c r="E55" s="239">
        <f t="shared" si="6"/>
        <v>20</v>
      </c>
      <c r="F55" s="238">
        <f t="shared" si="7"/>
        <v>0.8</v>
      </c>
    </row>
    <row r="56" spans="1:6" ht="20.25" customHeight="1">
      <c r="A56" s="235">
        <v>7</v>
      </c>
      <c r="B56" s="236" t="s">
        <v>654</v>
      </c>
      <c r="C56" s="239">
        <v>614</v>
      </c>
      <c r="D56" s="239">
        <v>1125</v>
      </c>
      <c r="E56" s="239">
        <f t="shared" si="6"/>
        <v>511</v>
      </c>
      <c r="F56" s="238">
        <f t="shared" si="7"/>
        <v>0.8322475570032574</v>
      </c>
    </row>
    <row r="57" spans="1:6" ht="20.25" customHeight="1">
      <c r="A57" s="235">
        <v>8</v>
      </c>
      <c r="B57" s="236" t="s">
        <v>655</v>
      </c>
      <c r="C57" s="239">
        <v>1</v>
      </c>
      <c r="D57" s="239">
        <v>1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9</v>
      </c>
      <c r="B58" s="236" t="s">
        <v>656</v>
      </c>
      <c r="C58" s="239">
        <v>0</v>
      </c>
      <c r="D58" s="239">
        <v>2</v>
      </c>
      <c r="E58" s="239">
        <f t="shared" si="6"/>
        <v>2</v>
      </c>
      <c r="F58" s="238">
        <f t="shared" si="7"/>
        <v>0</v>
      </c>
    </row>
    <row r="59" spans="1:6" s="240" customFormat="1" ht="39.75" customHeight="1">
      <c r="A59" s="245"/>
      <c r="B59" s="242" t="s">
        <v>657</v>
      </c>
      <c r="C59" s="243">
        <f>+C50+C52</f>
        <v>297054</v>
      </c>
      <c r="D59" s="243">
        <f>+D50+D52</f>
        <v>409237</v>
      </c>
      <c r="E59" s="243">
        <f t="shared" si="6"/>
        <v>112183</v>
      </c>
      <c r="F59" s="244">
        <f t="shared" si="7"/>
        <v>0.3776518747433127</v>
      </c>
    </row>
    <row r="60" spans="1:6" s="240" customFormat="1" ht="39.75" customHeight="1">
      <c r="A60" s="245"/>
      <c r="B60" s="242" t="s">
        <v>686</v>
      </c>
      <c r="C60" s="243">
        <f>+C51+C53</f>
        <v>37580</v>
      </c>
      <c r="D60" s="243">
        <f>+D51+D53</f>
        <v>26341</v>
      </c>
      <c r="E60" s="243">
        <f t="shared" si="6"/>
        <v>-11239</v>
      </c>
      <c r="F60" s="244">
        <f t="shared" si="7"/>
        <v>-0.29906865353911655</v>
      </c>
    </row>
    <row r="61" spans="1:6" ht="42" customHeight="1">
      <c r="A61" s="227" t="s">
        <v>392</v>
      </c>
      <c r="B61" s="261" t="s">
        <v>665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650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651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652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653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589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588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654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655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656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657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686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398</v>
      </c>
      <c r="B73" s="261" t="s">
        <v>692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650</v>
      </c>
      <c r="C74" s="237">
        <v>0</v>
      </c>
      <c r="D74" s="237">
        <v>0</v>
      </c>
      <c r="E74" s="237">
        <f aca="true" t="shared" si="10" ref="E74:E84">D74-C74</f>
        <v>0</v>
      </c>
      <c r="F74" s="238">
        <f aca="true" t="shared" si="11" ref="F74:F84">IF(C74=0,0,E74/C74)</f>
        <v>0</v>
      </c>
    </row>
    <row r="75" spans="1:6" ht="20.25" customHeight="1">
      <c r="A75" s="235">
        <v>2</v>
      </c>
      <c r="B75" s="236" t="s">
        <v>651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>
      <c r="A76" s="235">
        <v>3</v>
      </c>
      <c r="B76" s="236" t="s">
        <v>652</v>
      </c>
      <c r="C76" s="237">
        <v>23523</v>
      </c>
      <c r="D76" s="237">
        <v>0</v>
      </c>
      <c r="E76" s="237">
        <f t="shared" si="10"/>
        <v>-23523</v>
      </c>
      <c r="F76" s="238">
        <f t="shared" si="11"/>
        <v>-1</v>
      </c>
    </row>
    <row r="77" spans="1:6" ht="20.25" customHeight="1">
      <c r="A77" s="235">
        <v>4</v>
      </c>
      <c r="B77" s="236" t="s">
        <v>653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>
      <c r="A78" s="235">
        <v>5</v>
      </c>
      <c r="B78" s="236" t="s">
        <v>589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>
      <c r="A79" s="235">
        <v>6</v>
      </c>
      <c r="B79" s="236" t="s">
        <v>588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>
      <c r="A80" s="235">
        <v>7</v>
      </c>
      <c r="B80" s="236" t="s">
        <v>654</v>
      </c>
      <c r="C80" s="239">
        <v>13</v>
      </c>
      <c r="D80" s="239">
        <v>0</v>
      </c>
      <c r="E80" s="239">
        <f t="shared" si="10"/>
        <v>-13</v>
      </c>
      <c r="F80" s="238">
        <f t="shared" si="11"/>
        <v>-1</v>
      </c>
    </row>
    <row r="81" spans="1:6" ht="20.25" customHeight="1">
      <c r="A81" s="235">
        <v>8</v>
      </c>
      <c r="B81" s="236" t="s">
        <v>655</v>
      </c>
      <c r="C81" s="239">
        <v>11</v>
      </c>
      <c r="D81" s="239">
        <v>0</v>
      </c>
      <c r="E81" s="239">
        <f t="shared" si="10"/>
        <v>-11</v>
      </c>
      <c r="F81" s="238">
        <f t="shared" si="11"/>
        <v>-1</v>
      </c>
    </row>
    <row r="82" spans="1:6" ht="20.25" customHeight="1">
      <c r="A82" s="235">
        <v>9</v>
      </c>
      <c r="B82" s="236" t="s">
        <v>656</v>
      </c>
      <c r="C82" s="239">
        <v>1</v>
      </c>
      <c r="D82" s="239">
        <v>0</v>
      </c>
      <c r="E82" s="239">
        <f t="shared" si="10"/>
        <v>-1</v>
      </c>
      <c r="F82" s="238">
        <f t="shared" si="11"/>
        <v>-1</v>
      </c>
    </row>
    <row r="83" spans="1:6" s="240" customFormat="1" ht="39.75" customHeight="1">
      <c r="A83" s="245"/>
      <c r="B83" s="242" t="s">
        <v>657</v>
      </c>
      <c r="C83" s="243">
        <f>+C74+C76</f>
        <v>23523</v>
      </c>
      <c r="D83" s="243">
        <f>+D74+D76</f>
        <v>0</v>
      </c>
      <c r="E83" s="243">
        <f t="shared" si="10"/>
        <v>-23523</v>
      </c>
      <c r="F83" s="244">
        <f t="shared" si="11"/>
        <v>-1</v>
      </c>
    </row>
    <row r="84" spans="1:6" s="240" customFormat="1" ht="39.75" customHeight="1">
      <c r="A84" s="245"/>
      <c r="B84" s="242" t="s">
        <v>686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>
      <c r="A85" s="227" t="s">
        <v>400</v>
      </c>
      <c r="B85" s="261" t="s">
        <v>693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650</v>
      </c>
      <c r="C86" s="237">
        <v>0</v>
      </c>
      <c r="D86" s="237">
        <v>116609</v>
      </c>
      <c r="E86" s="237">
        <f aca="true" t="shared" si="12" ref="E86:E96">D86-C86</f>
        <v>116609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651</v>
      </c>
      <c r="C87" s="237">
        <v>0</v>
      </c>
      <c r="D87" s="237">
        <v>29786</v>
      </c>
      <c r="E87" s="237">
        <f t="shared" si="12"/>
        <v>29786</v>
      </c>
      <c r="F87" s="238">
        <f t="shared" si="13"/>
        <v>0</v>
      </c>
    </row>
    <row r="88" spans="1:6" ht="20.25" customHeight="1">
      <c r="A88" s="235">
        <v>3</v>
      </c>
      <c r="B88" s="236" t="s">
        <v>652</v>
      </c>
      <c r="C88" s="237">
        <v>0</v>
      </c>
      <c r="D88" s="237">
        <v>430904</v>
      </c>
      <c r="E88" s="237">
        <f t="shared" si="12"/>
        <v>430904</v>
      </c>
      <c r="F88" s="238">
        <f t="shared" si="13"/>
        <v>0</v>
      </c>
    </row>
    <row r="89" spans="1:6" ht="20.25" customHeight="1">
      <c r="A89" s="235">
        <v>4</v>
      </c>
      <c r="B89" s="236" t="s">
        <v>653</v>
      </c>
      <c r="C89" s="237">
        <v>0</v>
      </c>
      <c r="D89" s="237">
        <v>87291</v>
      </c>
      <c r="E89" s="237">
        <f t="shared" si="12"/>
        <v>87291</v>
      </c>
      <c r="F89" s="238">
        <f t="shared" si="13"/>
        <v>0</v>
      </c>
    </row>
    <row r="90" spans="1:6" ht="20.25" customHeight="1">
      <c r="A90" s="235">
        <v>5</v>
      </c>
      <c r="B90" s="236" t="s">
        <v>589</v>
      </c>
      <c r="C90" s="239">
        <v>0</v>
      </c>
      <c r="D90" s="239">
        <v>7</v>
      </c>
      <c r="E90" s="239">
        <f t="shared" si="12"/>
        <v>7</v>
      </c>
      <c r="F90" s="238">
        <f t="shared" si="13"/>
        <v>0</v>
      </c>
    </row>
    <row r="91" spans="1:6" ht="20.25" customHeight="1">
      <c r="A91" s="235">
        <v>6</v>
      </c>
      <c r="B91" s="236" t="s">
        <v>588</v>
      </c>
      <c r="C91" s="239">
        <v>0</v>
      </c>
      <c r="D91" s="239">
        <v>26</v>
      </c>
      <c r="E91" s="239">
        <f t="shared" si="12"/>
        <v>26</v>
      </c>
      <c r="F91" s="238">
        <f t="shared" si="13"/>
        <v>0</v>
      </c>
    </row>
    <row r="92" spans="1:6" ht="20.25" customHeight="1">
      <c r="A92" s="235">
        <v>7</v>
      </c>
      <c r="B92" s="236" t="s">
        <v>654</v>
      </c>
      <c r="C92" s="239">
        <v>0</v>
      </c>
      <c r="D92" s="239">
        <v>422</v>
      </c>
      <c r="E92" s="239">
        <f t="shared" si="12"/>
        <v>422</v>
      </c>
      <c r="F92" s="238">
        <f t="shared" si="13"/>
        <v>0</v>
      </c>
    </row>
    <row r="93" spans="1:6" ht="20.25" customHeight="1">
      <c r="A93" s="235">
        <v>8</v>
      </c>
      <c r="B93" s="236" t="s">
        <v>655</v>
      </c>
      <c r="C93" s="239">
        <v>0</v>
      </c>
      <c r="D93" s="239">
        <v>84</v>
      </c>
      <c r="E93" s="239">
        <f t="shared" si="12"/>
        <v>84</v>
      </c>
      <c r="F93" s="238">
        <f t="shared" si="13"/>
        <v>0</v>
      </c>
    </row>
    <row r="94" spans="1:6" ht="20.25" customHeight="1">
      <c r="A94" s="235">
        <v>9</v>
      </c>
      <c r="B94" s="236" t="s">
        <v>656</v>
      </c>
      <c r="C94" s="239">
        <v>0</v>
      </c>
      <c r="D94" s="239">
        <v>2</v>
      </c>
      <c r="E94" s="239">
        <f t="shared" si="12"/>
        <v>2</v>
      </c>
      <c r="F94" s="238">
        <f t="shared" si="13"/>
        <v>0</v>
      </c>
    </row>
    <row r="95" spans="1:6" s="240" customFormat="1" ht="39.75" customHeight="1">
      <c r="A95" s="245"/>
      <c r="B95" s="242" t="s">
        <v>657</v>
      </c>
      <c r="C95" s="243">
        <f>+C86+C88</f>
        <v>0</v>
      </c>
      <c r="D95" s="243">
        <f>+D86+D88</f>
        <v>547513</v>
      </c>
      <c r="E95" s="243">
        <f t="shared" si="12"/>
        <v>547513</v>
      </c>
      <c r="F95" s="244">
        <f t="shared" si="13"/>
        <v>0</v>
      </c>
    </row>
    <row r="96" spans="1:6" s="240" customFormat="1" ht="39.75" customHeight="1">
      <c r="A96" s="245"/>
      <c r="B96" s="242" t="s">
        <v>686</v>
      </c>
      <c r="C96" s="243">
        <f>+C87+C89</f>
        <v>0</v>
      </c>
      <c r="D96" s="243">
        <f>+D87+D89</f>
        <v>117077</v>
      </c>
      <c r="E96" s="243">
        <f t="shared" si="12"/>
        <v>117077</v>
      </c>
      <c r="F96" s="244">
        <f t="shared" si="13"/>
        <v>0</v>
      </c>
    </row>
    <row r="97" spans="1:6" ht="42" customHeight="1">
      <c r="A97" s="227" t="s">
        <v>403</v>
      </c>
      <c r="B97" s="261" t="s">
        <v>666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650</v>
      </c>
      <c r="C98" s="237">
        <v>0</v>
      </c>
      <c r="D98" s="237">
        <v>408207</v>
      </c>
      <c r="E98" s="237">
        <f aca="true" t="shared" si="14" ref="E98:E108">D98-C98</f>
        <v>408207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651</v>
      </c>
      <c r="C99" s="237">
        <v>0</v>
      </c>
      <c r="D99" s="237">
        <v>57739</v>
      </c>
      <c r="E99" s="237">
        <f t="shared" si="14"/>
        <v>57739</v>
      </c>
      <c r="F99" s="238">
        <f t="shared" si="15"/>
        <v>0</v>
      </c>
    </row>
    <row r="100" spans="1:6" ht="20.25" customHeight="1">
      <c r="A100" s="235">
        <v>3</v>
      </c>
      <c r="B100" s="236" t="s">
        <v>652</v>
      </c>
      <c r="C100" s="237">
        <v>0</v>
      </c>
      <c r="D100" s="237">
        <v>787718</v>
      </c>
      <c r="E100" s="237">
        <f t="shared" si="14"/>
        <v>787718</v>
      </c>
      <c r="F100" s="238">
        <f t="shared" si="15"/>
        <v>0</v>
      </c>
    </row>
    <row r="101" spans="1:6" ht="20.25" customHeight="1">
      <c r="A101" s="235">
        <v>4</v>
      </c>
      <c r="B101" s="236" t="s">
        <v>653</v>
      </c>
      <c r="C101" s="237">
        <v>0</v>
      </c>
      <c r="D101" s="237">
        <v>191130</v>
      </c>
      <c r="E101" s="237">
        <f t="shared" si="14"/>
        <v>191130</v>
      </c>
      <c r="F101" s="238">
        <f t="shared" si="15"/>
        <v>0</v>
      </c>
    </row>
    <row r="102" spans="1:6" ht="20.25" customHeight="1">
      <c r="A102" s="235">
        <v>5</v>
      </c>
      <c r="B102" s="236" t="s">
        <v>589</v>
      </c>
      <c r="C102" s="239">
        <v>0</v>
      </c>
      <c r="D102" s="239">
        <v>11</v>
      </c>
      <c r="E102" s="239">
        <f t="shared" si="14"/>
        <v>11</v>
      </c>
      <c r="F102" s="238">
        <f t="shared" si="15"/>
        <v>0</v>
      </c>
    </row>
    <row r="103" spans="1:6" ht="20.25" customHeight="1">
      <c r="A103" s="235">
        <v>6</v>
      </c>
      <c r="B103" s="236" t="s">
        <v>588</v>
      </c>
      <c r="C103" s="239">
        <v>0</v>
      </c>
      <c r="D103" s="239">
        <v>37</v>
      </c>
      <c r="E103" s="239">
        <f t="shared" si="14"/>
        <v>37</v>
      </c>
      <c r="F103" s="238">
        <f t="shared" si="15"/>
        <v>0</v>
      </c>
    </row>
    <row r="104" spans="1:6" ht="20.25" customHeight="1">
      <c r="A104" s="235">
        <v>7</v>
      </c>
      <c r="B104" s="236" t="s">
        <v>654</v>
      </c>
      <c r="C104" s="239">
        <v>0</v>
      </c>
      <c r="D104" s="239">
        <v>508</v>
      </c>
      <c r="E104" s="239">
        <f t="shared" si="14"/>
        <v>508</v>
      </c>
      <c r="F104" s="238">
        <f t="shared" si="15"/>
        <v>0</v>
      </c>
    </row>
    <row r="105" spans="1:6" ht="20.25" customHeight="1">
      <c r="A105" s="235">
        <v>8</v>
      </c>
      <c r="B105" s="236" t="s">
        <v>655</v>
      </c>
      <c r="C105" s="239">
        <v>0</v>
      </c>
      <c r="D105" s="239">
        <v>85</v>
      </c>
      <c r="E105" s="239">
        <f t="shared" si="14"/>
        <v>85</v>
      </c>
      <c r="F105" s="238">
        <f t="shared" si="15"/>
        <v>0</v>
      </c>
    </row>
    <row r="106" spans="1:6" ht="20.25" customHeight="1">
      <c r="A106" s="235">
        <v>9</v>
      </c>
      <c r="B106" s="236" t="s">
        <v>656</v>
      </c>
      <c r="C106" s="239">
        <v>0</v>
      </c>
      <c r="D106" s="239">
        <v>7</v>
      </c>
      <c r="E106" s="239">
        <f t="shared" si="14"/>
        <v>7</v>
      </c>
      <c r="F106" s="238">
        <f t="shared" si="15"/>
        <v>0</v>
      </c>
    </row>
    <row r="107" spans="1:6" s="240" customFormat="1" ht="39.75" customHeight="1">
      <c r="A107" s="245"/>
      <c r="B107" s="242" t="s">
        <v>657</v>
      </c>
      <c r="C107" s="243">
        <f>+C98+C100</f>
        <v>0</v>
      </c>
      <c r="D107" s="243">
        <f>+D98+D100</f>
        <v>1195925</v>
      </c>
      <c r="E107" s="243">
        <f t="shared" si="14"/>
        <v>1195925</v>
      </c>
      <c r="F107" s="244">
        <f t="shared" si="15"/>
        <v>0</v>
      </c>
    </row>
    <row r="108" spans="1:6" s="240" customFormat="1" ht="39.75" customHeight="1">
      <c r="A108" s="245"/>
      <c r="B108" s="242" t="s">
        <v>686</v>
      </c>
      <c r="C108" s="243">
        <f>+C99+C101</f>
        <v>0</v>
      </c>
      <c r="D108" s="243">
        <f>+D99+D101</f>
        <v>248869</v>
      </c>
      <c r="E108" s="243">
        <f t="shared" si="14"/>
        <v>248869</v>
      </c>
      <c r="F108" s="244">
        <f t="shared" si="15"/>
        <v>0</v>
      </c>
    </row>
    <row r="109" spans="1:7" s="240" customFormat="1" ht="20.25" customHeight="1">
      <c r="A109" s="688" t="s">
        <v>260</v>
      </c>
      <c r="B109" s="689" t="s">
        <v>694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676</v>
      </c>
      <c r="C112" s="243">
        <f aca="true" t="shared" si="16" ref="C112:D120">+C98+C86+C74+C62+C50+C38+C26+C14</f>
        <v>903939</v>
      </c>
      <c r="D112" s="243">
        <f t="shared" si="16"/>
        <v>1964948</v>
      </c>
      <c r="E112" s="243">
        <f aca="true" t="shared" si="17" ref="E112:E122">D112-C112</f>
        <v>1061009</v>
      </c>
      <c r="F112" s="244">
        <f aca="true" t="shared" si="18" ref="F112:F122">IF(C112=0,0,E112/C112)</f>
        <v>1.1737617250721564</v>
      </c>
    </row>
    <row r="113" spans="1:6" ht="20.25" customHeight="1">
      <c r="A113" s="249"/>
      <c r="B113" s="250" t="s">
        <v>677</v>
      </c>
      <c r="C113" s="243">
        <f t="shared" si="16"/>
        <v>198239</v>
      </c>
      <c r="D113" s="243">
        <f t="shared" si="16"/>
        <v>421070</v>
      </c>
      <c r="E113" s="243">
        <f t="shared" si="17"/>
        <v>222831</v>
      </c>
      <c r="F113" s="244">
        <f t="shared" si="18"/>
        <v>1.1240522803282906</v>
      </c>
    </row>
    <row r="114" spans="1:6" ht="20.25" customHeight="1">
      <c r="A114" s="249"/>
      <c r="B114" s="250" t="s">
        <v>678</v>
      </c>
      <c r="C114" s="243">
        <f t="shared" si="16"/>
        <v>5149748</v>
      </c>
      <c r="D114" s="243">
        <f t="shared" si="16"/>
        <v>7316967</v>
      </c>
      <c r="E114" s="243">
        <f t="shared" si="17"/>
        <v>2167219</v>
      </c>
      <c r="F114" s="244">
        <f t="shared" si="18"/>
        <v>0.4208398158511834</v>
      </c>
    </row>
    <row r="115" spans="1:6" ht="20.25" customHeight="1">
      <c r="A115" s="249"/>
      <c r="B115" s="250" t="s">
        <v>679</v>
      </c>
      <c r="C115" s="243">
        <f t="shared" si="16"/>
        <v>1203436</v>
      </c>
      <c r="D115" s="243">
        <f t="shared" si="16"/>
        <v>1636231</v>
      </c>
      <c r="E115" s="243">
        <f t="shared" si="17"/>
        <v>432795</v>
      </c>
      <c r="F115" s="244">
        <f t="shared" si="18"/>
        <v>0.359632751554715</v>
      </c>
    </row>
    <row r="116" spans="1:6" ht="20.25" customHeight="1">
      <c r="A116" s="249"/>
      <c r="B116" s="250" t="s">
        <v>680</v>
      </c>
      <c r="C116" s="252">
        <f t="shared" si="16"/>
        <v>63</v>
      </c>
      <c r="D116" s="252">
        <f t="shared" si="16"/>
        <v>115</v>
      </c>
      <c r="E116" s="252">
        <f t="shared" si="17"/>
        <v>52</v>
      </c>
      <c r="F116" s="244">
        <f t="shared" si="18"/>
        <v>0.8253968253968254</v>
      </c>
    </row>
    <row r="117" spans="1:6" ht="20.25" customHeight="1">
      <c r="A117" s="249"/>
      <c r="B117" s="250" t="s">
        <v>681</v>
      </c>
      <c r="C117" s="252">
        <f t="shared" si="16"/>
        <v>147</v>
      </c>
      <c r="D117" s="252">
        <f t="shared" si="16"/>
        <v>338</v>
      </c>
      <c r="E117" s="252">
        <f t="shared" si="17"/>
        <v>191</v>
      </c>
      <c r="F117" s="244">
        <f t="shared" si="18"/>
        <v>1.2993197278911566</v>
      </c>
    </row>
    <row r="118" spans="1:6" ht="39.75" customHeight="1">
      <c r="A118" s="249"/>
      <c r="B118" s="250" t="s">
        <v>682</v>
      </c>
      <c r="C118" s="252">
        <f t="shared" si="16"/>
        <v>6969</v>
      </c>
      <c r="D118" s="252">
        <f t="shared" si="16"/>
        <v>9340</v>
      </c>
      <c r="E118" s="252">
        <f t="shared" si="17"/>
        <v>2371</v>
      </c>
      <c r="F118" s="244">
        <f t="shared" si="18"/>
        <v>0.3402209786196011</v>
      </c>
    </row>
    <row r="119" spans="1:6" ht="39.75" customHeight="1">
      <c r="A119" s="249"/>
      <c r="B119" s="250" t="s">
        <v>683</v>
      </c>
      <c r="C119" s="252">
        <f t="shared" si="16"/>
        <v>1133</v>
      </c>
      <c r="D119" s="252">
        <f t="shared" si="16"/>
        <v>1538</v>
      </c>
      <c r="E119" s="252">
        <f t="shared" si="17"/>
        <v>405</v>
      </c>
      <c r="F119" s="244">
        <f t="shared" si="18"/>
        <v>0.3574580759046778</v>
      </c>
    </row>
    <row r="120" spans="1:6" ht="39.75" customHeight="1">
      <c r="A120" s="249"/>
      <c r="B120" s="250" t="s">
        <v>684</v>
      </c>
      <c r="C120" s="252">
        <f t="shared" si="16"/>
        <v>85</v>
      </c>
      <c r="D120" s="252">
        <f t="shared" si="16"/>
        <v>63</v>
      </c>
      <c r="E120" s="252">
        <f t="shared" si="17"/>
        <v>-22</v>
      </c>
      <c r="F120" s="244">
        <f t="shared" si="18"/>
        <v>-0.25882352941176473</v>
      </c>
    </row>
    <row r="121" spans="1:6" ht="39.75" customHeight="1">
      <c r="A121" s="249"/>
      <c r="B121" s="242" t="s">
        <v>657</v>
      </c>
      <c r="C121" s="243">
        <f>+C112+C114</f>
        <v>6053687</v>
      </c>
      <c r="D121" s="243">
        <f>+D112+D114</f>
        <v>9281915</v>
      </c>
      <c r="E121" s="243">
        <f t="shared" si="17"/>
        <v>3228228</v>
      </c>
      <c r="F121" s="244">
        <f t="shared" si="18"/>
        <v>0.5332664209431376</v>
      </c>
    </row>
    <row r="122" spans="1:6" ht="39.75" customHeight="1">
      <c r="A122" s="249"/>
      <c r="B122" s="242" t="s">
        <v>686</v>
      </c>
      <c r="C122" s="243">
        <f>+C113+C115</f>
        <v>1401675</v>
      </c>
      <c r="D122" s="243">
        <f>+D113+D115</f>
        <v>2057301</v>
      </c>
      <c r="E122" s="243">
        <f t="shared" si="17"/>
        <v>655626</v>
      </c>
      <c r="F122" s="244">
        <f t="shared" si="18"/>
        <v>0.4677446626357751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FILING&amp;RGREENWICH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695</v>
      </c>
      <c r="C1" s="3"/>
      <c r="D1" s="3"/>
      <c r="E1" s="4"/>
      <c r="F1" s="5"/>
    </row>
    <row r="2" spans="1:6" ht="24" customHeight="1">
      <c r="A2" s="3"/>
      <c r="B2" s="3" t="s">
        <v>217</v>
      </c>
      <c r="C2" s="3"/>
      <c r="D2" s="3"/>
      <c r="E2" s="4"/>
      <c r="F2" s="5"/>
    </row>
    <row r="3" spans="1:6" ht="24" customHeight="1">
      <c r="A3" s="3"/>
      <c r="B3" s="3" t="s">
        <v>218</v>
      </c>
      <c r="C3" s="3"/>
      <c r="D3" s="3"/>
      <c r="E3" s="4"/>
      <c r="F3" s="5"/>
    </row>
    <row r="4" spans="1:6" ht="24" customHeight="1">
      <c r="A4" s="3"/>
      <c r="B4" s="3" t="s">
        <v>696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220</v>
      </c>
      <c r="D7" s="10" t="s">
        <v>221</v>
      </c>
      <c r="E7" s="11" t="s">
        <v>222</v>
      </c>
      <c r="F7" s="11" t="s">
        <v>223</v>
      </c>
      <c r="H7" s="12"/>
    </row>
    <row r="8" spans="1:6" s="6" customFormat="1" ht="15.75" customHeight="1">
      <c r="A8" s="13" t="s">
        <v>224</v>
      </c>
      <c r="B8" s="13" t="s">
        <v>225</v>
      </c>
      <c r="C8" s="14" t="s">
        <v>226</v>
      </c>
      <c r="D8" s="14" t="s">
        <v>226</v>
      </c>
      <c r="E8" s="15" t="s">
        <v>227</v>
      </c>
      <c r="F8" s="15" t="s">
        <v>227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228</v>
      </c>
      <c r="B10" s="16" t="s">
        <v>229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230</v>
      </c>
      <c r="B12" s="16" t="s">
        <v>231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232</v>
      </c>
      <c r="C13" s="23">
        <v>31821000</v>
      </c>
      <c r="D13" s="23">
        <v>34142000</v>
      </c>
      <c r="E13" s="23">
        <f aca="true" t="shared" si="0" ref="E13:E22">D13-C13</f>
        <v>2321000</v>
      </c>
      <c r="F13" s="24">
        <f aca="true" t="shared" si="1" ref="F13:F22">IF(C13=0,0,E13/C13)</f>
        <v>0.07293925395179283</v>
      </c>
    </row>
    <row r="14" spans="1:6" ht="24" customHeight="1">
      <c r="A14" s="21">
        <v>2</v>
      </c>
      <c r="B14" s="22" t="s">
        <v>233</v>
      </c>
      <c r="C14" s="23">
        <v>26526000</v>
      </c>
      <c r="D14" s="23">
        <v>28273000</v>
      </c>
      <c r="E14" s="23">
        <f t="shared" si="0"/>
        <v>1747000</v>
      </c>
      <c r="F14" s="24">
        <f t="shared" si="1"/>
        <v>0.06585991103068688</v>
      </c>
    </row>
    <row r="15" spans="1:6" ht="34.5" customHeight="1">
      <c r="A15" s="21">
        <v>3</v>
      </c>
      <c r="B15" s="22" t="s">
        <v>234</v>
      </c>
      <c r="C15" s="23">
        <v>35108000</v>
      </c>
      <c r="D15" s="23">
        <v>33583000</v>
      </c>
      <c r="E15" s="23">
        <f t="shared" si="0"/>
        <v>-1525000</v>
      </c>
      <c r="F15" s="24">
        <f t="shared" si="1"/>
        <v>-0.04343739318673807</v>
      </c>
    </row>
    <row r="16" spans="1:6" ht="34.5" customHeight="1">
      <c r="A16" s="21">
        <v>4</v>
      </c>
      <c r="B16" s="22" t="s">
        <v>235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236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237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238</v>
      </c>
      <c r="C19" s="23">
        <v>789000</v>
      </c>
      <c r="D19" s="23">
        <v>995000</v>
      </c>
      <c r="E19" s="23">
        <f t="shared" si="0"/>
        <v>206000</v>
      </c>
      <c r="F19" s="24">
        <f t="shared" si="1"/>
        <v>0.26108998732572875</v>
      </c>
    </row>
    <row r="20" spans="1:6" ht="24" customHeight="1">
      <c r="A20" s="21">
        <v>8</v>
      </c>
      <c r="B20" s="22" t="s">
        <v>239</v>
      </c>
      <c r="C20" s="23">
        <v>2081000</v>
      </c>
      <c r="D20" s="23">
        <v>2345000</v>
      </c>
      <c r="E20" s="23">
        <f t="shared" si="0"/>
        <v>264000</v>
      </c>
      <c r="F20" s="24">
        <f t="shared" si="1"/>
        <v>0.12686208553580008</v>
      </c>
    </row>
    <row r="21" spans="1:6" ht="24" customHeight="1">
      <c r="A21" s="21">
        <v>9</v>
      </c>
      <c r="B21" s="22" t="s">
        <v>240</v>
      </c>
      <c r="C21" s="23">
        <v>1995000</v>
      </c>
      <c r="D21" s="23">
        <v>1520000</v>
      </c>
      <c r="E21" s="23">
        <f t="shared" si="0"/>
        <v>-475000</v>
      </c>
      <c r="F21" s="24">
        <f t="shared" si="1"/>
        <v>-0.23809523809523808</v>
      </c>
    </row>
    <row r="22" spans="1:6" ht="24" customHeight="1">
      <c r="A22" s="25"/>
      <c r="B22" s="26" t="s">
        <v>241</v>
      </c>
      <c r="C22" s="27">
        <f>SUM(C13:C21)</f>
        <v>98320000</v>
      </c>
      <c r="D22" s="27">
        <f>SUM(D13:D21)</f>
        <v>100858000</v>
      </c>
      <c r="E22" s="27">
        <f t="shared" si="0"/>
        <v>2538000</v>
      </c>
      <c r="F22" s="28">
        <f t="shared" si="1"/>
        <v>0.02581366965012205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242</v>
      </c>
      <c r="B24" s="30" t="s">
        <v>243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244</v>
      </c>
      <c r="C25" s="23">
        <v>802000</v>
      </c>
      <c r="D25" s="23">
        <v>802000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245</v>
      </c>
      <c r="C26" s="23">
        <v>51827000</v>
      </c>
      <c r="D26" s="23">
        <v>58700000</v>
      </c>
      <c r="E26" s="23">
        <f>D26-C26</f>
        <v>6873000</v>
      </c>
      <c r="F26" s="24">
        <f>IF(C26=0,0,E26/C26)</f>
        <v>0.1326142744129508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246</v>
      </c>
      <c r="C27" s="23">
        <v>169000</v>
      </c>
      <c r="D27" s="23">
        <v>10000</v>
      </c>
      <c r="E27" s="23">
        <f>D27-C27</f>
        <v>-159000</v>
      </c>
      <c r="F27" s="24">
        <f>IF(C27=0,0,E27/C27)</f>
        <v>-0.9408284023668639</v>
      </c>
    </row>
    <row r="28" spans="1:6" ht="34.5" customHeight="1">
      <c r="A28" s="21">
        <v>4</v>
      </c>
      <c r="B28" s="22" t="s">
        <v>247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34.5" customHeight="1">
      <c r="A29" s="25"/>
      <c r="B29" s="26" t="s">
        <v>248</v>
      </c>
      <c r="C29" s="27">
        <f>SUM(C25:C28)</f>
        <v>52798000</v>
      </c>
      <c r="D29" s="27">
        <f>SUM(D25:D28)</f>
        <v>59512000</v>
      </c>
      <c r="E29" s="27">
        <f>D29-C29</f>
        <v>6714000</v>
      </c>
      <c r="F29" s="28">
        <f>IF(C29=0,0,E29/C29)</f>
        <v>0.12716390772377742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249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250</v>
      </c>
      <c r="C32" s="23">
        <v>36270000</v>
      </c>
      <c r="D32" s="23">
        <v>44655000</v>
      </c>
      <c r="E32" s="23">
        <f>D32-C32</f>
        <v>8385000</v>
      </c>
      <c r="F32" s="24">
        <f>IF(C32=0,0,E32/C32)</f>
        <v>0.23118279569892472</v>
      </c>
    </row>
    <row r="33" spans="1:6" ht="24" customHeight="1">
      <c r="A33" s="21">
        <v>7</v>
      </c>
      <c r="B33" s="22" t="s">
        <v>251</v>
      </c>
      <c r="C33" s="23">
        <v>30642000</v>
      </c>
      <c r="D33" s="23">
        <v>15900000</v>
      </c>
      <c r="E33" s="23">
        <f>D33-C33</f>
        <v>-14742000</v>
      </c>
      <c r="F33" s="24">
        <f>IF(C33=0,0,E33/C33)</f>
        <v>-0.4811043665557079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252</v>
      </c>
      <c r="B35" s="30" t="s">
        <v>253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254</v>
      </c>
      <c r="C36" s="23">
        <v>422690000</v>
      </c>
      <c r="D36" s="23">
        <v>448224000</v>
      </c>
      <c r="E36" s="23">
        <f>D36-C36</f>
        <v>25534000</v>
      </c>
      <c r="F36" s="24">
        <f>IF(C36=0,0,E36/C36)</f>
        <v>0.060408337079183326</v>
      </c>
    </row>
    <row r="37" spans="1:6" ht="24" customHeight="1">
      <c r="A37" s="21">
        <v>2</v>
      </c>
      <c r="B37" s="22" t="s">
        <v>255</v>
      </c>
      <c r="C37" s="23">
        <v>147925000</v>
      </c>
      <c r="D37" s="23">
        <v>167165000</v>
      </c>
      <c r="E37" s="23">
        <f>D37-C37</f>
        <v>19240000</v>
      </c>
      <c r="F37" s="23">
        <f>IF(C37=0,0,E37/C37)</f>
        <v>0.13006591177961804</v>
      </c>
    </row>
    <row r="38" spans="1:6" ht="24" customHeight="1">
      <c r="A38" s="25"/>
      <c r="B38" s="26" t="s">
        <v>256</v>
      </c>
      <c r="C38" s="27">
        <f>C36-C37</f>
        <v>274765000</v>
      </c>
      <c r="D38" s="27">
        <f>D36-D37</f>
        <v>281059000</v>
      </c>
      <c r="E38" s="27">
        <f>D38-C38</f>
        <v>6294000</v>
      </c>
      <c r="F38" s="28">
        <f>IF(C38=0,0,E38/C38)</f>
        <v>0.02290684766982694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257</v>
      </c>
      <c r="C40" s="23">
        <v>1204000</v>
      </c>
      <c r="D40" s="23">
        <v>1331000</v>
      </c>
      <c r="E40" s="23">
        <f>D40-C40</f>
        <v>127000</v>
      </c>
      <c r="F40" s="24">
        <f>IF(C40=0,0,E40/C40)</f>
        <v>0.10548172757475083</v>
      </c>
    </row>
    <row r="41" spans="1:6" ht="24" customHeight="1">
      <c r="A41" s="25"/>
      <c r="B41" s="26" t="s">
        <v>258</v>
      </c>
      <c r="C41" s="27">
        <f>+C38+C40</f>
        <v>275969000</v>
      </c>
      <c r="D41" s="27">
        <f>+D38+D40</f>
        <v>282390000</v>
      </c>
      <c r="E41" s="27">
        <f>D41-C41</f>
        <v>6421000</v>
      </c>
      <c r="F41" s="28">
        <f>IF(C41=0,0,E41/C41)</f>
        <v>0.02326710608800264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259</v>
      </c>
      <c r="C43" s="27">
        <f>C22+C29+C31+C32+C33+C41</f>
        <v>493999000</v>
      </c>
      <c r="D43" s="27">
        <f>D22+D29+D31+D32+D33+D41</f>
        <v>503315000</v>
      </c>
      <c r="E43" s="27">
        <f>D43-C43</f>
        <v>9316000</v>
      </c>
      <c r="F43" s="28">
        <f>IF(C43=0,0,E43/C43)</f>
        <v>0.018858337769914513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260</v>
      </c>
      <c r="B46" s="16" t="s">
        <v>261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230</v>
      </c>
      <c r="B48" s="41" t="s">
        <v>262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263</v>
      </c>
      <c r="C49" s="23">
        <v>16152000</v>
      </c>
      <c r="D49" s="23">
        <v>19161436</v>
      </c>
      <c r="E49" s="23">
        <f aca="true" t="shared" si="2" ref="E49:E56">D49-C49</f>
        <v>3009436</v>
      </c>
      <c r="F49" s="24">
        <f aca="true" t="shared" si="3" ref="F49:F56">IF(C49=0,0,E49/C49)</f>
        <v>0.1863197127290738</v>
      </c>
    </row>
    <row r="50" spans="1:6" ht="24" customHeight="1">
      <c r="A50" s="21">
        <f aca="true" t="shared" si="4" ref="A50:A55">1+A49</f>
        <v>2</v>
      </c>
      <c r="B50" s="22" t="s">
        <v>264</v>
      </c>
      <c r="C50" s="23">
        <v>17237000</v>
      </c>
      <c r="D50" s="23">
        <v>17583564</v>
      </c>
      <c r="E50" s="23">
        <f t="shared" si="2"/>
        <v>346564</v>
      </c>
      <c r="F50" s="24">
        <f t="shared" si="3"/>
        <v>0.02010581887799501</v>
      </c>
    </row>
    <row r="51" spans="1:6" ht="24" customHeight="1">
      <c r="A51" s="21">
        <f t="shared" si="4"/>
        <v>3</v>
      </c>
      <c r="B51" s="22" t="s">
        <v>265</v>
      </c>
      <c r="C51" s="23">
        <v>164000</v>
      </c>
      <c r="D51" s="23">
        <v>192000</v>
      </c>
      <c r="E51" s="23">
        <f t="shared" si="2"/>
        <v>28000</v>
      </c>
      <c r="F51" s="24">
        <f t="shared" si="3"/>
        <v>0.17073170731707318</v>
      </c>
    </row>
    <row r="52" spans="1:6" ht="24" customHeight="1">
      <c r="A52" s="21">
        <f t="shared" si="4"/>
        <v>4</v>
      </c>
      <c r="B52" s="22" t="s">
        <v>266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267</v>
      </c>
      <c r="C53" s="23">
        <v>2115000</v>
      </c>
      <c r="D53" s="23">
        <v>2190000</v>
      </c>
      <c r="E53" s="23">
        <f t="shared" si="2"/>
        <v>75000</v>
      </c>
      <c r="F53" s="24">
        <f t="shared" si="3"/>
        <v>0.03546099290780142</v>
      </c>
    </row>
    <row r="54" spans="1:6" ht="24" customHeight="1">
      <c r="A54" s="21">
        <f t="shared" si="4"/>
        <v>6</v>
      </c>
      <c r="B54" s="22" t="s">
        <v>268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269</v>
      </c>
      <c r="C55" s="23">
        <v>6640000</v>
      </c>
      <c r="D55" s="23">
        <v>8050000</v>
      </c>
      <c r="E55" s="23">
        <f t="shared" si="2"/>
        <v>1410000</v>
      </c>
      <c r="F55" s="24">
        <f t="shared" si="3"/>
        <v>0.21234939759036145</v>
      </c>
    </row>
    <row r="56" spans="1:6" ht="24" customHeight="1">
      <c r="A56" s="25"/>
      <c r="B56" s="26" t="s">
        <v>270</v>
      </c>
      <c r="C56" s="27">
        <f>SUM(C49:C55)</f>
        <v>42308000</v>
      </c>
      <c r="D56" s="27">
        <f>SUM(D49:D55)</f>
        <v>47177000</v>
      </c>
      <c r="E56" s="27">
        <f t="shared" si="2"/>
        <v>4869000</v>
      </c>
      <c r="F56" s="28">
        <f t="shared" si="3"/>
        <v>0.1150846175664177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242</v>
      </c>
      <c r="B58" s="41" t="s">
        <v>271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272</v>
      </c>
      <c r="C59" s="23">
        <v>49455000</v>
      </c>
      <c r="D59" s="23">
        <v>47265000</v>
      </c>
      <c r="E59" s="23">
        <f>D59-C59</f>
        <v>-2190000</v>
      </c>
      <c r="F59" s="24">
        <f>IF(C59=0,0,E59/C59)</f>
        <v>-0.044282681225356384</v>
      </c>
    </row>
    <row r="60" spans="1:6" ht="24" customHeight="1">
      <c r="A60" s="21">
        <v>2</v>
      </c>
      <c r="B60" s="22" t="s">
        <v>273</v>
      </c>
      <c r="C60" s="23">
        <v>12146000</v>
      </c>
      <c r="D60" s="23">
        <v>0</v>
      </c>
      <c r="E60" s="23">
        <f>D60-C60</f>
        <v>-12146000</v>
      </c>
      <c r="F60" s="24">
        <f>IF(C60=0,0,E60/C60)</f>
        <v>-1</v>
      </c>
    </row>
    <row r="61" spans="1:6" ht="24" customHeight="1">
      <c r="A61" s="25"/>
      <c r="B61" s="26" t="s">
        <v>274</v>
      </c>
      <c r="C61" s="27">
        <f>SUM(C59:C60)</f>
        <v>61601000</v>
      </c>
      <c r="D61" s="27">
        <f>SUM(D59:D60)</f>
        <v>47265000</v>
      </c>
      <c r="E61" s="27">
        <f>D61-C61</f>
        <v>-14336000</v>
      </c>
      <c r="F61" s="28">
        <f>IF(C61=0,0,E61/C61)</f>
        <v>-0.23272349474846188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275</v>
      </c>
      <c r="C63" s="23">
        <v>0</v>
      </c>
      <c r="D63" s="23">
        <v>27902000</v>
      </c>
      <c r="E63" s="23">
        <f>D63-C63</f>
        <v>27902000</v>
      </c>
      <c r="F63" s="24">
        <f>IF(C63=0,0,E63/C63)</f>
        <v>0</v>
      </c>
    </row>
    <row r="64" spans="1:6" ht="24" customHeight="1">
      <c r="A64" s="21">
        <v>4</v>
      </c>
      <c r="B64" s="22" t="s">
        <v>276</v>
      </c>
      <c r="C64" s="23">
        <v>9013000</v>
      </c>
      <c r="D64" s="23">
        <v>24345000</v>
      </c>
      <c r="E64" s="23">
        <f>D64-C64</f>
        <v>15332000</v>
      </c>
      <c r="F64" s="24">
        <f>IF(C64=0,0,E64/C64)</f>
        <v>1.7010984134028626</v>
      </c>
    </row>
    <row r="65" spans="1:6" ht="24" customHeight="1">
      <c r="A65" s="25"/>
      <c r="B65" s="26" t="s">
        <v>277</v>
      </c>
      <c r="C65" s="27">
        <f>SUM(C61:C64)</f>
        <v>70614000</v>
      </c>
      <c r="D65" s="27">
        <f>SUM(D61:D64)</f>
        <v>99512000</v>
      </c>
      <c r="E65" s="27">
        <f>D65-C65</f>
        <v>28898000</v>
      </c>
      <c r="F65" s="28">
        <f>IF(C65=0,0,E65/C65)</f>
        <v>0.4092389611125273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278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252</v>
      </c>
      <c r="B69" s="41" t="s">
        <v>279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280</v>
      </c>
      <c r="C70" s="23">
        <v>333893000</v>
      </c>
      <c r="D70" s="23">
        <v>308971000</v>
      </c>
      <c r="E70" s="23">
        <f>D70-C70</f>
        <v>-24922000</v>
      </c>
      <c r="F70" s="24">
        <f>IF(C70=0,0,E70/C70)</f>
        <v>-0.0746406783011324</v>
      </c>
    </row>
    <row r="71" spans="1:6" ht="24" customHeight="1">
      <c r="A71" s="21">
        <v>2</v>
      </c>
      <c r="B71" s="22" t="s">
        <v>281</v>
      </c>
      <c r="C71" s="23">
        <v>26410000</v>
      </c>
      <c r="D71" s="23">
        <v>25902000</v>
      </c>
      <c r="E71" s="23">
        <f>D71-C71</f>
        <v>-508000</v>
      </c>
      <c r="F71" s="24">
        <f>IF(C71=0,0,E71/C71)</f>
        <v>-0.019235138205225294</v>
      </c>
    </row>
    <row r="72" spans="1:6" ht="24" customHeight="1">
      <c r="A72" s="21">
        <v>3</v>
      </c>
      <c r="B72" s="22" t="s">
        <v>282</v>
      </c>
      <c r="C72" s="23">
        <v>20774000</v>
      </c>
      <c r="D72" s="23">
        <v>21753000</v>
      </c>
      <c r="E72" s="23">
        <f>D72-C72</f>
        <v>979000</v>
      </c>
      <c r="F72" s="24">
        <f>IF(C72=0,0,E72/C72)</f>
        <v>0.047126215461634736</v>
      </c>
    </row>
    <row r="73" spans="1:6" ht="24" customHeight="1">
      <c r="A73" s="21"/>
      <c r="B73" s="26" t="s">
        <v>283</v>
      </c>
      <c r="C73" s="27">
        <f>SUM(C70:C72)</f>
        <v>381077000</v>
      </c>
      <c r="D73" s="27">
        <f>SUM(D70:D72)</f>
        <v>356626000</v>
      </c>
      <c r="E73" s="27">
        <f>D73-C73</f>
        <v>-24451000</v>
      </c>
      <c r="F73" s="28">
        <f>IF(C73=0,0,E73/C73)</f>
        <v>-0.06416288571601016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284</v>
      </c>
      <c r="C75" s="27">
        <f>C56+C65+C67+C73</f>
        <v>493999000</v>
      </c>
      <c r="D75" s="27">
        <f>D56+D65+D67+D73</f>
        <v>503315000</v>
      </c>
      <c r="E75" s="27">
        <f>D75-C75</f>
        <v>9316000</v>
      </c>
      <c r="F75" s="28">
        <f>IF(C75=0,0,E75/C75)</f>
        <v>0.018858337769914513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FILING&amp;RGREENWICH HEALTH 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695</v>
      </c>
      <c r="B1" s="696"/>
      <c r="C1" s="696"/>
      <c r="D1" s="696"/>
      <c r="E1" s="696"/>
      <c r="F1" s="697"/>
    </row>
    <row r="2" spans="1:6" ht="22.5" customHeight="1">
      <c r="A2" s="695" t="s">
        <v>217</v>
      </c>
      <c r="B2" s="696"/>
      <c r="C2" s="696"/>
      <c r="D2" s="696"/>
      <c r="E2" s="696"/>
      <c r="F2" s="697"/>
    </row>
    <row r="3" spans="1:6" ht="22.5" customHeight="1">
      <c r="A3" s="695" t="s">
        <v>218</v>
      </c>
      <c r="B3" s="696"/>
      <c r="C3" s="696"/>
      <c r="D3" s="696"/>
      <c r="E3" s="696"/>
      <c r="F3" s="697"/>
    </row>
    <row r="4" spans="1:6" ht="22.5" customHeight="1">
      <c r="A4" s="695" t="s">
        <v>697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220</v>
      </c>
      <c r="D6" s="10" t="s">
        <v>221</v>
      </c>
      <c r="E6" s="59" t="s">
        <v>222</v>
      </c>
      <c r="F6" s="59" t="s">
        <v>223</v>
      </c>
    </row>
    <row r="7" spans="1:8" ht="15.75" customHeight="1">
      <c r="A7" s="61" t="s">
        <v>224</v>
      </c>
      <c r="B7" s="62" t="s">
        <v>225</v>
      </c>
      <c r="C7" s="14" t="s">
        <v>226</v>
      </c>
      <c r="D7" s="14" t="s">
        <v>226</v>
      </c>
      <c r="E7" s="63" t="s">
        <v>227</v>
      </c>
      <c r="F7" s="63" t="s">
        <v>227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230</v>
      </c>
      <c r="B11" s="30" t="s">
        <v>286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287</v>
      </c>
      <c r="C12" s="51">
        <v>791446000</v>
      </c>
      <c r="D12" s="51">
        <v>854689000</v>
      </c>
      <c r="E12" s="51">
        <f aca="true" t="shared" si="0" ref="E12:E19">D12-C12</f>
        <v>63243000</v>
      </c>
      <c r="F12" s="70">
        <f aca="true" t="shared" si="1" ref="F12:F19">IF(C12=0,0,E12/C12)</f>
        <v>0.07990816808727316</v>
      </c>
    </row>
    <row r="13" spans="1:6" ht="22.5" customHeight="1">
      <c r="A13" s="25">
        <v>2</v>
      </c>
      <c r="B13" s="48" t="s">
        <v>288</v>
      </c>
      <c r="C13" s="51">
        <v>482905000</v>
      </c>
      <c r="D13" s="51">
        <v>531351544</v>
      </c>
      <c r="E13" s="51">
        <f t="shared" si="0"/>
        <v>48446544</v>
      </c>
      <c r="F13" s="70">
        <f t="shared" si="1"/>
        <v>0.10032313602054234</v>
      </c>
    </row>
    <row r="14" spans="1:6" ht="22.5" customHeight="1">
      <c r="A14" s="25">
        <v>3</v>
      </c>
      <c r="B14" s="48" t="s">
        <v>289</v>
      </c>
      <c r="C14" s="51">
        <v>22244000</v>
      </c>
      <c r="D14" s="51">
        <v>25185225</v>
      </c>
      <c r="E14" s="51">
        <f t="shared" si="0"/>
        <v>2941225</v>
      </c>
      <c r="F14" s="70">
        <f t="shared" si="1"/>
        <v>0.1322255439669124</v>
      </c>
    </row>
    <row r="15" spans="1:7" ht="22.5" customHeight="1">
      <c r="A15" s="25">
        <v>4</v>
      </c>
      <c r="B15" s="48" t="s">
        <v>290</v>
      </c>
      <c r="C15" s="51">
        <v>14879000</v>
      </c>
      <c r="D15" s="51">
        <v>17008000</v>
      </c>
      <c r="E15" s="51">
        <f t="shared" si="0"/>
        <v>2129000</v>
      </c>
      <c r="F15" s="70">
        <f t="shared" si="1"/>
        <v>0.14308757308958936</v>
      </c>
      <c r="G15" s="64"/>
    </row>
    <row r="16" spans="1:6" ht="22.5" customHeight="1">
      <c r="A16" s="29"/>
      <c r="B16" s="71" t="s">
        <v>291</v>
      </c>
      <c r="C16" s="27">
        <f>C12-C13-C14-C15</f>
        <v>271418000</v>
      </c>
      <c r="D16" s="27">
        <f>D12-D13-D14-D15</f>
        <v>281144231</v>
      </c>
      <c r="E16" s="27">
        <f t="shared" si="0"/>
        <v>9726231</v>
      </c>
      <c r="F16" s="28">
        <f t="shared" si="1"/>
        <v>0.03583487830578665</v>
      </c>
    </row>
    <row r="17" spans="1:7" ht="22.5" customHeight="1">
      <c r="A17" s="25">
        <v>5</v>
      </c>
      <c r="B17" s="48" t="s">
        <v>292</v>
      </c>
      <c r="C17" s="51">
        <v>9612000</v>
      </c>
      <c r="D17" s="51">
        <v>11164769</v>
      </c>
      <c r="E17" s="51">
        <f t="shared" si="0"/>
        <v>1552769</v>
      </c>
      <c r="F17" s="70">
        <f t="shared" si="1"/>
        <v>0.16154483978360382</v>
      </c>
      <c r="G17" s="64"/>
    </row>
    <row r="18" spans="1:7" ht="33" customHeight="1">
      <c r="A18" s="25">
        <v>6</v>
      </c>
      <c r="B18" s="45" t="s">
        <v>293</v>
      </c>
      <c r="C18" s="51">
        <v>7206000</v>
      </c>
      <c r="D18" s="51">
        <v>6439000</v>
      </c>
      <c r="E18" s="51">
        <f t="shared" si="0"/>
        <v>-767000</v>
      </c>
      <c r="F18" s="70">
        <f t="shared" si="1"/>
        <v>-0.1064390785456564</v>
      </c>
      <c r="G18" s="64"/>
    </row>
    <row r="19" spans="1:6" ht="22.5" customHeight="1">
      <c r="A19" s="29"/>
      <c r="B19" s="71" t="s">
        <v>294</v>
      </c>
      <c r="C19" s="27">
        <f>SUM(C16:C18)</f>
        <v>288236000</v>
      </c>
      <c r="D19" s="27">
        <f>SUM(D16:D18)</f>
        <v>298748000</v>
      </c>
      <c r="E19" s="27">
        <f t="shared" si="0"/>
        <v>10512000</v>
      </c>
      <c r="F19" s="28">
        <f t="shared" si="1"/>
        <v>0.036470114767065874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242</v>
      </c>
      <c r="B21" s="30" t="s">
        <v>295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296</v>
      </c>
      <c r="C22" s="51">
        <v>124292000</v>
      </c>
      <c r="D22" s="51">
        <v>123539676</v>
      </c>
      <c r="E22" s="51">
        <f aca="true" t="shared" si="2" ref="E22:E31">D22-C22</f>
        <v>-752324</v>
      </c>
      <c r="F22" s="70">
        <f aca="true" t="shared" si="3" ref="F22:F31">IF(C22=0,0,E22/C22)</f>
        <v>-0.006052875486756992</v>
      </c>
    </row>
    <row r="23" spans="1:6" ht="22.5" customHeight="1">
      <c r="A23" s="25">
        <v>2</v>
      </c>
      <c r="B23" s="48" t="s">
        <v>297</v>
      </c>
      <c r="C23" s="51">
        <v>30762000</v>
      </c>
      <c r="D23" s="51">
        <v>34145324</v>
      </c>
      <c r="E23" s="51">
        <f t="shared" si="2"/>
        <v>3383324</v>
      </c>
      <c r="F23" s="70">
        <f t="shared" si="3"/>
        <v>0.10998387621090956</v>
      </c>
    </row>
    <row r="24" spans="1:7" ht="22.5" customHeight="1">
      <c r="A24" s="25">
        <v>3</v>
      </c>
      <c r="B24" s="48" t="s">
        <v>298</v>
      </c>
      <c r="C24" s="51">
        <v>1002694</v>
      </c>
      <c r="D24" s="51">
        <v>3751612</v>
      </c>
      <c r="E24" s="51">
        <f t="shared" si="2"/>
        <v>2748918</v>
      </c>
      <c r="F24" s="70">
        <f t="shared" si="3"/>
        <v>2.741532311951602</v>
      </c>
      <c r="G24" s="64"/>
    </row>
    <row r="25" spans="1:6" ht="22.5" customHeight="1">
      <c r="A25" s="25">
        <v>4</v>
      </c>
      <c r="B25" s="48" t="s">
        <v>299</v>
      </c>
      <c r="C25" s="51">
        <v>31780635</v>
      </c>
      <c r="D25" s="51">
        <v>32944899</v>
      </c>
      <c r="E25" s="51">
        <f t="shared" si="2"/>
        <v>1164264</v>
      </c>
      <c r="F25" s="70">
        <f t="shared" si="3"/>
        <v>0.036634384429386005</v>
      </c>
    </row>
    <row r="26" spans="1:6" ht="22.5" customHeight="1">
      <c r="A26" s="25">
        <v>5</v>
      </c>
      <c r="B26" s="48" t="s">
        <v>300</v>
      </c>
      <c r="C26" s="51">
        <v>18253000</v>
      </c>
      <c r="D26" s="51">
        <v>20411000</v>
      </c>
      <c r="E26" s="51">
        <f t="shared" si="2"/>
        <v>2158000</v>
      </c>
      <c r="F26" s="70">
        <f t="shared" si="3"/>
        <v>0.11822714074398728</v>
      </c>
    </row>
    <row r="27" spans="1:6" ht="22.5" customHeight="1">
      <c r="A27" s="25">
        <v>6</v>
      </c>
      <c r="B27" s="48" t="s">
        <v>301</v>
      </c>
      <c r="C27" s="51">
        <v>10128000</v>
      </c>
      <c r="D27" s="51">
        <v>8087000</v>
      </c>
      <c r="E27" s="51">
        <f t="shared" si="2"/>
        <v>-2041000</v>
      </c>
      <c r="F27" s="70">
        <f t="shared" si="3"/>
        <v>-0.20152053712480253</v>
      </c>
    </row>
    <row r="28" spans="1:6" ht="22.5" customHeight="1">
      <c r="A28" s="25">
        <v>7</v>
      </c>
      <c r="B28" s="48" t="s">
        <v>302</v>
      </c>
      <c r="C28" s="51">
        <v>2205000</v>
      </c>
      <c r="D28" s="51">
        <v>669000</v>
      </c>
      <c r="E28" s="51">
        <f t="shared" si="2"/>
        <v>-1536000</v>
      </c>
      <c r="F28" s="70">
        <f t="shared" si="3"/>
        <v>-0.6965986394557823</v>
      </c>
    </row>
    <row r="29" spans="1:6" ht="22.5" customHeight="1">
      <c r="A29" s="25">
        <v>8</v>
      </c>
      <c r="B29" s="48" t="s">
        <v>303</v>
      </c>
      <c r="C29" s="51">
        <v>3865478</v>
      </c>
      <c r="D29" s="51">
        <v>2858541</v>
      </c>
      <c r="E29" s="51">
        <f t="shared" si="2"/>
        <v>-1006937</v>
      </c>
      <c r="F29" s="70">
        <f t="shared" si="3"/>
        <v>-0.26049482108034244</v>
      </c>
    </row>
    <row r="30" spans="1:6" ht="22.5" customHeight="1">
      <c r="A30" s="25">
        <v>9</v>
      </c>
      <c r="B30" s="48" t="s">
        <v>304</v>
      </c>
      <c r="C30" s="51">
        <v>62210193</v>
      </c>
      <c r="D30" s="51">
        <v>64424948</v>
      </c>
      <c r="E30" s="51">
        <f t="shared" si="2"/>
        <v>2214755</v>
      </c>
      <c r="F30" s="70">
        <f t="shared" si="3"/>
        <v>0.03560115944343719</v>
      </c>
    </row>
    <row r="31" spans="1:6" ht="22.5" customHeight="1">
      <c r="A31" s="29"/>
      <c r="B31" s="71" t="s">
        <v>305</v>
      </c>
      <c r="C31" s="27">
        <f>SUM(C22:C30)</f>
        <v>284499000</v>
      </c>
      <c r="D31" s="27">
        <f>SUM(D22:D30)</f>
        <v>290832000</v>
      </c>
      <c r="E31" s="27">
        <f t="shared" si="2"/>
        <v>6333000</v>
      </c>
      <c r="F31" s="28">
        <f t="shared" si="3"/>
        <v>0.022260183691331075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306</v>
      </c>
      <c r="C33" s="27">
        <f>+C19-C31</f>
        <v>3737000</v>
      </c>
      <c r="D33" s="27">
        <f>+D19-D31</f>
        <v>7916000</v>
      </c>
      <c r="E33" s="27">
        <f>D33-C33</f>
        <v>4179000</v>
      </c>
      <c r="F33" s="28">
        <f>IF(C33=0,0,E33/C33)</f>
        <v>1.1182766925341183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252</v>
      </c>
      <c r="B35" s="30" t="s">
        <v>307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308</v>
      </c>
      <c r="C36" s="51">
        <v>0</v>
      </c>
      <c r="D36" s="51">
        <v>1487000</v>
      </c>
      <c r="E36" s="51">
        <f>D36-C36</f>
        <v>1487000</v>
      </c>
      <c r="F36" s="70">
        <f>IF(C36=0,0,E36/C36)</f>
        <v>0</v>
      </c>
    </row>
    <row r="37" spans="1:6" ht="22.5" customHeight="1">
      <c r="A37" s="44">
        <v>2</v>
      </c>
      <c r="B37" s="48" t="s">
        <v>309</v>
      </c>
      <c r="C37" s="51">
        <v>0</v>
      </c>
      <c r="D37" s="51">
        <v>2571000</v>
      </c>
      <c r="E37" s="51">
        <f>D37-C37</f>
        <v>2571000</v>
      </c>
      <c r="F37" s="70">
        <f>IF(C37=0,0,E37/C37)</f>
        <v>0</v>
      </c>
    </row>
    <row r="38" spans="1:6" ht="22.5" customHeight="1">
      <c r="A38" s="44">
        <v>3</v>
      </c>
      <c r="B38" s="48" t="s">
        <v>310</v>
      </c>
      <c r="C38" s="51">
        <v>-15885000</v>
      </c>
      <c r="D38" s="51">
        <v>-7274000</v>
      </c>
      <c r="E38" s="51">
        <f>D38-C38</f>
        <v>8611000</v>
      </c>
      <c r="F38" s="70">
        <f>IF(C38=0,0,E38/C38)</f>
        <v>-0.5420837267862764</v>
      </c>
    </row>
    <row r="39" spans="1:6" ht="22.5" customHeight="1">
      <c r="A39" s="20"/>
      <c r="B39" s="71" t="s">
        <v>311</v>
      </c>
      <c r="C39" s="27">
        <f>SUM(C36:C38)</f>
        <v>-15885000</v>
      </c>
      <c r="D39" s="27">
        <f>SUM(D36:D38)</f>
        <v>-3216000</v>
      </c>
      <c r="E39" s="27">
        <f>D39-C39</f>
        <v>12669000</v>
      </c>
      <c r="F39" s="28">
        <f>IF(C39=0,0,E39/C39)</f>
        <v>-0.7975448536355052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312</v>
      </c>
      <c r="C41" s="27">
        <f>C33+C39</f>
        <v>-12148000</v>
      </c>
      <c r="D41" s="27">
        <f>D33+D39</f>
        <v>4700000</v>
      </c>
      <c r="E41" s="27">
        <f>D41-C41</f>
        <v>16848000</v>
      </c>
      <c r="F41" s="28">
        <f>IF(C41=0,0,E41/C41)</f>
        <v>-1.3868949621336846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313</v>
      </c>
      <c r="C43" s="27"/>
      <c r="D43" s="27"/>
      <c r="E43" s="27"/>
      <c r="F43" s="28"/>
    </row>
    <row r="44" spans="1:6" ht="22.5" customHeight="1">
      <c r="A44" s="44"/>
      <c r="B44" s="48" t="s">
        <v>314</v>
      </c>
      <c r="C44" s="51">
        <v>0</v>
      </c>
      <c r="D44" s="51">
        <v>6098000</v>
      </c>
      <c r="E44" s="51">
        <f>D44-C44</f>
        <v>6098000</v>
      </c>
      <c r="F44" s="70">
        <f>IF(C44=0,0,E44/C44)</f>
        <v>0</v>
      </c>
    </row>
    <row r="45" spans="1:6" ht="22.5" customHeight="1">
      <c r="A45" s="44"/>
      <c r="B45" s="48" t="s">
        <v>315</v>
      </c>
      <c r="C45" s="51">
        <v>0</v>
      </c>
      <c r="D45" s="51">
        <v>-3971000</v>
      </c>
      <c r="E45" s="51">
        <f>D45-C45</f>
        <v>-3971000</v>
      </c>
      <c r="F45" s="70">
        <f>IF(C45=0,0,E45/C45)</f>
        <v>0</v>
      </c>
    </row>
    <row r="46" spans="1:6" ht="22.5" customHeight="1">
      <c r="A46" s="20"/>
      <c r="B46" s="74" t="s">
        <v>316</v>
      </c>
      <c r="C46" s="27">
        <f>SUM(C44:C45)</f>
        <v>0</v>
      </c>
      <c r="D46" s="27">
        <f>SUM(D44:D45)</f>
        <v>2127000</v>
      </c>
      <c r="E46" s="27">
        <f>D46-C46</f>
        <v>2127000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317</v>
      </c>
      <c r="C48" s="27">
        <f>C41+C46</f>
        <v>-12148000</v>
      </c>
      <c r="D48" s="27">
        <f>D41+D46</f>
        <v>6827000</v>
      </c>
      <c r="E48" s="27">
        <f>D48-C48</f>
        <v>18975000</v>
      </c>
      <c r="F48" s="28">
        <f>IF(C48=0,0,E48/C48)</f>
        <v>-1.5619855120184392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FILING&amp;R&amp;8GREENWICH HEALTH 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2010-08-13T14:42:17Z</cp:lastPrinted>
  <dcterms:created xsi:type="dcterms:W3CDTF">2006-08-03T13:49:12Z</dcterms:created>
  <dcterms:modified xsi:type="dcterms:W3CDTF">2010-08-13T14:42:22Z</dcterms:modified>
  <cp:category/>
  <cp:version/>
  <cp:contentType/>
  <cp:contentStatus/>
</cp:coreProperties>
</file>