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<sst xmlns="http://schemas.openxmlformats.org/spreadsheetml/2006/main" count="2300" uniqueCount="978">
  <si>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</si>
  <si>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</si>
  <si>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</si>
  <si>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</si>
  <si>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</si>
  <si>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</si>
  <si>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</si>
  <si>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</si>
  <si>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</si>
  <si>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</si>
  <si>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</si>
  <si>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</si>
  <si>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</si>
  <si>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</si>
  <si>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</si>
  <si>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</si>
  <si>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</si>
  <si>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</si>
  <si>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</si>
  <si>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</si>
  <si>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</si>
  <si>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</si>
  <si>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</si>
  <si>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</si>
  <si>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</si>
  <si>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</si>
  <si>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</si>
  <si>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</si>
  <si>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</si>
  <si>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</si>
  <si>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</si>
  <si>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</si>
  <si>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</si>
  <si>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</si>
  <si>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</si>
  <si>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</si>
  <si>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</si>
  <si>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</si>
  <si>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</si>
  <si>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</si>
  <si>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</si>
  <si>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</si>
  <si>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</si>
  <si>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</si>
  <si>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</si>
  <si>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</si>
  <si>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</si>
  <si>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</si>
  <si>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</si>
  <si>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</si>
  <si>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</si>
  <si>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</si>
  <si>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</si>
  <si>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</si>
  <si>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</si>
  <si>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</si>
  <si>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</si>
  <si>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</si>
  <si>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</si>
  <si>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</si>
  <si>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</si>
  <si>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</si>
  <si>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</si>
  <si>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</si>
  <si>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</si>
  <si>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</si>
  <si>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</si>
  <si>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</si>
  <si>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</si>
  <si>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</si>
  <si>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</si>
  <si>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</si>
  <si>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</si>
  <si>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</si>
  <si>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</si>
  <si>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</si>
  <si>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</si>
  <si>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</si>
  <si>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</si>
  <si>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</si>
  <si>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</si>
  <si>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</si>
  <si>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</si>
  <si>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</si>
  <si>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</si>
  <si>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</si>
  <si>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</si>
  <si>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</si>
  <si>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</si>
  <si>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</si>
  <si>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</si>
  <si>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</si>
  <si>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</si>
  <si>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</si>
  <si>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</si>
  <si>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</si>
  <si>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</si>
  <si>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</si>
  <si>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</si>
  <si>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</si>
  <si>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</si>
  <si>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</si>
  <si>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</si>
  <si>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</si>
  <si>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</si>
  <si>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</si>
  <si>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</si>
  <si>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</si>
  <si>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</si>
  <si>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</si>
  <si>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</si>
  <si>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</si>
  <si>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</si>
  <si>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</si>
  <si>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</si>
  <si>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DANBURY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</si>
  <si>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</si>
  <si>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</si>
  <si>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</si>
  <si>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</si>
  <si>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</si>
  <si>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</si>
  <si>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</si>
  <si>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</si>
  <si>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</si>
  <si>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</si>
  <si>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</si>
  <si>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</si>
  <si>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</si>
  <si>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</si>
  <si>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</si>
  <si>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</si>
  <si>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</si>
  <si>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</si>
  <si>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</si>
  <si>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</si>
  <si>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</si>
  <si>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</si>
  <si>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</si>
  <si>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</si>
  <si>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</si>
  <si>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</si>
  <si>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</si>
  <si>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</si>
  <si>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</si>
  <si>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</si>
  <si>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</si>
  <si>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</si>
  <si>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</si>
  <si>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</si>
  <si>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</si>
  <si>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</si>
  <si>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</si>
  <si>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</si>
  <si>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</si>
  <si>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</si>
  <si>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</si>
  <si>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</si>
  <si>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</si>
  <si>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</si>
  <si>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</si>
  <si>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</si>
  <si>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</si>
  <si>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</si>
  <si>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</si>
  <si>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</si>
  <si>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</si>
  <si>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</si>
  <si>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</si>
  <si>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</si>
  <si>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</si>
  <si>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</si>
  <si>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</si>
  <si>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</si>
  <si>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</si>
  <si>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</si>
  <si>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</si>
  <si>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</si>
  <si>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</si>
  <si>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</si>
  <si>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</si>
  <si>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</si>
  <si>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</si>
  <si>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</si>
  <si>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</si>
  <si>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</si>
  <si>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</si>
  <si>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</si>
  <si>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</si>
  <si>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</si>
  <si>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</si>
  <si>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</si>
  <si>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</si>
  <si>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</si>
  <si>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</si>
  <si>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</si>
  <si>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</si>
  <si>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</si>
  <si>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</si>
  <si>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</si>
  <si>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</si>
  <si>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</si>
  <si>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</si>
  <si>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</si>
  <si>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</si>
  <si>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</si>
  <si>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</si>
  <si>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</si>
  <si>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</si>
  <si>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</si>
  <si>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</si>
  <si>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</si>
  <si>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</si>
  <si>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</si>
  <si>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</si>
  <si>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</si>
  <si>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</si>
  <si>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</si>
  <si>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</si>
  <si>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</si>
  <si>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</si>
  <si>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</si>
  <si>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</si>
  <si>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</si>
  <si>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</si>
  <si>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</si>
  <si>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</si>
  <si>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</si>
  <si>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</si>
  <si>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</si>
  <si>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</si>
  <si>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</si>
  <si>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</si>
  <si>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</si>
  <si>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</si>
  <si>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</si>
  <si>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</si>
  <si>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</si>
  <si>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</si>
  <si>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</si>
  <si>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</si>
  <si>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</si>
  <si>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</si>
  <si>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</si>
  <si>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</si>
  <si>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</si>
  <si>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</si>
  <si>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</si>
  <si>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</si>
  <si>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</si>
  <si>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</si>
  <si>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</si>
  <si>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</si>
  <si>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</si>
  <si>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</si>
  <si>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</si>
  <si>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</si>
  <si>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</si>
  <si>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</si>
  <si>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</si>
  <si>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</si>
  <si>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</si>
  <si>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</si>
  <si>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</si>
  <si>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</si>
  <si>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</si>
  <si>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</si>
  <si>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</si>
  <si>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</si>
  <si>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</si>
  <si>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</si>
  <si>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</si>
  <si>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</si>
  <si>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</si>
  <si>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</si>
  <si>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</si>
  <si>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</si>
  <si>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</si>
  <si>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</si>
  <si>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</si>
  <si>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</si>
  <si>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</si>
  <si>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</si>
  <si>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</si>
  <si>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</si>
  <si>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</si>
  <si>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</si>
  <si>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</si>
  <si>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</si>
  <si>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</si>
  <si>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</si>
  <si>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</si>
  <si>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</si>
  <si>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</si>
  <si>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</si>
  <si>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</si>
  <si>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</si>
  <si>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</si>
  <si>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</si>
  <si>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</si>
  <si>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</si>
  <si>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</si>
  <si>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</si>
  <si>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</si>
  <si>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</si>
  <si>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</si>
  <si>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</si>
  <si>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</si>
  <si>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</si>
  <si>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</si>
  <si>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</si>
  <si>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</si>
  <si>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</si>
  <si>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</si>
  <si>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</si>
  <si>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</si>
  <si>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</si>
  <si>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</si>
  <si>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</si>
  <si>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</si>
  <si>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</si>
  <si>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</si>
  <si>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</si>
  <si>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</si>
  <si>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</si>
  <si>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</si>
  <si>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</si>
  <si>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</si>
  <si>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</si>
  <si>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</si>
  <si>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</si>
  <si>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</si>
  <si>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</si>
  <si>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</si>
  <si>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</si>
  <si>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</si>
  <si>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</si>
  <si>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</si>
  <si>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</si>
  <si>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</si>
  <si>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</si>
  <si>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</si>
  <si>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</si>
  <si>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</si>
  <si>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</si>
  <si>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</si>
  <si>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</si>
  <si>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</si>
  <si>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</si>
  <si>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</si>
  <si>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</si>
  <si>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</si>
  <si>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</si>
  <si>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</si>
  <si>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</si>
  <si>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</si>
  <si>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</si>
  <si>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</si>
  <si>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</si>
  <si>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</si>
  <si>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</si>
  <si>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</si>
  <si>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</si>
  <si>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</si>
  <si>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</si>
  <si>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</si>
  <si>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</si>
  <si>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</si>
  <si>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</si>
  <si>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</si>
  <si>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</si>
  <si>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</si>
  <si>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</si>
  <si>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</si>
  <si>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</si>
  <si>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</si>
  <si>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</si>
  <si>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</si>
  <si>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</si>
  <si>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</si>
  <si>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</si>
  <si>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</si>
  <si>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</si>
  <si>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</si>
  <si>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</si>
  <si>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</si>
  <si>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</si>
  <si>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</si>
  <si>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</si>
  <si>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</si>
  <si>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</si>
  <si>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</si>
  <si>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</si>
  <si>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</si>
  <si>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</si>
  <si>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</si>
  <si>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</si>
  <si>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</si>
  <si>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</si>
  <si>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</si>
  <si>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</si>
  <si>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</si>
  <si>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</si>
  <si>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</si>
  <si>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</si>
  <si>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</si>
  <si>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</si>
  <si>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</si>
  <si>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</si>
  <si>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</si>
  <si>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</si>
  <si>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</si>
  <si>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</si>
  <si>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</si>
  <si>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</si>
  <si>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</si>
  <si>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</si>
  <si>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</si>
  <si>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</si>
  <si>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</si>
  <si>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</si>
  <si>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</si>
  <si>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</si>
  <si>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</si>
  <si>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</si>
  <si>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</si>
  <si>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</si>
  <si>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</si>
  <si>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</si>
  <si>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</si>
  <si>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</si>
  <si>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</si>
  <si>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</si>
  <si>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</si>
  <si>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</si>
  <si>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</si>
  <si>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</si>
  <si>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</si>
  <si>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</si>
  <si>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</si>
  <si>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</si>
  <si>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</si>
  <si>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</si>
  <si>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</si>
  <si>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</si>
  <si>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</si>
  <si>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</si>
  <si>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</si>
  <si>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</si>
  <si>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</si>
  <si>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</si>
  <si>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</si>
  <si>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</si>
  <si>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</si>
  <si>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</si>
  <si>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</si>
  <si>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</si>
  <si>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</si>
  <si>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</si>
  <si>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</si>
  <si>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</si>
  <si>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</si>
  <si>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</si>
  <si>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</si>
  <si>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</si>
  <si>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</si>
  <si>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</si>
  <si>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</si>
  <si>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</si>
  <si>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</si>
  <si>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</si>
  <si>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</si>
  <si>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</si>
  <si>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</si>
  <si>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</si>
  <si>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</si>
  <si>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</si>
  <si>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</si>
  <si>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</si>
  <si>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</si>
  <si>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</si>
  <si>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</si>
  <si>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</si>
  <si>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</si>
  <si>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</si>
  <si>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</si>
  <si>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</si>
  <si>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</si>
  <si>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</si>
  <si>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</si>
  <si>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</si>
  <si>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</si>
  <si>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</si>
  <si>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</si>
  <si>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</si>
  <si>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</si>
  <si>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</si>
  <si>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</si>
  <si>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</si>
  <si>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</si>
  <si>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</si>
  <si>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</si>
  <si>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</si>
  <si>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</si>
  <si>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</si>
  <si>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</si>
  <si>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</si>
  <si>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</si>
  <si>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</si>
  <si>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</si>
  <si>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</si>
  <si>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</si>
  <si>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</si>
  <si>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</si>
  <si>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</si>
  <si>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</si>
  <si>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</si>
  <si>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</si>
  <si>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</si>
  <si>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</si>
  <si>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</si>
  <si>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</si>
  <si>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</si>
  <si>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</si>
  <si>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</si>
  <si>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</si>
  <si>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</si>
  <si>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</si>
  <si>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</si>
  <si>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</si>
  <si>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</si>
  <si>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</si>
  <si>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</si>
  <si>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</si>
  <si>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</si>
  <si>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</si>
  <si>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</si>
  <si>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</si>
  <si>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</si>
  <si>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</si>
  <si>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</si>
  <si>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</si>
  <si>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</si>
  <si>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</si>
  <si>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</si>
  <si>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</si>
  <si>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</si>
  <si>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</si>
  <si>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</si>
  <si>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</si>
  <si>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</si>
  <si>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</si>
  <si>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</si>
  <si>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</si>
  <si>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</si>
  <si>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</si>
  <si>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</si>
  <si>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</si>
  <si>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</si>
  <si>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</si>
  <si>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</si>
  <si>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</si>
  <si>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</si>
  <si>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</si>
  <si>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</si>
  <si>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</si>
  <si>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</si>
  <si>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</si>
  <si>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</si>
  <si>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</si>
  <si>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</si>
  <si>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</si>
  <si>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</si>
  <si>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</si>
  <si>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</si>
  <si>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</si>
  <si>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</si>
  <si>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</si>
  <si>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</si>
  <si>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</si>
  <si>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</si>
  <si>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</si>
  <si>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</si>
  <si>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</si>
  <si>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</si>
  <si>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</si>
  <si>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</si>
  <si>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</si>
  <si>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</si>
  <si>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</si>
  <si>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</si>
  <si>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</si>
  <si>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</si>
  <si>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</si>
  <si>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DANBURY HEALTH SYSTEMS,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</si>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</sst>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29827344</v>
      </c>
      <c r="D13" s="23">
        <v>38643022</v>
      </c>
      <c r="E13" s="23">
        <f aca="true" t="shared" si="0" ref="E13:E22">D13-C13</f>
        <v>8815678</v>
      </c>
      <c r="F13" s="24">
        <f aca="true" t="shared" si="1" ref="F13:F22">IF(C13=0,0,E13/C13)</f>
        <v>0.2955569225339004</v>
      </c>
    </row>
    <row r="14" spans="1:6" ht="24" customHeight="1">
      <c r="A14" s="21">
        <v>2</v>
      </c>
      <c r="B14" s="22" t="s">
        <v>132</v>
      </c>
      <c r="C14" s="23">
        <v>113069804</v>
      </c>
      <c r="D14" s="23">
        <v>144958291</v>
      </c>
      <c r="E14" s="23">
        <f t="shared" si="0"/>
        <v>31888487</v>
      </c>
      <c r="F14" s="24">
        <f t="shared" si="1"/>
        <v>0.28202478355759775</v>
      </c>
    </row>
    <row r="15" spans="1:6" ht="24" customHeight="1">
      <c r="A15" s="21">
        <v>3</v>
      </c>
      <c r="B15" s="22" t="s">
        <v>133</v>
      </c>
      <c r="C15" s="23">
        <v>47038786</v>
      </c>
      <c r="D15" s="23">
        <v>41637724</v>
      </c>
      <c r="E15" s="23">
        <f t="shared" si="0"/>
        <v>-5401062</v>
      </c>
      <c r="F15" s="24">
        <f t="shared" si="1"/>
        <v>-0.11482145818984359</v>
      </c>
    </row>
    <row r="16" spans="1:6" ht="24" customHeight="1">
      <c r="A16" s="21">
        <v>4</v>
      </c>
      <c r="B16" s="22" t="s">
        <v>134</v>
      </c>
      <c r="C16" s="23">
        <v>1777234</v>
      </c>
      <c r="D16" s="23">
        <v>1756854</v>
      </c>
      <c r="E16" s="23">
        <f t="shared" si="0"/>
        <v>-20380</v>
      </c>
      <c r="F16" s="24">
        <f t="shared" si="1"/>
        <v>-0.011467257547402313</v>
      </c>
    </row>
    <row r="17" spans="1:6" ht="24" customHeight="1">
      <c r="A17" s="21">
        <v>5</v>
      </c>
      <c r="B17" s="22" t="s">
        <v>135</v>
      </c>
      <c r="C17" s="23">
        <v>18149728</v>
      </c>
      <c r="D17" s="23">
        <v>3777584</v>
      </c>
      <c r="E17" s="23">
        <f t="shared" si="0"/>
        <v>-14372144</v>
      </c>
      <c r="F17" s="24">
        <f t="shared" si="1"/>
        <v>-0.7918655309875718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7241633</v>
      </c>
      <c r="D19" s="23">
        <v>7249038</v>
      </c>
      <c r="E19" s="23">
        <f t="shared" si="0"/>
        <v>7405</v>
      </c>
      <c r="F19" s="24">
        <f t="shared" si="1"/>
        <v>0.0010225594144304192</v>
      </c>
    </row>
    <row r="20" spans="1:6" ht="24" customHeight="1">
      <c r="A20" s="21">
        <v>8</v>
      </c>
      <c r="B20" s="22" t="s">
        <v>138</v>
      </c>
      <c r="C20" s="23">
        <v>3901143</v>
      </c>
      <c r="D20" s="23">
        <v>3805773</v>
      </c>
      <c r="E20" s="23">
        <f t="shared" si="0"/>
        <v>-95370</v>
      </c>
      <c r="F20" s="24">
        <f t="shared" si="1"/>
        <v>-0.024446681395683265</v>
      </c>
    </row>
    <row r="21" spans="1:6" ht="24" customHeight="1">
      <c r="A21" s="21">
        <v>9</v>
      </c>
      <c r="B21" s="22" t="s">
        <v>139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6" ht="24" customHeight="1">
      <c r="A22" s="25"/>
      <c r="B22" s="26" t="s">
        <v>140</v>
      </c>
      <c r="C22" s="27">
        <f>SUM(C13:C21)</f>
        <v>221005672</v>
      </c>
      <c r="D22" s="27">
        <f>SUM(D13:D21)</f>
        <v>241828286</v>
      </c>
      <c r="E22" s="27">
        <f t="shared" si="0"/>
        <v>20822614</v>
      </c>
      <c r="F22" s="28">
        <f t="shared" si="1"/>
        <v>0.09421755474221494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146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24" customHeight="1">
      <c r="A29" s="25"/>
      <c r="B29" s="26" t="s">
        <v>147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150</v>
      </c>
      <c r="C33" s="23">
        <v>161403365</v>
      </c>
      <c r="D33" s="23">
        <v>146734669</v>
      </c>
      <c r="E33" s="23">
        <f>D33-C33</f>
        <v>-14668696</v>
      </c>
      <c r="F33" s="24">
        <f>IF(C33=0,0,E33/C33)</f>
        <v>-0.09088221921519418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382976014</v>
      </c>
      <c r="D36" s="23">
        <v>410335554</v>
      </c>
      <c r="E36" s="23">
        <f>D36-C36</f>
        <v>27359540</v>
      </c>
      <c r="F36" s="24">
        <f>IF(C36=0,0,E36/C36)</f>
        <v>0.07143930429021594</v>
      </c>
    </row>
    <row r="37" spans="1:6" ht="24" customHeight="1">
      <c r="A37" s="21">
        <v>2</v>
      </c>
      <c r="B37" s="22" t="s">
        <v>154</v>
      </c>
      <c r="C37" s="23">
        <v>229167870</v>
      </c>
      <c r="D37" s="23">
        <v>251993763</v>
      </c>
      <c r="E37" s="23">
        <f>D37-C37</f>
        <v>22825893</v>
      </c>
      <c r="F37" s="24">
        <f>IF(C37=0,0,E37/C37)</f>
        <v>0.09960337371901218</v>
      </c>
    </row>
    <row r="38" spans="1:6" ht="24" customHeight="1">
      <c r="A38" s="25"/>
      <c r="B38" s="26" t="s">
        <v>155</v>
      </c>
      <c r="C38" s="27">
        <f>C36-C37</f>
        <v>153808144</v>
      </c>
      <c r="D38" s="27">
        <f>D36-D37</f>
        <v>158341791</v>
      </c>
      <c r="E38" s="27">
        <f>D38-C38</f>
        <v>4533647</v>
      </c>
      <c r="F38" s="28">
        <f>IF(C38=0,0,E38/C38)</f>
        <v>0.029475987955488236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13442247</v>
      </c>
      <c r="D40" s="23">
        <v>12550101</v>
      </c>
      <c r="E40" s="23">
        <f>D40-C40</f>
        <v>-892146</v>
      </c>
      <c r="F40" s="24">
        <f>IF(C40=0,0,E40/C40)</f>
        <v>-0.06636881467808173</v>
      </c>
    </row>
    <row r="41" spans="1:6" ht="24" customHeight="1">
      <c r="A41" s="25"/>
      <c r="B41" s="26" t="s">
        <v>157</v>
      </c>
      <c r="C41" s="27">
        <f>+C38+C40</f>
        <v>167250391</v>
      </c>
      <c r="D41" s="27">
        <f>+D38+D40</f>
        <v>170891892</v>
      </c>
      <c r="E41" s="27">
        <f>D41-C41</f>
        <v>3641501</v>
      </c>
      <c r="F41" s="28">
        <f>IF(C41=0,0,E41/C41)</f>
        <v>0.021772750295094977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549659428</v>
      </c>
      <c r="D43" s="27">
        <f>D22+D29+D31+D32+D33+D41</f>
        <v>559454847</v>
      </c>
      <c r="E43" s="27">
        <f>D43-C43</f>
        <v>9795419</v>
      </c>
      <c r="F43" s="28">
        <f>IF(C43=0,0,E43/C43)</f>
        <v>0.01782088780982394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18157125</v>
      </c>
      <c r="D49" s="23">
        <v>19951815</v>
      </c>
      <c r="E49" s="23">
        <f aca="true" t="shared" si="2" ref="E49:E56">D49-C49</f>
        <v>1794690</v>
      </c>
      <c r="F49" s="24">
        <f aca="true" t="shared" si="3" ref="F49:F56">IF(C49=0,0,E49/C49)</f>
        <v>0.09884219004936079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11911101</v>
      </c>
      <c r="D50" s="23">
        <v>14142886</v>
      </c>
      <c r="E50" s="23">
        <f t="shared" si="2"/>
        <v>2231785</v>
      </c>
      <c r="F50" s="24">
        <f t="shared" si="3"/>
        <v>0.1873701683832586</v>
      </c>
    </row>
    <row r="51" spans="1:6" ht="24" customHeight="1">
      <c r="A51" s="21">
        <f t="shared" si="4"/>
        <v>3</v>
      </c>
      <c r="B51" s="22" t="s">
        <v>164</v>
      </c>
      <c r="C51" s="23">
        <v>2891698</v>
      </c>
      <c r="D51" s="23">
        <v>8646835</v>
      </c>
      <c r="E51" s="23">
        <f t="shared" si="2"/>
        <v>5755137</v>
      </c>
      <c r="F51" s="24">
        <f t="shared" si="3"/>
        <v>1.9902275410502757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2425000</v>
      </c>
      <c r="D53" s="23">
        <v>2460000</v>
      </c>
      <c r="E53" s="23">
        <f t="shared" si="2"/>
        <v>35000</v>
      </c>
      <c r="F53" s="24">
        <f t="shared" si="3"/>
        <v>0.01443298969072165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4317763</v>
      </c>
      <c r="D55" s="23">
        <v>4422852</v>
      </c>
      <c r="E55" s="23">
        <f t="shared" si="2"/>
        <v>105089</v>
      </c>
      <c r="F55" s="24">
        <f t="shared" si="3"/>
        <v>0.024338760603581068</v>
      </c>
    </row>
    <row r="56" spans="1:6" ht="24" customHeight="1">
      <c r="A56" s="25"/>
      <c r="B56" s="26" t="s">
        <v>169</v>
      </c>
      <c r="C56" s="27">
        <f>SUM(C49:C55)</f>
        <v>39702687</v>
      </c>
      <c r="D56" s="27">
        <f>SUM(D49:D55)</f>
        <v>49624388</v>
      </c>
      <c r="E56" s="27">
        <f t="shared" si="2"/>
        <v>9921701</v>
      </c>
      <c r="F56" s="28">
        <f t="shared" si="3"/>
        <v>0.24989998787739479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117135000</v>
      </c>
      <c r="D60" s="23">
        <v>114675000</v>
      </c>
      <c r="E60" s="23">
        <f>D60-C60</f>
        <v>-2460000</v>
      </c>
      <c r="F60" s="24">
        <f>IF(C60=0,0,E60/C60)</f>
        <v>-0.02100140863106672</v>
      </c>
    </row>
    <row r="61" spans="1:6" ht="24" customHeight="1">
      <c r="A61" s="25"/>
      <c r="B61" s="26" t="s">
        <v>173</v>
      </c>
      <c r="C61" s="27">
        <f>SUM(C59:C60)</f>
        <v>117135000</v>
      </c>
      <c r="D61" s="27">
        <f>SUM(D59:D60)</f>
        <v>114675000</v>
      </c>
      <c r="E61" s="27">
        <f>D61-C61</f>
        <v>-2460000</v>
      </c>
      <c r="F61" s="28">
        <f>IF(C61=0,0,E61/C61)</f>
        <v>-0.02100140863106672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>
      <c r="A64" s="21">
        <v>4</v>
      </c>
      <c r="B64" s="22" t="s">
        <v>175</v>
      </c>
      <c r="C64" s="23">
        <v>16419555</v>
      </c>
      <c r="D64" s="23">
        <v>14488471</v>
      </c>
      <c r="E64" s="23">
        <f>D64-C64</f>
        <v>-1931084</v>
      </c>
      <c r="F64" s="24">
        <f>IF(C64=0,0,E64/C64)</f>
        <v>-0.11760879025040569</v>
      </c>
    </row>
    <row r="65" spans="1:6" ht="24" customHeight="1">
      <c r="A65" s="25"/>
      <c r="B65" s="26" t="s">
        <v>176</v>
      </c>
      <c r="C65" s="27">
        <f>SUM(C61:C64)</f>
        <v>133554555</v>
      </c>
      <c r="D65" s="27">
        <f>SUM(D61:D64)</f>
        <v>129163471</v>
      </c>
      <c r="E65" s="27">
        <f>D65-C65</f>
        <v>-4391084</v>
      </c>
      <c r="F65" s="28">
        <f>IF(C65=0,0,E65/C65)</f>
        <v>-0.0328785790945131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348481186</v>
      </c>
      <c r="D70" s="23">
        <v>325008268</v>
      </c>
      <c r="E70" s="23">
        <f>D70-C70</f>
        <v>-23472918</v>
      </c>
      <c r="F70" s="24">
        <f>IF(C70=0,0,E70/C70)</f>
        <v>-0.06735777695614248</v>
      </c>
    </row>
    <row r="71" spans="1:6" ht="24" customHeight="1">
      <c r="A71" s="21">
        <v>2</v>
      </c>
      <c r="B71" s="22" t="s">
        <v>180</v>
      </c>
      <c r="C71" s="23">
        <v>11956452</v>
      </c>
      <c r="D71" s="23">
        <v>28552625</v>
      </c>
      <c r="E71" s="23">
        <f>D71-C71</f>
        <v>16596173</v>
      </c>
      <c r="F71" s="24">
        <f>IF(C71=0,0,E71/C71)</f>
        <v>1.3880516561267506</v>
      </c>
    </row>
    <row r="72" spans="1:6" ht="24" customHeight="1">
      <c r="A72" s="21">
        <v>3</v>
      </c>
      <c r="B72" s="22" t="s">
        <v>181</v>
      </c>
      <c r="C72" s="23">
        <v>15964548</v>
      </c>
      <c r="D72" s="23">
        <v>27106095</v>
      </c>
      <c r="E72" s="23">
        <f>D72-C72</f>
        <v>11141547</v>
      </c>
      <c r="F72" s="24">
        <f>IF(C72=0,0,E72/C72)</f>
        <v>0.6978930440122701</v>
      </c>
    </row>
    <row r="73" spans="1:6" ht="24" customHeight="1">
      <c r="A73" s="21"/>
      <c r="B73" s="26" t="s">
        <v>182</v>
      </c>
      <c r="C73" s="27">
        <f>SUM(C70:C72)</f>
        <v>376402186</v>
      </c>
      <c r="D73" s="27">
        <f>SUM(D70:D72)</f>
        <v>380666988</v>
      </c>
      <c r="E73" s="27">
        <f>D73-C73</f>
        <v>4264802</v>
      </c>
      <c r="F73" s="28">
        <f>IF(C73=0,0,E73/C73)</f>
        <v>0.011330438978906461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549659428</v>
      </c>
      <c r="D75" s="27">
        <f>D56+D65+D67+D73</f>
        <v>559454847</v>
      </c>
      <c r="E75" s="27">
        <f>D75-C75</f>
        <v>9795419</v>
      </c>
      <c r="F75" s="28">
        <f>IF(C75=0,0,E75/C75)</f>
        <v>0.01782088780982394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FILING&amp;RDANBURY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432273480</v>
      </c>
      <c r="D11" s="51">
        <v>469895895</v>
      </c>
      <c r="E11" s="51">
        <v>500116851</v>
      </c>
      <c r="F11" s="28"/>
    </row>
    <row r="12" spans="1:6" ht="24" customHeight="1">
      <c r="A12" s="44">
        <v>2</v>
      </c>
      <c r="B12" s="48" t="s">
        <v>191</v>
      </c>
      <c r="C12" s="49">
        <v>10206542</v>
      </c>
      <c r="D12" s="49">
        <v>10689233</v>
      </c>
      <c r="E12" s="49">
        <v>12259910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442480022</v>
      </c>
      <c r="D13" s="51">
        <f>+D11+D12</f>
        <v>480585128</v>
      </c>
      <c r="E13" s="51">
        <f>+E11+E12</f>
        <v>512376761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412025358</v>
      </c>
      <c r="D14" s="49">
        <v>464416571</v>
      </c>
      <c r="E14" s="49">
        <v>486012841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30454664</v>
      </c>
      <c r="D15" s="51">
        <f>+D13-D14</f>
        <v>16168557</v>
      </c>
      <c r="E15" s="51">
        <f>+E13-E14</f>
        <v>26363920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18249365</v>
      </c>
      <c r="D16" s="49">
        <v>-30389364</v>
      </c>
      <c r="E16" s="49">
        <v>11775650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48704029</v>
      </c>
      <c r="D17" s="51">
        <f>D15+D16</f>
        <v>-14220807</v>
      </c>
      <c r="E17" s="51">
        <f>E15+E16</f>
        <v>38139570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0.06610098000976873</v>
      </c>
      <c r="D20" s="169">
        <f>IF(+D27=0,0,+D24/+D27)</f>
        <v>0.03591450274063441</v>
      </c>
      <c r="E20" s="169">
        <f>IF(+E27=0,0,+E24/+E27)</f>
        <v>0.05029819466002609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0.03960972647920112</v>
      </c>
      <c r="D21" s="169">
        <f>IF(+D27=0,0,+D26/+D27)</f>
        <v>-0.0675025542888049</v>
      </c>
      <c r="E21" s="169">
        <f>IF(+E27=0,0,+E26/+E27)</f>
        <v>0.022466080004352018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0.10571070648896985</v>
      </c>
      <c r="D22" s="169">
        <f>IF(+D27=0,0,+D28/+D27)</f>
        <v>-0.0315880515481705</v>
      </c>
      <c r="E22" s="169">
        <f>IF(+E27=0,0,+E28/+E27)</f>
        <v>0.07276427466437811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30454664</v>
      </c>
      <c r="D24" s="51">
        <f>+D15</f>
        <v>16168557</v>
      </c>
      <c r="E24" s="51">
        <f>+E15</f>
        <v>26363920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442480022</v>
      </c>
      <c r="D25" s="51">
        <f>+D13</f>
        <v>480585128</v>
      </c>
      <c r="E25" s="51">
        <f>+E13</f>
        <v>512376761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18249365</v>
      </c>
      <c r="D26" s="51">
        <f>+D16</f>
        <v>-30389364</v>
      </c>
      <c r="E26" s="51">
        <f>+E16</f>
        <v>11775650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460729387</v>
      </c>
      <c r="D27" s="51">
        <f>SUM(D25:D26)</f>
        <v>450195764</v>
      </c>
      <c r="E27" s="51">
        <f>SUM(E25:E26)</f>
        <v>524152411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48704029</v>
      </c>
      <c r="D28" s="51">
        <f>+D17</f>
        <v>-14220807</v>
      </c>
      <c r="E28" s="51">
        <f>+E17</f>
        <v>38139570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306702430</v>
      </c>
      <c r="D31" s="51">
        <v>261470903</v>
      </c>
      <c r="E31" s="52">
        <v>183488285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333327005</v>
      </c>
      <c r="D32" s="51">
        <v>289404736</v>
      </c>
      <c r="E32" s="51">
        <v>239197827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333327005</v>
      </c>
      <c r="D33" s="51">
        <f>+D32-C32</f>
        <v>-43922269</v>
      </c>
      <c r="E33" s="51">
        <f>+E32-D32</f>
        <v>-50206909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-0.13176930864032455</v>
      </c>
      <c r="E34" s="171">
        <f>IF(D32=0,0,+E33/D32)</f>
        <v>-0.1734833703619833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6.779972318751572</v>
      </c>
      <c r="D38" s="269">
        <f>IF(+D40=0,0,+D39/+D40)</f>
        <v>1.9265759199127621</v>
      </c>
      <c r="E38" s="269">
        <f>IF(+E40=0,0,+E39/+E40)</f>
        <v>2.000334359518764</v>
      </c>
      <c r="F38" s="28"/>
    </row>
    <row r="39" spans="1:6" ht="24" customHeight="1">
      <c r="A39" s="17">
        <v>2</v>
      </c>
      <c r="B39" s="45" t="s">
        <v>140</v>
      </c>
      <c r="C39" s="270">
        <v>363784954</v>
      </c>
      <c r="D39" s="270">
        <v>115703426</v>
      </c>
      <c r="E39" s="270">
        <v>122696843</v>
      </c>
      <c r="F39" s="28"/>
    </row>
    <row r="40" spans="1:5" ht="24" customHeight="1">
      <c r="A40" s="17">
        <v>3</v>
      </c>
      <c r="B40" s="45" t="s">
        <v>169</v>
      </c>
      <c r="C40" s="270">
        <v>53655817</v>
      </c>
      <c r="D40" s="270">
        <v>60056510</v>
      </c>
      <c r="E40" s="270">
        <v>61338167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269.4303197401529</v>
      </c>
      <c r="D42" s="271">
        <f>IF((D48/365)=0,0,+D45/(D48/365))</f>
        <v>28.29974769473431</v>
      </c>
      <c r="E42" s="271">
        <f>IF((E48/365)=0,0,+E45/(E48/365))</f>
        <v>36.854361149208216</v>
      </c>
    </row>
    <row r="43" spans="1:5" ht="24" customHeight="1">
      <c r="A43" s="17">
        <v>5</v>
      </c>
      <c r="B43" s="188" t="s">
        <v>131</v>
      </c>
      <c r="C43" s="272">
        <v>12759058</v>
      </c>
      <c r="D43" s="272">
        <v>34272558</v>
      </c>
      <c r="E43" s="272">
        <v>46525880</v>
      </c>
    </row>
    <row r="44" spans="1:5" ht="24" customHeight="1">
      <c r="A44" s="17">
        <v>6</v>
      </c>
      <c r="B44" s="273" t="s">
        <v>132</v>
      </c>
      <c r="C44" s="274">
        <v>275094112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461</v>
      </c>
      <c r="C45" s="270">
        <f>+C43+C44</f>
        <v>287853170</v>
      </c>
      <c r="D45" s="270">
        <f>+D43+D44</f>
        <v>34272558</v>
      </c>
      <c r="E45" s="270">
        <f>+E43+E44</f>
        <v>46525880</v>
      </c>
    </row>
    <row r="46" spans="1:5" ht="24" customHeight="1">
      <c r="A46" s="17">
        <v>8</v>
      </c>
      <c r="B46" s="45" t="s">
        <v>439</v>
      </c>
      <c r="C46" s="270">
        <f>+C14</f>
        <v>412025358</v>
      </c>
      <c r="D46" s="270">
        <f>+D14</f>
        <v>464416571</v>
      </c>
      <c r="E46" s="270">
        <f>+E14</f>
        <v>486012841</v>
      </c>
    </row>
    <row r="47" spans="1:5" ht="24" customHeight="1">
      <c r="A47" s="17">
        <v>9</v>
      </c>
      <c r="B47" s="45" t="s">
        <v>462</v>
      </c>
      <c r="C47" s="270">
        <v>22067735</v>
      </c>
      <c r="D47" s="270">
        <v>22381405</v>
      </c>
      <c r="E47" s="270">
        <v>25227586</v>
      </c>
    </row>
    <row r="48" spans="1:5" ht="24" customHeight="1">
      <c r="A48" s="17">
        <v>10</v>
      </c>
      <c r="B48" s="45" t="s">
        <v>463</v>
      </c>
      <c r="C48" s="270">
        <f>+C46-C47</f>
        <v>389957623</v>
      </c>
      <c r="D48" s="270">
        <f>+D46-D47</f>
        <v>442035166</v>
      </c>
      <c r="E48" s="270">
        <f>+E46-E47</f>
        <v>460785255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38.15548674186536</v>
      </c>
      <c r="D50" s="278">
        <f>IF((D55/365)=0,0,+D54/(D55/365))</f>
        <v>37.087584059443635</v>
      </c>
      <c r="E50" s="278">
        <f>IF((E55/365)=0,0,+E54/(E55/365))</f>
        <v>26.644518222802294</v>
      </c>
    </row>
    <row r="51" spans="1:5" ht="24" customHeight="1">
      <c r="A51" s="17">
        <v>12</v>
      </c>
      <c r="B51" s="188" t="s">
        <v>465</v>
      </c>
      <c r="C51" s="279">
        <v>47164242</v>
      </c>
      <c r="D51" s="279">
        <v>50682570</v>
      </c>
      <c r="E51" s="279">
        <v>45303281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1976283</v>
      </c>
      <c r="D53" s="270">
        <v>2936533</v>
      </c>
      <c r="E53" s="270">
        <v>8795411</v>
      </c>
    </row>
    <row r="54" spans="1:5" ht="32.25" customHeight="1">
      <c r="A54" s="17">
        <v>15</v>
      </c>
      <c r="B54" s="45" t="s">
        <v>466</v>
      </c>
      <c r="C54" s="280">
        <f>+C51+C52-C53</f>
        <v>45187959</v>
      </c>
      <c r="D54" s="280">
        <f>+D51+D52-D53</f>
        <v>47746037</v>
      </c>
      <c r="E54" s="280">
        <f>+E51+E52-E53</f>
        <v>36507870</v>
      </c>
    </row>
    <row r="55" spans="1:5" ht="24" customHeight="1">
      <c r="A55" s="17">
        <v>16</v>
      </c>
      <c r="B55" s="45" t="s">
        <v>190</v>
      </c>
      <c r="C55" s="270">
        <f>+C11</f>
        <v>432273480</v>
      </c>
      <c r="D55" s="270">
        <f>+D11</f>
        <v>469895895</v>
      </c>
      <c r="E55" s="270">
        <f>+E11</f>
        <v>500116851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50.22179860040844</v>
      </c>
      <c r="D57" s="283">
        <f>IF((D61/365)=0,0,+D58/(D61/365))</f>
        <v>49.590231357294314</v>
      </c>
      <c r="E57" s="283">
        <f>IF((E61/365)=0,0,+E58/(E61/365))</f>
        <v>48.58755941528555</v>
      </c>
    </row>
    <row r="58" spans="1:5" ht="24" customHeight="1">
      <c r="A58" s="17">
        <v>18</v>
      </c>
      <c r="B58" s="45" t="s">
        <v>169</v>
      </c>
      <c r="C58" s="281">
        <f>+C40</f>
        <v>53655817</v>
      </c>
      <c r="D58" s="281">
        <f>+D40</f>
        <v>60056510</v>
      </c>
      <c r="E58" s="281">
        <f>+E40</f>
        <v>61338167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412025358</v>
      </c>
      <c r="D59" s="281">
        <f t="shared" si="0"/>
        <v>464416571</v>
      </c>
      <c r="E59" s="281">
        <f t="shared" si="0"/>
        <v>486012841</v>
      </c>
    </row>
    <row r="60" spans="1:5" ht="24" customHeight="1">
      <c r="A60" s="17">
        <v>20</v>
      </c>
      <c r="B60" s="45" t="s">
        <v>462</v>
      </c>
      <c r="C60" s="176">
        <f t="shared" si="0"/>
        <v>22067735</v>
      </c>
      <c r="D60" s="176">
        <f t="shared" si="0"/>
        <v>22381405</v>
      </c>
      <c r="E60" s="176">
        <f t="shared" si="0"/>
        <v>25227586</v>
      </c>
    </row>
    <row r="61" spans="1:5" ht="24" customHeight="1">
      <c r="A61" s="17">
        <v>21</v>
      </c>
      <c r="B61" s="45" t="s">
        <v>468</v>
      </c>
      <c r="C61" s="281">
        <f>+C59-C60</f>
        <v>389957623</v>
      </c>
      <c r="D61" s="281">
        <f>+D59-D60</f>
        <v>442035166</v>
      </c>
      <c r="E61" s="281">
        <f>+E59-E60</f>
        <v>460785255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58.00789566722704</v>
      </c>
      <c r="D65" s="284">
        <f>IF(D67=0,0,(D66/D67)*100)</f>
        <v>53.57034053589892</v>
      </c>
      <c r="E65" s="284">
        <f>IF(E67=0,0,(E66/E67)*100)</f>
        <v>40.97450281528568</v>
      </c>
    </row>
    <row r="66" spans="1:5" ht="24" customHeight="1">
      <c r="A66" s="17">
        <v>2</v>
      </c>
      <c r="B66" s="45" t="s">
        <v>182</v>
      </c>
      <c r="C66" s="281">
        <f>+C32</f>
        <v>333327005</v>
      </c>
      <c r="D66" s="281">
        <f>+D32</f>
        <v>289404736</v>
      </c>
      <c r="E66" s="281">
        <f>+E32</f>
        <v>239197827</v>
      </c>
    </row>
    <row r="67" spans="1:5" ht="24" customHeight="1">
      <c r="A67" s="17">
        <v>3</v>
      </c>
      <c r="B67" s="45" t="s">
        <v>158</v>
      </c>
      <c r="C67" s="281">
        <v>574623508</v>
      </c>
      <c r="D67" s="281">
        <v>540233146</v>
      </c>
      <c r="E67" s="281">
        <v>583772372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39.640126139948684</v>
      </c>
      <c r="D69" s="284">
        <f>IF(D75=0,0,(D72/D75)*100)</f>
        <v>4.464865353905692</v>
      </c>
      <c r="E69" s="284">
        <f>IF(E75=0,0,(E72/E75)*100)</f>
        <v>35.00656207762669</v>
      </c>
    </row>
    <row r="70" spans="1:5" ht="24" customHeight="1">
      <c r="A70" s="17">
        <v>5</v>
      </c>
      <c r="B70" s="45" t="s">
        <v>473</v>
      </c>
      <c r="C70" s="281">
        <f>+C28</f>
        <v>48704029</v>
      </c>
      <c r="D70" s="281">
        <f>+D28</f>
        <v>-14220807</v>
      </c>
      <c r="E70" s="281">
        <f>+E28</f>
        <v>38139570</v>
      </c>
    </row>
    <row r="71" spans="1:5" ht="24" customHeight="1">
      <c r="A71" s="17">
        <v>6</v>
      </c>
      <c r="B71" s="45" t="s">
        <v>462</v>
      </c>
      <c r="C71" s="176">
        <f>+C47</f>
        <v>22067735</v>
      </c>
      <c r="D71" s="176">
        <f>+D47</f>
        <v>22381405</v>
      </c>
      <c r="E71" s="176">
        <f>+E47</f>
        <v>25227586</v>
      </c>
    </row>
    <row r="72" spans="1:5" ht="24" customHeight="1">
      <c r="A72" s="17">
        <v>7</v>
      </c>
      <c r="B72" s="45" t="s">
        <v>474</v>
      </c>
      <c r="C72" s="281">
        <f>+C70+C71</f>
        <v>70771764</v>
      </c>
      <c r="D72" s="281">
        <f>+D70+D71</f>
        <v>8160598</v>
      </c>
      <c r="E72" s="281">
        <f>+E70+E71</f>
        <v>63367156</v>
      </c>
    </row>
    <row r="73" spans="1:5" ht="24" customHeight="1">
      <c r="A73" s="17">
        <v>8</v>
      </c>
      <c r="B73" s="45" t="s">
        <v>169</v>
      </c>
      <c r="C73" s="270">
        <f>+C40</f>
        <v>53655817</v>
      </c>
      <c r="D73" s="270">
        <f>+D40</f>
        <v>60056510</v>
      </c>
      <c r="E73" s="270">
        <f>+E40</f>
        <v>61338167</v>
      </c>
    </row>
    <row r="74" spans="1:5" ht="24" customHeight="1">
      <c r="A74" s="17">
        <v>9</v>
      </c>
      <c r="B74" s="45" t="s">
        <v>173</v>
      </c>
      <c r="C74" s="281">
        <v>124879851</v>
      </c>
      <c r="D74" s="281">
        <v>122717154</v>
      </c>
      <c r="E74" s="281">
        <v>119676912</v>
      </c>
    </row>
    <row r="75" spans="1:5" ht="24" customHeight="1">
      <c r="A75" s="17">
        <v>10</v>
      </c>
      <c r="B75" s="285" t="s">
        <v>475</v>
      </c>
      <c r="C75" s="270">
        <f>+C73+C74</f>
        <v>178535668</v>
      </c>
      <c r="D75" s="270">
        <f>+D73+D74</f>
        <v>182773664</v>
      </c>
      <c r="E75" s="270">
        <f>+E73+E74</f>
        <v>181015079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27.254033710922908</v>
      </c>
      <c r="D77" s="286">
        <f>IF(D80=0,0,(D78/D80)*100)</f>
        <v>29.776907506660226</v>
      </c>
      <c r="E77" s="286">
        <f>IF(E80=0,0,(E78/E80)*100)</f>
        <v>33.347822790057116</v>
      </c>
    </row>
    <row r="78" spans="1:5" ht="24" customHeight="1">
      <c r="A78" s="17">
        <v>12</v>
      </c>
      <c r="B78" s="45" t="s">
        <v>173</v>
      </c>
      <c r="C78" s="270">
        <f>+C74</f>
        <v>124879851</v>
      </c>
      <c r="D78" s="270">
        <f>+D74</f>
        <v>122717154</v>
      </c>
      <c r="E78" s="270">
        <f>+E74</f>
        <v>119676912</v>
      </c>
    </row>
    <row r="79" spans="1:5" ht="24" customHeight="1">
      <c r="A79" s="17">
        <v>13</v>
      </c>
      <c r="B79" s="45" t="s">
        <v>182</v>
      </c>
      <c r="C79" s="270">
        <f>+C32</f>
        <v>333327005</v>
      </c>
      <c r="D79" s="270">
        <f>+D32</f>
        <v>289404736</v>
      </c>
      <c r="E79" s="270">
        <f>+E32</f>
        <v>239197827</v>
      </c>
    </row>
    <row r="80" spans="1:5" ht="24" customHeight="1">
      <c r="A80" s="17">
        <v>14</v>
      </c>
      <c r="B80" s="45" t="s">
        <v>477</v>
      </c>
      <c r="C80" s="270">
        <f>+C78+C79</f>
        <v>458206856</v>
      </c>
      <c r="D80" s="270">
        <f>+D78+D79</f>
        <v>412121890</v>
      </c>
      <c r="E80" s="270">
        <f>+E78+E79</f>
        <v>358874739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FILING&amp;R&amp;8DANBURY HEALTH SYSTEMS,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3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56942</v>
      </c>
      <c r="D11" s="297">
        <v>166</v>
      </c>
      <c r="E11" s="297">
        <v>202</v>
      </c>
      <c r="F11" s="298">
        <f>IF(D11=0,0,$C11/(D11*365))</f>
        <v>0.9397920448918964</v>
      </c>
      <c r="G11" s="298">
        <f>IF(E11=0,0,$C11/(E11*365))</f>
        <v>0.7723043537230435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4180</v>
      </c>
      <c r="D13" s="297">
        <v>13</v>
      </c>
      <c r="E13" s="297">
        <v>20</v>
      </c>
      <c r="F13" s="298">
        <f>IF(D13=0,0,$C13/(D13*365))</f>
        <v>0.880927291886196</v>
      </c>
      <c r="G13" s="298">
        <f>IF(E13=0,0,$C13/(E13*365))</f>
        <v>0.5726027397260274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117</v>
      </c>
      <c r="D15" s="297">
        <v>1</v>
      </c>
      <c r="E15" s="297">
        <v>1</v>
      </c>
      <c r="F15" s="298">
        <f aca="true" t="shared" si="0" ref="F15:G17">IF(D15=0,0,$C15/(D15*365))</f>
        <v>0.32054794520547947</v>
      </c>
      <c r="G15" s="298">
        <f t="shared" si="0"/>
        <v>0.32054794520547947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7206</v>
      </c>
      <c r="D16" s="297">
        <v>20</v>
      </c>
      <c r="E16" s="297">
        <v>21</v>
      </c>
      <c r="F16" s="298">
        <f t="shared" si="0"/>
        <v>0.9871232876712329</v>
      </c>
      <c r="G16" s="298">
        <f t="shared" si="0"/>
        <v>0.9401174168297456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7323</v>
      </c>
      <c r="D17" s="300">
        <f>SUM(D15:D16)</f>
        <v>21</v>
      </c>
      <c r="E17" s="300">
        <f>SUM(E15:E16)</f>
        <v>22</v>
      </c>
      <c r="F17" s="301">
        <f t="shared" si="0"/>
        <v>0.9553816046966732</v>
      </c>
      <c r="G17" s="301">
        <f t="shared" si="0"/>
        <v>0.9119551681195517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4563</v>
      </c>
      <c r="D19" s="297">
        <v>13</v>
      </c>
      <c r="E19" s="297">
        <v>14</v>
      </c>
      <c r="F19" s="298">
        <f>IF(D19=0,0,$C19/(D19*365))</f>
        <v>0.9616438356164384</v>
      </c>
      <c r="G19" s="298">
        <f>IF(E19=0,0,$C19/(E19*365))</f>
        <v>0.8929549902152641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6993</v>
      </c>
      <c r="D21" s="297">
        <v>21</v>
      </c>
      <c r="E21" s="297">
        <v>34</v>
      </c>
      <c r="F21" s="298">
        <f>IF(D21=0,0,$C21/(D21*365))</f>
        <v>0.9123287671232877</v>
      </c>
      <c r="G21" s="298">
        <f>IF(E21=0,0,$C21/(E21*365))</f>
        <v>0.5634971796937953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4937</v>
      </c>
      <c r="D23" s="297">
        <v>15</v>
      </c>
      <c r="E23" s="297">
        <v>26</v>
      </c>
      <c r="F23" s="298">
        <f>IF(D23=0,0,$C23/(D23*365))</f>
        <v>0.9017351598173516</v>
      </c>
      <c r="G23" s="298">
        <f>IF(E23=0,0,$C23/(E23*365))</f>
        <v>0.520231822971549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3128</v>
      </c>
      <c r="D25" s="297">
        <v>11</v>
      </c>
      <c r="E25" s="297">
        <v>15</v>
      </c>
      <c r="F25" s="298">
        <f>IF(D25=0,0,$C25/(D25*365))</f>
        <v>0.7790784557907846</v>
      </c>
      <c r="G25" s="298">
        <f>IF(E25=0,0,$C25/(E25*365))</f>
        <v>0.571324200913242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3728</v>
      </c>
      <c r="D27" s="297">
        <v>11</v>
      </c>
      <c r="E27" s="297">
        <v>18</v>
      </c>
      <c r="F27" s="298">
        <f>IF(D27=0,0,$C27/(D27*365))</f>
        <v>0.9285180572851806</v>
      </c>
      <c r="G27" s="298">
        <f>IF(E27=0,0,$C27/(E27*365))</f>
        <v>0.567427701674277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86857</v>
      </c>
      <c r="D31" s="300">
        <f>SUM(D10:D29)-D17-D23</f>
        <v>256</v>
      </c>
      <c r="E31" s="300">
        <f>SUM(E10:E29)-E17-E23</f>
        <v>325</v>
      </c>
      <c r="F31" s="301">
        <f>IF(D31=0,0,$C31/(D31*365))</f>
        <v>0.9295483732876713</v>
      </c>
      <c r="G31" s="301">
        <f>IF(E31=0,0,$C31/(E31*365))</f>
        <v>0.7321981032665964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91794</v>
      </c>
      <c r="D33" s="300">
        <f>SUM(D10:D29)-D17</f>
        <v>271</v>
      </c>
      <c r="E33" s="300">
        <f>SUM(E10:E29)-E17</f>
        <v>351</v>
      </c>
      <c r="F33" s="301">
        <f>IF(D33=0,0,$C33/(D33*365))</f>
        <v>0.9280088965273214</v>
      </c>
      <c r="G33" s="301">
        <f>IF(E33=0,0,$C33/(E33*365))</f>
        <v>0.7164968973188152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91794</v>
      </c>
      <c r="D36" s="300">
        <f>+D33</f>
        <v>271</v>
      </c>
      <c r="E36" s="300">
        <f>+E33</f>
        <v>351</v>
      </c>
      <c r="F36" s="301">
        <f>+F33</f>
        <v>0.9280088965273214</v>
      </c>
      <c r="G36" s="301">
        <f>+G33</f>
        <v>0.7164968973188152</v>
      </c>
      <c r="H36" s="125"/>
      <c r="I36" s="299"/>
    </row>
    <row r="37" spans="1:9" ht="15.75" customHeight="1">
      <c r="A37" s="293"/>
      <c r="B37" s="135" t="s">
        <v>633</v>
      </c>
      <c r="C37" s="300">
        <v>87644</v>
      </c>
      <c r="D37" s="302">
        <v>248</v>
      </c>
      <c r="E37" s="302">
        <v>347</v>
      </c>
      <c r="F37" s="301">
        <f>IF(D37=0,0,$C37/(D37*365))</f>
        <v>0.9682280159080866</v>
      </c>
      <c r="G37" s="301">
        <f>IF(E37=0,0,$C37/(E37*365))</f>
        <v>0.6919900517152896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4150</v>
      </c>
      <c r="D38" s="300">
        <f>+D36-D37</f>
        <v>23</v>
      </c>
      <c r="E38" s="300">
        <f>+E36-E37</f>
        <v>4</v>
      </c>
      <c r="F38" s="301">
        <f>+F36-F37</f>
        <v>-0.04021911938076517</v>
      </c>
      <c r="G38" s="301">
        <f>+G36-G37</f>
        <v>0.024506845603525562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0.04735064579434987</v>
      </c>
      <c r="D40" s="148">
        <f>IF(D37=0,0,D38/D37)</f>
        <v>0.09274193548387097</v>
      </c>
      <c r="E40" s="148">
        <f>IF(E37=0,0,E38/E37)</f>
        <v>0.011527377521613832</v>
      </c>
      <c r="F40" s="148">
        <f>IF(F37=0,0,F38/F37)</f>
        <v>-0.041538892409598634</v>
      </c>
      <c r="G40" s="148">
        <f>IF(G37=0,0,G38/G37)</f>
        <v>0.03541502589925757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371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FILING&amp;RDANBURY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11812</v>
      </c>
      <c r="D12" s="296">
        <v>13046</v>
      </c>
      <c r="E12" s="296">
        <f>+D12-C12</f>
        <v>1234</v>
      </c>
      <c r="F12" s="316">
        <f>IF(C12=0,0,+E12/C12)</f>
        <v>0.10447003047748053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15206</v>
      </c>
      <c r="D13" s="296">
        <v>15358</v>
      </c>
      <c r="E13" s="296">
        <f>+D13-C13</f>
        <v>152</v>
      </c>
      <c r="F13" s="316">
        <f>IF(C13=0,0,+E13/C13)</f>
        <v>0.009996054189135867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9090</v>
      </c>
      <c r="D14" s="296">
        <v>10842</v>
      </c>
      <c r="E14" s="296">
        <f>+D14-C14</f>
        <v>1752</v>
      </c>
      <c r="F14" s="316">
        <f>IF(C14=0,0,+E14/C14)</f>
        <v>0.19273927392739273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7375</v>
      </c>
      <c r="D15" s="296">
        <v>8277</v>
      </c>
      <c r="E15" s="296">
        <f>+D15-C15</f>
        <v>902</v>
      </c>
      <c r="F15" s="316">
        <f>IF(C15=0,0,+E15/C15)</f>
        <v>0.12230508474576271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43483</v>
      </c>
      <c r="D16" s="300">
        <f>SUM(D12:D15)</f>
        <v>47523</v>
      </c>
      <c r="E16" s="300">
        <f>+D16-C16</f>
        <v>4040</v>
      </c>
      <c r="F16" s="309">
        <f>IF(C16=0,0,+E16/C16)</f>
        <v>0.0929098728238622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1315</v>
      </c>
      <c r="D19" s="296">
        <v>1428</v>
      </c>
      <c r="E19" s="296">
        <f>+D19-C19</f>
        <v>113</v>
      </c>
      <c r="F19" s="316">
        <f>IF(C19=0,0,+E19/C19)</f>
        <v>0.08593155893536121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6789</v>
      </c>
      <c r="D20" s="296">
        <v>7073</v>
      </c>
      <c r="E20" s="296">
        <f>+D20-C20</f>
        <v>284</v>
      </c>
      <c r="F20" s="316">
        <f>IF(C20=0,0,+E20/C20)</f>
        <v>0.04183237590219473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115</v>
      </c>
      <c r="D21" s="296">
        <v>131</v>
      </c>
      <c r="E21" s="296">
        <f>+D21-C21</f>
        <v>16</v>
      </c>
      <c r="F21" s="316">
        <f>IF(C21=0,0,+E21/C21)</f>
        <v>0.1391304347826087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5520</v>
      </c>
      <c r="D22" s="296">
        <v>6170</v>
      </c>
      <c r="E22" s="296">
        <f>+D22-C22</f>
        <v>650</v>
      </c>
      <c r="F22" s="316">
        <f>IF(C22=0,0,+E22/C22)</f>
        <v>0.11775362318840579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13739</v>
      </c>
      <c r="D23" s="300">
        <f>SUM(D19:D22)</f>
        <v>14802</v>
      </c>
      <c r="E23" s="300">
        <f>+D23-C23</f>
        <v>1063</v>
      </c>
      <c r="F23" s="309">
        <f>IF(C23=0,0,+E23/C23)</f>
        <v>0.07737098769925031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39</v>
      </c>
      <c r="D27" s="296">
        <v>100</v>
      </c>
      <c r="E27" s="296">
        <f>+D27-C27</f>
        <v>61</v>
      </c>
      <c r="F27" s="316">
        <f>IF(C27=0,0,+E27/C27)</f>
        <v>1.564102564102564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39</v>
      </c>
      <c r="D30" s="300">
        <f>SUM(D26:D29)</f>
        <v>100</v>
      </c>
      <c r="E30" s="300">
        <f>+D30-C30</f>
        <v>61</v>
      </c>
      <c r="F30" s="309">
        <f>IF(C30=0,0,+E30/C30)</f>
        <v>1.564102564102564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6</v>
      </c>
      <c r="D33" s="296">
        <v>3</v>
      </c>
      <c r="E33" s="296">
        <f>+D33-C33</f>
        <v>-3</v>
      </c>
      <c r="F33" s="316">
        <f>IF(C33=0,0,+E33/C33)</f>
        <v>-0.5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697</v>
      </c>
      <c r="D34" s="296">
        <v>747</v>
      </c>
      <c r="E34" s="296">
        <f>+D34-C34</f>
        <v>50</v>
      </c>
      <c r="F34" s="316">
        <f>IF(C34=0,0,+E34/C34)</f>
        <v>0.07173601147776183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703</v>
      </c>
      <c r="D37" s="300">
        <f>SUM(D33:D36)</f>
        <v>750</v>
      </c>
      <c r="E37" s="300">
        <f>+D37-C37</f>
        <v>47</v>
      </c>
      <c r="F37" s="309">
        <f>IF(C37=0,0,+E37/C37)</f>
        <v>0.06685633001422475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541</v>
      </c>
      <c r="D43" s="296">
        <v>432</v>
      </c>
      <c r="E43" s="296">
        <f>+D43-C43</f>
        <v>-109</v>
      </c>
      <c r="F43" s="316">
        <f>IF(C43=0,0,+E43/C43)</f>
        <v>-0.20147874306839186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11118</v>
      </c>
      <c r="D44" s="296">
        <v>11932</v>
      </c>
      <c r="E44" s="296">
        <f>+D44-C44</f>
        <v>814</v>
      </c>
      <c r="F44" s="316">
        <f>IF(C44=0,0,+E44/C44)</f>
        <v>0.07321460694369492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11659</v>
      </c>
      <c r="D45" s="300">
        <f>SUM(D43:D44)</f>
        <v>12364</v>
      </c>
      <c r="E45" s="300">
        <f>+D45-C45</f>
        <v>705</v>
      </c>
      <c r="F45" s="309">
        <f>IF(C45=0,0,+E45/C45)</f>
        <v>0.06046830774508963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858</v>
      </c>
      <c r="D48" s="296">
        <v>612</v>
      </c>
      <c r="E48" s="296">
        <f>+D48-C48</f>
        <v>-246</v>
      </c>
      <c r="F48" s="316">
        <f>IF(C48=0,0,+E48/C48)</f>
        <v>-0.2867132867132867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564</v>
      </c>
      <c r="D49" s="296">
        <v>688</v>
      </c>
      <c r="E49" s="296">
        <f>+D49-C49</f>
        <v>124</v>
      </c>
      <c r="F49" s="316">
        <f>IF(C49=0,0,+E49/C49)</f>
        <v>0.2198581560283688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1422</v>
      </c>
      <c r="D50" s="300">
        <f>SUM(D48:D49)</f>
        <v>1300</v>
      </c>
      <c r="E50" s="300">
        <f>+D50-C50</f>
        <v>-122</v>
      </c>
      <c r="F50" s="309">
        <f>IF(C50=0,0,+E50/C50)</f>
        <v>-0.08579465541490858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65</v>
      </c>
      <c r="D53" s="296">
        <v>83</v>
      </c>
      <c r="E53" s="296">
        <f>+D53-C53</f>
        <v>18</v>
      </c>
      <c r="F53" s="316">
        <f>IF(C53=0,0,+E53/C53)</f>
        <v>0.27692307692307694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276</v>
      </c>
      <c r="D54" s="296">
        <v>368</v>
      </c>
      <c r="E54" s="296">
        <f>+D54-C54</f>
        <v>92</v>
      </c>
      <c r="F54" s="316">
        <f>IF(C54=0,0,+E54/C54)</f>
        <v>0.3333333333333333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341</v>
      </c>
      <c r="D55" s="300">
        <f>SUM(D53:D54)</f>
        <v>451</v>
      </c>
      <c r="E55" s="300">
        <f>+D55-C55</f>
        <v>110</v>
      </c>
      <c r="F55" s="309">
        <f>IF(C55=0,0,+E55/C55)</f>
        <v>0.3225806451612903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9</v>
      </c>
      <c r="D58" s="296">
        <v>12</v>
      </c>
      <c r="E58" s="296">
        <f>+D58-C58</f>
        <v>3</v>
      </c>
      <c r="F58" s="316">
        <f>IF(C58=0,0,+E58/C58)</f>
        <v>0.3333333333333333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40</v>
      </c>
      <c r="D59" s="296">
        <v>53</v>
      </c>
      <c r="E59" s="296">
        <f>+D59-C59</f>
        <v>13</v>
      </c>
      <c r="F59" s="316">
        <f>IF(C59=0,0,+E59/C59)</f>
        <v>0.325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49</v>
      </c>
      <c r="D60" s="300">
        <f>SUM(D58:D59)</f>
        <v>65</v>
      </c>
      <c r="E60" s="300">
        <f>SUM(E58:E59)</f>
        <v>16</v>
      </c>
      <c r="F60" s="309">
        <f>IF(C60=0,0,+E60/C60)</f>
        <v>0.32653061224489793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5096</v>
      </c>
      <c r="D63" s="296">
        <v>4892</v>
      </c>
      <c r="E63" s="296">
        <f>+D63-C63</f>
        <v>-204</v>
      </c>
      <c r="F63" s="316">
        <f>IF(C63=0,0,+E63/C63)</f>
        <v>-0.040031397174254316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8293</v>
      </c>
      <c r="D64" s="296">
        <v>7902</v>
      </c>
      <c r="E64" s="296">
        <f>+D64-C64</f>
        <v>-391</v>
      </c>
      <c r="F64" s="316">
        <f>IF(C64=0,0,+E64/C64)</f>
        <v>-0.04714819727481008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13389</v>
      </c>
      <c r="D65" s="300">
        <f>SUM(D63:D64)</f>
        <v>12794</v>
      </c>
      <c r="E65" s="300">
        <f>+D65-C65</f>
        <v>-595</v>
      </c>
      <c r="F65" s="309">
        <f>IF(C65=0,0,+E65/C65)</f>
        <v>-0.04443946523265367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908</v>
      </c>
      <c r="D68" s="296">
        <v>946</v>
      </c>
      <c r="E68" s="296">
        <f>+D68-C68</f>
        <v>38</v>
      </c>
      <c r="F68" s="316">
        <f>IF(C68=0,0,+E68/C68)</f>
        <v>0.04185022026431718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9614</v>
      </c>
      <c r="D69" s="296">
        <v>10084</v>
      </c>
      <c r="E69" s="296">
        <f>+D69-C69</f>
        <v>470</v>
      </c>
      <c r="F69" s="318">
        <f>IF(C69=0,0,+E69/C69)</f>
        <v>0.04888703973372165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10522</v>
      </c>
      <c r="D70" s="300">
        <f>SUM(D68:D69)</f>
        <v>11030</v>
      </c>
      <c r="E70" s="300">
        <f>+D70-C70</f>
        <v>508</v>
      </c>
      <c r="F70" s="309">
        <f>IF(C70=0,0,+E70/C70)</f>
        <v>0.04827979471583349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13088</v>
      </c>
      <c r="D73" s="319">
        <v>13885</v>
      </c>
      <c r="E73" s="296">
        <f>+D73-C73</f>
        <v>797</v>
      </c>
      <c r="F73" s="316">
        <f>IF(C73=0,0,+E73/C73)</f>
        <v>0.060895476772616135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54465</v>
      </c>
      <c r="D74" s="319">
        <v>55697</v>
      </c>
      <c r="E74" s="296">
        <f>+D74-C74</f>
        <v>1232</v>
      </c>
      <c r="F74" s="316">
        <f>IF(C74=0,0,+E74/C74)</f>
        <v>0.022620031212705408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67553</v>
      </c>
      <c r="D75" s="300">
        <f>SUM(D73:D74)</f>
        <v>69582</v>
      </c>
      <c r="E75" s="300">
        <f>SUM(E73:E74)</f>
        <v>2029</v>
      </c>
      <c r="F75" s="309">
        <f>IF(C75=0,0,+E75/C75)</f>
        <v>0.030035675691679125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13074</v>
      </c>
      <c r="D80" s="319">
        <v>12686</v>
      </c>
      <c r="E80" s="296">
        <f t="shared" si="0"/>
        <v>-388</v>
      </c>
      <c r="F80" s="316">
        <f t="shared" si="1"/>
        <v>-0.02967722196726327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22522</v>
      </c>
      <c r="D81" s="319">
        <v>22772</v>
      </c>
      <c r="E81" s="296">
        <f t="shared" si="0"/>
        <v>250</v>
      </c>
      <c r="F81" s="316">
        <f t="shared" si="1"/>
        <v>0.011100257525974603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43910</v>
      </c>
      <c r="D82" s="319">
        <v>43139</v>
      </c>
      <c r="E82" s="296">
        <f t="shared" si="0"/>
        <v>-771</v>
      </c>
      <c r="F82" s="316">
        <f t="shared" si="1"/>
        <v>-0.01755864267820542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2729</v>
      </c>
      <c r="D83" s="319">
        <v>3052</v>
      </c>
      <c r="E83" s="296">
        <f t="shared" si="0"/>
        <v>323</v>
      </c>
      <c r="F83" s="316">
        <f t="shared" si="1"/>
        <v>0.11835837303041408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82235</v>
      </c>
      <c r="D84" s="320">
        <f>SUM(D79:D83)</f>
        <v>81649</v>
      </c>
      <c r="E84" s="300">
        <f t="shared" si="0"/>
        <v>-586</v>
      </c>
      <c r="F84" s="309">
        <f t="shared" si="1"/>
        <v>-0.007125919620599501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42704</v>
      </c>
      <c r="D87" s="322">
        <v>42532</v>
      </c>
      <c r="E87" s="323">
        <f aca="true" t="shared" si="2" ref="E87:E92">+D87-C87</f>
        <v>-172</v>
      </c>
      <c r="F87" s="318">
        <f aca="true" t="shared" si="3" ref="F87:F92">IF(C87=0,0,+E87/C87)</f>
        <v>-0.00402772573997752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5841</v>
      </c>
      <c r="D88" s="322">
        <v>5557</v>
      </c>
      <c r="E88" s="296">
        <f t="shared" si="2"/>
        <v>-284</v>
      </c>
      <c r="F88" s="316">
        <f t="shared" si="3"/>
        <v>-0.04862181133367574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1999</v>
      </c>
      <c r="D89" s="322">
        <v>2803</v>
      </c>
      <c r="E89" s="296">
        <f t="shared" si="2"/>
        <v>804</v>
      </c>
      <c r="F89" s="316">
        <f t="shared" si="3"/>
        <v>0.40220110055027514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0</v>
      </c>
      <c r="D91" s="322">
        <v>0</v>
      </c>
      <c r="E91" s="296">
        <f t="shared" si="2"/>
        <v>0</v>
      </c>
      <c r="F91" s="316">
        <f t="shared" si="3"/>
        <v>0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50544</v>
      </c>
      <c r="D92" s="320">
        <f>SUM(D87:D91)</f>
        <v>50892</v>
      </c>
      <c r="E92" s="300">
        <f t="shared" si="2"/>
        <v>348</v>
      </c>
      <c r="F92" s="309">
        <f t="shared" si="3"/>
        <v>0.006885090218423552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518.4</v>
      </c>
      <c r="D96" s="325">
        <v>551.4</v>
      </c>
      <c r="E96" s="326">
        <f>+D96-C96</f>
        <v>33</v>
      </c>
      <c r="F96" s="316">
        <f>IF(C96=0,0,+E96/C96)</f>
        <v>0.06365740740740741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81.7</v>
      </c>
      <c r="D97" s="325">
        <v>79.6</v>
      </c>
      <c r="E97" s="326">
        <f>+D97-C97</f>
        <v>-2.1000000000000085</v>
      </c>
      <c r="F97" s="316">
        <f>IF(C97=0,0,+E97/C97)</f>
        <v>-0.025703794369645146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1848</v>
      </c>
      <c r="D98" s="325">
        <v>1817</v>
      </c>
      <c r="E98" s="326">
        <f>+D98-C98</f>
        <v>-31</v>
      </c>
      <c r="F98" s="316">
        <f>IF(C98=0,0,+E98/C98)</f>
        <v>-0.016774891774891776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2448.1</v>
      </c>
      <c r="D99" s="327">
        <f>SUM(D96:D98)</f>
        <v>2448</v>
      </c>
      <c r="E99" s="327">
        <f>+D99-C99</f>
        <v>-0.09999999999990905</v>
      </c>
      <c r="F99" s="309">
        <f>IF(C99=0,0,+E99/C99)</f>
        <v>-4.0848004574939365E-05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FILING&amp;RDANBURY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8293</v>
      </c>
      <c r="D12" s="296">
        <v>7902</v>
      </c>
      <c r="E12" s="296">
        <f>+D12-C12</f>
        <v>-391</v>
      </c>
      <c r="F12" s="316">
        <f>IF(C12=0,0,+E12/C12)</f>
        <v>-0.04714819727481008</v>
      </c>
    </row>
    <row r="13" spans="1:6" ht="15.75" customHeight="1">
      <c r="A13" s="294"/>
      <c r="B13" s="135" t="s">
        <v>699</v>
      </c>
      <c r="C13" s="300">
        <f>SUM(C11:C12)</f>
        <v>8293</v>
      </c>
      <c r="D13" s="300">
        <f>SUM(D11:D12)</f>
        <v>7902</v>
      </c>
      <c r="E13" s="300">
        <f>+D13-C13</f>
        <v>-391</v>
      </c>
      <c r="F13" s="309">
        <f>IF(C13=0,0,+E13/C13)</f>
        <v>-0.04714819727481008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239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9614</v>
      </c>
      <c r="D16" s="296">
        <v>10084</v>
      </c>
      <c r="E16" s="296">
        <f>+D16-C16</f>
        <v>470</v>
      </c>
      <c r="F16" s="316">
        <f>IF(C16=0,0,+E16/C16)</f>
        <v>0.04888703973372165</v>
      </c>
    </row>
    <row r="17" spans="1:6" ht="15.75" customHeight="1">
      <c r="A17" s="294"/>
      <c r="B17" s="135" t="s">
        <v>700</v>
      </c>
      <c r="C17" s="300">
        <f>SUM(C15:C16)</f>
        <v>9614</v>
      </c>
      <c r="D17" s="300">
        <f>SUM(D15:D16)</f>
        <v>10084</v>
      </c>
      <c r="E17" s="300">
        <f>+D17-C17</f>
        <v>470</v>
      </c>
      <c r="F17" s="309">
        <f>IF(C17=0,0,+E17/C17)</f>
        <v>0.04888703973372165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256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698</v>
      </c>
      <c r="C20" s="296">
        <v>54465</v>
      </c>
      <c r="D20" s="296">
        <v>55697</v>
      </c>
      <c r="E20" s="296">
        <f>+D20-C20</f>
        <v>1232</v>
      </c>
      <c r="F20" s="316">
        <f>IF(C20=0,0,+E20/C20)</f>
        <v>0.022620031212705408</v>
      </c>
    </row>
    <row r="21" spans="1:6" ht="15.75" customHeight="1">
      <c r="A21" s="294"/>
      <c r="B21" s="135" t="s">
        <v>702</v>
      </c>
      <c r="C21" s="300">
        <f>SUM(C19:C20)</f>
        <v>54465</v>
      </c>
      <c r="D21" s="300">
        <f>SUM(D19:D20)</f>
        <v>55697</v>
      </c>
      <c r="E21" s="300">
        <f>+D21-C21</f>
        <v>1232</v>
      </c>
      <c r="F21" s="309">
        <f>IF(C21=0,0,+E21/C21)</f>
        <v>0.022620031212705408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703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FILING&amp;RDANBURY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312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706</v>
      </c>
      <c r="B2" s="707"/>
      <c r="C2" s="707"/>
      <c r="D2" s="707"/>
      <c r="E2" s="707"/>
      <c r="F2" s="708"/>
    </row>
    <row r="3" spans="1:6" ht="15.75" customHeight="1">
      <c r="A3" s="706" t="s">
        <v>707</v>
      </c>
      <c r="B3" s="707"/>
      <c r="C3" s="707"/>
      <c r="D3" s="707"/>
      <c r="E3" s="707"/>
      <c r="F3" s="708"/>
    </row>
    <row r="4" spans="1:6" ht="15.75" customHeight="1">
      <c r="A4" s="702" t="s">
        <v>708</v>
      </c>
      <c r="B4" s="703"/>
      <c r="C4" s="703"/>
      <c r="D4" s="703"/>
      <c r="E4" s="703"/>
      <c r="F4" s="704"/>
    </row>
    <row r="5" spans="1:6" ht="15.75" customHeight="1">
      <c r="A5" s="702" t="s">
        <v>709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710</v>
      </c>
      <c r="D7" s="341" t="s">
        <v>710</v>
      </c>
      <c r="E7" s="341" t="s">
        <v>711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712</v>
      </c>
      <c r="D8" s="344" t="s">
        <v>713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716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717</v>
      </c>
      <c r="C15" s="361">
        <v>226462315</v>
      </c>
      <c r="D15" s="361">
        <v>249602920</v>
      </c>
      <c r="E15" s="361">
        <f aca="true" t="shared" si="0" ref="E15:E24">D15-C15</f>
        <v>23140605</v>
      </c>
      <c r="F15" s="362">
        <f aca="true" t="shared" si="1" ref="F15:F24">IF(C15=0,0,E15/C15)</f>
        <v>0.10218302767063032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718</v>
      </c>
      <c r="C16" s="361">
        <v>81947178</v>
      </c>
      <c r="D16" s="361">
        <v>86419238</v>
      </c>
      <c r="E16" s="361">
        <f t="shared" si="0"/>
        <v>4472060</v>
      </c>
      <c r="F16" s="362">
        <f t="shared" si="1"/>
        <v>0.05457247106178568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719</v>
      </c>
      <c r="C17" s="366">
        <f>IF(C15=0,0,C16/C15)</f>
        <v>0.3618579011700026</v>
      </c>
      <c r="D17" s="366">
        <f>IF(LN_IA1=0,0,LN_IA2/LN_IA1)</f>
        <v>0.34622687106384814</v>
      </c>
      <c r="E17" s="367">
        <f t="shared" si="0"/>
        <v>-0.015631030106154464</v>
      </c>
      <c r="F17" s="362">
        <f t="shared" si="1"/>
        <v>-0.04319659749203854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8382</v>
      </c>
      <c r="D18" s="369">
        <v>8566</v>
      </c>
      <c r="E18" s="369">
        <f t="shared" si="0"/>
        <v>184</v>
      </c>
      <c r="F18" s="362">
        <f t="shared" si="1"/>
        <v>0.021951801479360534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720</v>
      </c>
      <c r="C19" s="372">
        <v>1.397</v>
      </c>
      <c r="D19" s="372">
        <v>1.3711</v>
      </c>
      <c r="E19" s="373">
        <f t="shared" si="0"/>
        <v>-0.025900000000000034</v>
      </c>
      <c r="F19" s="362">
        <f t="shared" si="1"/>
        <v>-0.01853972798854691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721</v>
      </c>
      <c r="C20" s="376">
        <f>C18*C19</f>
        <v>11709.654</v>
      </c>
      <c r="D20" s="376">
        <f>LN_IA4*LN_IA5</f>
        <v>11744.8426</v>
      </c>
      <c r="E20" s="376">
        <f t="shared" si="0"/>
        <v>35.1885999999995</v>
      </c>
      <c r="F20" s="362">
        <f t="shared" si="1"/>
        <v>0.0030050930625276796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722</v>
      </c>
      <c r="C21" s="378">
        <f>IF(C20=0,0,C16/C20)</f>
        <v>6998.257847755364</v>
      </c>
      <c r="D21" s="378">
        <f>IF(LN_IA6=0,0,LN_IA2/LN_IA6)</f>
        <v>7358.058421319329</v>
      </c>
      <c r="E21" s="378">
        <f t="shared" si="0"/>
        <v>359.80057356396446</v>
      </c>
      <c r="F21" s="362">
        <f t="shared" si="1"/>
        <v>0.05141287751770501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42968</v>
      </c>
      <c r="D22" s="369">
        <v>46411</v>
      </c>
      <c r="E22" s="369">
        <f t="shared" si="0"/>
        <v>3443</v>
      </c>
      <c r="F22" s="362">
        <f t="shared" si="1"/>
        <v>0.0801293986222305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723</v>
      </c>
      <c r="C23" s="378">
        <f>IF(C22=0,0,C16/C22)</f>
        <v>1907.1676131074287</v>
      </c>
      <c r="D23" s="378">
        <f>IF(LN_IA8=0,0,LN_IA2/LN_IA8)</f>
        <v>1862.0421451810994</v>
      </c>
      <c r="E23" s="378">
        <f t="shared" si="0"/>
        <v>-45.12546792632929</v>
      </c>
      <c r="F23" s="362">
        <f t="shared" si="1"/>
        <v>-0.02366098690864641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724</v>
      </c>
      <c r="C24" s="379">
        <f>IF(C18=0,0,C22/C18)</f>
        <v>5.126222858506323</v>
      </c>
      <c r="D24" s="379">
        <f>IF(LN_IA4=0,0,LN_IA8/LN_IA4)</f>
        <v>5.418048097128181</v>
      </c>
      <c r="E24" s="379">
        <f t="shared" si="0"/>
        <v>0.2918252386218576</v>
      </c>
      <c r="F24" s="362">
        <f t="shared" si="1"/>
        <v>0.05692792659952547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726</v>
      </c>
      <c r="C27" s="361">
        <v>152175913</v>
      </c>
      <c r="D27" s="361">
        <v>177971128</v>
      </c>
      <c r="E27" s="361">
        <f aca="true" t="shared" si="2" ref="E27:E32">D27-C27</f>
        <v>25795215</v>
      </c>
      <c r="F27" s="362">
        <f aca="true" t="shared" si="3" ref="F27:F32">IF(C27=0,0,E27/C27)</f>
        <v>0.16950918507057028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727</v>
      </c>
      <c r="C28" s="361">
        <v>55060620</v>
      </c>
      <c r="D28" s="361">
        <v>61613338</v>
      </c>
      <c r="E28" s="361">
        <f t="shared" si="2"/>
        <v>6552718</v>
      </c>
      <c r="F28" s="362">
        <f t="shared" si="3"/>
        <v>0.11900915754308615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728</v>
      </c>
      <c r="C29" s="366">
        <f>IF(C27=0,0,C28/C27)</f>
        <v>0.36182217615477685</v>
      </c>
      <c r="D29" s="366">
        <f>IF(LN_IA11=0,0,LN_IA12/LN_IA11)</f>
        <v>0.34619850248968476</v>
      </c>
      <c r="E29" s="367">
        <f t="shared" si="2"/>
        <v>-0.015623673665092097</v>
      </c>
      <c r="F29" s="362">
        <f t="shared" si="3"/>
        <v>-0.0431805309202738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729</v>
      </c>
      <c r="C30" s="366">
        <f>IF(C15=0,0,C27/C15)</f>
        <v>0.6719701377246806</v>
      </c>
      <c r="D30" s="366">
        <f>IF(LN_IA1=0,0,LN_IA11/LN_IA1)</f>
        <v>0.7130170111791961</v>
      </c>
      <c r="E30" s="367">
        <f t="shared" si="2"/>
        <v>0.04104687345451552</v>
      </c>
      <c r="F30" s="362">
        <f t="shared" si="3"/>
        <v>0.0610843713881423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730</v>
      </c>
      <c r="C31" s="376">
        <f>C30*C18</f>
        <v>5632.453694408273</v>
      </c>
      <c r="D31" s="376">
        <f>LN_IA14*LN_IA4</f>
        <v>6107.703717760995</v>
      </c>
      <c r="E31" s="376">
        <f t="shared" si="2"/>
        <v>475.25002335272166</v>
      </c>
      <c r="F31" s="362">
        <f t="shared" si="3"/>
        <v>0.08437708486170695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731</v>
      </c>
      <c r="C32" s="378">
        <f>IF(C31=0,0,C28/C31)</f>
        <v>9775.601005768141</v>
      </c>
      <c r="D32" s="378">
        <f>IF(LN_IA15=0,0,LN_IA12/LN_IA15)</f>
        <v>10087.80727539722</v>
      </c>
      <c r="E32" s="378">
        <f t="shared" si="2"/>
        <v>312.2062696290777</v>
      </c>
      <c r="F32" s="362">
        <f t="shared" si="3"/>
        <v>0.03193729668844492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733</v>
      </c>
      <c r="C35" s="361">
        <f>C15+C27</f>
        <v>378638228</v>
      </c>
      <c r="D35" s="361">
        <f>LN_IA1+LN_IA11</f>
        <v>427574048</v>
      </c>
      <c r="E35" s="361">
        <f>D35-C35</f>
        <v>48935820</v>
      </c>
      <c r="F35" s="362">
        <f>IF(C35=0,0,E35/C35)</f>
        <v>0.12924162533319272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734</v>
      </c>
      <c r="C36" s="361">
        <f>C16+C28</f>
        <v>137007798</v>
      </c>
      <c r="D36" s="361">
        <f>LN_IA2+LN_IA12</f>
        <v>148032576</v>
      </c>
      <c r="E36" s="361">
        <f>D36-C36</f>
        <v>11024778</v>
      </c>
      <c r="F36" s="362">
        <f>IF(C36=0,0,E36/C36)</f>
        <v>0.08046825188738527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735</v>
      </c>
      <c r="C37" s="361">
        <f>C35-C36</f>
        <v>241630430</v>
      </c>
      <c r="D37" s="361">
        <f>LN_IA17-LN_IA18</f>
        <v>279541472</v>
      </c>
      <c r="E37" s="361">
        <f>D37-C37</f>
        <v>37911042</v>
      </c>
      <c r="F37" s="362">
        <f>IF(C37=0,0,E37/C37)</f>
        <v>0.1568968031054698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717</v>
      </c>
      <c r="C42" s="361">
        <v>187008424</v>
      </c>
      <c r="D42" s="361">
        <v>196757326</v>
      </c>
      <c r="E42" s="361">
        <f aca="true" t="shared" si="4" ref="E42:E53">D42-C42</f>
        <v>9748902</v>
      </c>
      <c r="F42" s="362">
        <f aca="true" t="shared" si="5" ref="F42:F53">IF(C42=0,0,E42/C42)</f>
        <v>0.05213081737964916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718</v>
      </c>
      <c r="C43" s="361">
        <v>111002270</v>
      </c>
      <c r="D43" s="361">
        <v>114566154</v>
      </c>
      <c r="E43" s="361">
        <f t="shared" si="4"/>
        <v>3563884</v>
      </c>
      <c r="F43" s="362">
        <f t="shared" si="5"/>
        <v>0.032106406472588354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719</v>
      </c>
      <c r="C44" s="366">
        <f>IF(C42=0,0,C43/C42)</f>
        <v>0.5935682875975683</v>
      </c>
      <c r="D44" s="366">
        <f>IF(LN_IB1=0,0,LN_IB2/LN_IB1)</f>
        <v>0.5822713508517594</v>
      </c>
      <c r="E44" s="367">
        <f t="shared" si="4"/>
        <v>-0.011296936745808894</v>
      </c>
      <c r="F44" s="362">
        <f t="shared" si="5"/>
        <v>-0.019032244447446073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9311</v>
      </c>
      <c r="D45" s="369">
        <v>9049</v>
      </c>
      <c r="E45" s="369">
        <f t="shared" si="4"/>
        <v>-262</v>
      </c>
      <c r="F45" s="362">
        <f t="shared" si="5"/>
        <v>-0.028138760605735152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720</v>
      </c>
      <c r="C46" s="372">
        <v>1.1502</v>
      </c>
      <c r="D46" s="372">
        <v>1.1226</v>
      </c>
      <c r="E46" s="373">
        <f t="shared" si="4"/>
        <v>-0.027599999999999847</v>
      </c>
      <c r="F46" s="362">
        <f t="shared" si="5"/>
        <v>-0.02399582681272809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721</v>
      </c>
      <c r="C47" s="376">
        <f>C45*C46</f>
        <v>10709.5122</v>
      </c>
      <c r="D47" s="376">
        <f>LN_IB4*LN_IB5</f>
        <v>10158.4074</v>
      </c>
      <c r="E47" s="376">
        <f t="shared" si="4"/>
        <v>-551.1047999999992</v>
      </c>
      <c r="F47" s="362">
        <f t="shared" si="5"/>
        <v>-0.05145937459224326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722</v>
      </c>
      <c r="C48" s="378">
        <f>IF(C47=0,0,C43/C47)</f>
        <v>10364.829688508129</v>
      </c>
      <c r="D48" s="378">
        <f>IF(LN_IB6=0,0,LN_IB2/LN_IB6)</f>
        <v>11277.964102916369</v>
      </c>
      <c r="E48" s="378">
        <f t="shared" si="4"/>
        <v>913.1344144082395</v>
      </c>
      <c r="F48" s="362">
        <f t="shared" si="5"/>
        <v>0.08809931680987151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738</v>
      </c>
      <c r="C49" s="378">
        <f>C21-C48</f>
        <v>-3366.5718407527647</v>
      </c>
      <c r="D49" s="378">
        <f>LN_IA7-LN_IB7</f>
        <v>-3919.90568159704</v>
      </c>
      <c r="E49" s="378">
        <f t="shared" si="4"/>
        <v>-553.3338408442751</v>
      </c>
      <c r="F49" s="362">
        <f t="shared" si="5"/>
        <v>0.16436121580597246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739</v>
      </c>
      <c r="C50" s="391">
        <f>C49*C47</f>
        <v>-36054342.20071819</v>
      </c>
      <c r="D50" s="391">
        <f>LN_IB8*LN_IB6</f>
        <v>-39819998.883237414</v>
      </c>
      <c r="E50" s="391">
        <f t="shared" si="4"/>
        <v>-3765656.6825192273</v>
      </c>
      <c r="F50" s="362">
        <f t="shared" si="5"/>
        <v>0.10444391584113319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33553</v>
      </c>
      <c r="D51" s="369">
        <v>33026</v>
      </c>
      <c r="E51" s="369">
        <f t="shared" si="4"/>
        <v>-527</v>
      </c>
      <c r="F51" s="362">
        <f t="shared" si="5"/>
        <v>-0.015706494203200905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723</v>
      </c>
      <c r="C52" s="378">
        <f>IF(C51=0,0,C43/C51)</f>
        <v>3308.2666229547285</v>
      </c>
      <c r="D52" s="378">
        <f>IF(LN_IB10=0,0,LN_IB2/LN_IB10)</f>
        <v>3468.9685096590565</v>
      </c>
      <c r="E52" s="378">
        <f t="shared" si="4"/>
        <v>160.701886704328</v>
      </c>
      <c r="F52" s="362">
        <f t="shared" si="5"/>
        <v>0.04857585709364608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724</v>
      </c>
      <c r="C53" s="379">
        <f>IF(C45=0,0,C51/C45)</f>
        <v>3.603587154977983</v>
      </c>
      <c r="D53" s="379">
        <f>IF(LN_IB4=0,0,LN_IB10/LN_IB4)</f>
        <v>3.64968504807161</v>
      </c>
      <c r="E53" s="379">
        <f t="shared" si="4"/>
        <v>0.04609789309362711</v>
      </c>
      <c r="F53" s="362">
        <f t="shared" si="5"/>
        <v>0.012792223723504963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726</v>
      </c>
      <c r="C56" s="361">
        <v>248083897</v>
      </c>
      <c r="D56" s="361">
        <v>275093595</v>
      </c>
      <c r="E56" s="361">
        <f aca="true" t="shared" si="6" ref="E56:E63">D56-C56</f>
        <v>27009698</v>
      </c>
      <c r="F56" s="362">
        <f aca="true" t="shared" si="7" ref="F56:F63">IF(C56=0,0,E56/C56)</f>
        <v>0.1088732413776941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727</v>
      </c>
      <c r="C57" s="361">
        <v>142940093</v>
      </c>
      <c r="D57" s="361">
        <v>154051987</v>
      </c>
      <c r="E57" s="361">
        <f t="shared" si="6"/>
        <v>11111894</v>
      </c>
      <c r="F57" s="362">
        <f t="shared" si="7"/>
        <v>0.07773811928330003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728</v>
      </c>
      <c r="C58" s="366">
        <f>IF(C56=0,0,C57/C56)</f>
        <v>0.5761764255097944</v>
      </c>
      <c r="D58" s="366">
        <f>IF(LN_IB13=0,0,LN_IB14/LN_IB13)</f>
        <v>0.5599984507091122</v>
      </c>
      <c r="E58" s="367">
        <f t="shared" si="6"/>
        <v>-0.01617797480068217</v>
      </c>
      <c r="F58" s="362">
        <f t="shared" si="7"/>
        <v>-0.02807816162622079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729</v>
      </c>
      <c r="C59" s="366">
        <f>IF(C42=0,0,C56/C42)</f>
        <v>1.3265920951240142</v>
      </c>
      <c r="D59" s="366">
        <f>IF(LN_IB1=0,0,LN_IB13/LN_IB1)</f>
        <v>1.398136479045258</v>
      </c>
      <c r="E59" s="367">
        <f t="shared" si="6"/>
        <v>0.07154438392124374</v>
      </c>
      <c r="F59" s="362">
        <f t="shared" si="7"/>
        <v>0.053930959022151816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730</v>
      </c>
      <c r="C60" s="376">
        <f>C59*C45</f>
        <v>12351.898997699696</v>
      </c>
      <c r="D60" s="376">
        <f>LN_IB16*LN_IB4</f>
        <v>12651.736998880539</v>
      </c>
      <c r="E60" s="376">
        <f t="shared" si="6"/>
        <v>299.8380011808422</v>
      </c>
      <c r="F60" s="362">
        <f t="shared" si="7"/>
        <v>0.02427464807125457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731</v>
      </c>
      <c r="C61" s="378">
        <f>IF(C60=0,0,C57/C60)</f>
        <v>11572.317181885946</v>
      </c>
      <c r="D61" s="378">
        <f>IF(LN_IB17=0,0,LN_IB14/LN_IB17)</f>
        <v>12176.350726673418</v>
      </c>
      <c r="E61" s="378">
        <f t="shared" si="6"/>
        <v>604.0335447874713</v>
      </c>
      <c r="F61" s="362">
        <f t="shared" si="7"/>
        <v>0.052196421450749736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741</v>
      </c>
      <c r="C62" s="378">
        <f>C32-C61</f>
        <v>-1796.716176117805</v>
      </c>
      <c r="D62" s="378">
        <f>LN_IA16-LN_IB18</f>
        <v>-2088.5434512761985</v>
      </c>
      <c r="E62" s="378">
        <f t="shared" si="6"/>
        <v>-291.8272751583936</v>
      </c>
      <c r="F62" s="362">
        <f t="shared" si="7"/>
        <v>0.16242257905694918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742</v>
      </c>
      <c r="C63" s="361">
        <f>C62*C60</f>
        <v>-22192856.734940346</v>
      </c>
      <c r="D63" s="361">
        <f>LN_IB19*LN_IB17</f>
        <v>-26423702.456280734</v>
      </c>
      <c r="E63" s="361">
        <f t="shared" si="6"/>
        <v>-4230845.721340388</v>
      </c>
      <c r="F63" s="362">
        <f t="shared" si="7"/>
        <v>0.1906399780736367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733</v>
      </c>
      <c r="C66" s="361">
        <f>C42+C56</f>
        <v>435092321</v>
      </c>
      <c r="D66" s="361">
        <f>LN_IB1+LN_IB13</f>
        <v>471850921</v>
      </c>
      <c r="E66" s="361">
        <f>D66-C66</f>
        <v>36758600</v>
      </c>
      <c r="F66" s="362">
        <f>IF(C66=0,0,E66/C66)</f>
        <v>0.08448459838481039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734</v>
      </c>
      <c r="C67" s="361">
        <f>C43+C57</f>
        <v>253942363</v>
      </c>
      <c r="D67" s="361">
        <f>LN_IB2+LN_IB14</f>
        <v>268618141</v>
      </c>
      <c r="E67" s="361">
        <f>D67-C67</f>
        <v>14675778</v>
      </c>
      <c r="F67" s="362">
        <f>IF(C67=0,0,E67/C67)</f>
        <v>0.05779176749646927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735</v>
      </c>
      <c r="C68" s="361">
        <f>C66-C67</f>
        <v>181149958</v>
      </c>
      <c r="D68" s="361">
        <f>LN_IB21-LN_IB22</f>
        <v>203232780</v>
      </c>
      <c r="E68" s="361">
        <f>D68-C68</f>
        <v>22082822</v>
      </c>
      <c r="F68" s="362">
        <f>IF(C68=0,0,E68/C68)</f>
        <v>0.12190354468644149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744</v>
      </c>
      <c r="C70" s="353">
        <f>C50+C63</f>
        <v>-58247198.93565853</v>
      </c>
      <c r="D70" s="353">
        <f>LN_IB9+LN_IB20</f>
        <v>-66243701.339518145</v>
      </c>
      <c r="E70" s="361">
        <f>D70-C70</f>
        <v>-7996502.403859615</v>
      </c>
      <c r="F70" s="362">
        <f>IF(C70=0,0,E70/C70)</f>
        <v>0.13728561287029054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746</v>
      </c>
      <c r="C73" s="400">
        <v>388804592</v>
      </c>
      <c r="D73" s="400">
        <v>419231815</v>
      </c>
      <c r="E73" s="400">
        <f>D73-C73</f>
        <v>30427223</v>
      </c>
      <c r="F73" s="401">
        <f>IF(C73=0,0,E73/C73)</f>
        <v>0.07825839412925452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747</v>
      </c>
      <c r="C74" s="400">
        <v>243755513</v>
      </c>
      <c r="D74" s="400">
        <v>258865186</v>
      </c>
      <c r="E74" s="400">
        <f>D74-C74</f>
        <v>15109673</v>
      </c>
      <c r="F74" s="401">
        <f>IF(C74=0,0,E74/C74)</f>
        <v>0.06198700006428162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749</v>
      </c>
      <c r="C76" s="353">
        <f>C73-C74</f>
        <v>145049079</v>
      </c>
      <c r="D76" s="353">
        <f>LN_IB32-LN_IB33</f>
        <v>160366629</v>
      </c>
      <c r="E76" s="400">
        <f>D76-C76</f>
        <v>15317550</v>
      </c>
      <c r="F76" s="401">
        <f>IF(C76=0,0,E76/C76)</f>
        <v>0.10560253195402916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750</v>
      </c>
      <c r="C77" s="366">
        <f>IF(C73=0,0,C76/C73)</f>
        <v>0.37306421267781736</v>
      </c>
      <c r="D77" s="366">
        <f>IF(LN_IB1=0,0,LN_IB34/LN_IB32)</f>
        <v>0.3825249498299646</v>
      </c>
      <c r="E77" s="405">
        <f>D77-C77</f>
        <v>0.009460737152147236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717</v>
      </c>
      <c r="C83" s="361">
        <v>7642339</v>
      </c>
      <c r="D83" s="361">
        <v>6683450</v>
      </c>
      <c r="E83" s="361">
        <f aca="true" t="shared" si="8" ref="E83:E95">D83-C83</f>
        <v>-958889</v>
      </c>
      <c r="F83" s="362">
        <f aca="true" t="shared" si="9" ref="F83:F95">IF(C83=0,0,E83/C83)</f>
        <v>-0.12547061835388354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718</v>
      </c>
      <c r="C84" s="361">
        <v>1367744</v>
      </c>
      <c r="D84" s="361">
        <v>677729</v>
      </c>
      <c r="E84" s="361">
        <f t="shared" si="8"/>
        <v>-690015</v>
      </c>
      <c r="F84" s="362">
        <f t="shared" si="9"/>
        <v>-0.5044913375602452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719</v>
      </c>
      <c r="C85" s="366">
        <f>IF(C83=0,0,C84/C83)</f>
        <v>0.17896929199293568</v>
      </c>
      <c r="D85" s="366">
        <f>IF(LN_IC1=0,0,LN_IC2/LN_IC1)</f>
        <v>0.10140406526569362</v>
      </c>
      <c r="E85" s="367">
        <f t="shared" si="8"/>
        <v>-0.07756522672724206</v>
      </c>
      <c r="F85" s="362">
        <f t="shared" si="9"/>
        <v>-0.4333996400360333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345</v>
      </c>
      <c r="D86" s="369">
        <v>322</v>
      </c>
      <c r="E86" s="369">
        <f t="shared" si="8"/>
        <v>-23</v>
      </c>
      <c r="F86" s="362">
        <f t="shared" si="9"/>
        <v>-0.06666666666666667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720</v>
      </c>
      <c r="C87" s="372">
        <v>1.2087</v>
      </c>
      <c r="D87" s="372">
        <v>1.0332</v>
      </c>
      <c r="E87" s="373">
        <f t="shared" si="8"/>
        <v>-0.1755000000000002</v>
      </c>
      <c r="F87" s="362">
        <f t="shared" si="9"/>
        <v>-0.1451973194341029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721</v>
      </c>
      <c r="C88" s="376">
        <f>C86*C87</f>
        <v>417.0015</v>
      </c>
      <c r="D88" s="376">
        <f>LN_IC4*LN_IC5</f>
        <v>332.69039999999995</v>
      </c>
      <c r="E88" s="376">
        <f t="shared" si="8"/>
        <v>-84.31110000000007</v>
      </c>
      <c r="F88" s="362">
        <f t="shared" si="9"/>
        <v>-0.2021841648051627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722</v>
      </c>
      <c r="C89" s="378">
        <f>IF(C88=0,0,C84/C88)</f>
        <v>3279.949832314752</v>
      </c>
      <c r="D89" s="378">
        <f>IF(LN_IC6=0,0,LN_IC2/LN_IC6)</f>
        <v>2037.1161897067066</v>
      </c>
      <c r="E89" s="378">
        <f t="shared" si="8"/>
        <v>-1242.8336426080452</v>
      </c>
      <c r="F89" s="362">
        <f t="shared" si="9"/>
        <v>-0.3789184914852624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753</v>
      </c>
      <c r="C90" s="378">
        <f>C48-C89</f>
        <v>7084.879856193377</v>
      </c>
      <c r="D90" s="378">
        <f>LN_IB7-LN_IC7</f>
        <v>9240.847913209662</v>
      </c>
      <c r="E90" s="378">
        <f t="shared" si="8"/>
        <v>2155.9680570162845</v>
      </c>
      <c r="F90" s="362">
        <f t="shared" si="9"/>
        <v>0.30430552116301673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754</v>
      </c>
      <c r="C91" s="378">
        <f>C21-C89</f>
        <v>3718.3080154406125</v>
      </c>
      <c r="D91" s="378">
        <f>LN_IA7-LN_IC7</f>
        <v>5320.942231612622</v>
      </c>
      <c r="E91" s="378">
        <f t="shared" si="8"/>
        <v>1602.6342161720095</v>
      </c>
      <c r="F91" s="362">
        <f t="shared" si="9"/>
        <v>0.43101168851986577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739</v>
      </c>
      <c r="C92" s="353">
        <f>C91*C88</f>
        <v>1550540.0199007588</v>
      </c>
      <c r="D92" s="353">
        <f>LN_IC9*LN_IC6</f>
        <v>1770226.3994120955</v>
      </c>
      <c r="E92" s="353">
        <f t="shared" si="8"/>
        <v>219686.3795113368</v>
      </c>
      <c r="F92" s="362">
        <f t="shared" si="9"/>
        <v>0.14168378545005092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1298</v>
      </c>
      <c r="D93" s="369">
        <v>1041</v>
      </c>
      <c r="E93" s="369">
        <f t="shared" si="8"/>
        <v>-257</v>
      </c>
      <c r="F93" s="362">
        <f t="shared" si="9"/>
        <v>-0.19799691833590138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723</v>
      </c>
      <c r="C94" s="411">
        <f>IF(C93=0,0,C84/C93)</f>
        <v>1053.7318952234207</v>
      </c>
      <c r="D94" s="411">
        <f>IF(LN_IC11=0,0,LN_IC2/LN_IC11)</f>
        <v>651.0365033621517</v>
      </c>
      <c r="E94" s="411">
        <f t="shared" si="8"/>
        <v>-402.69539186126894</v>
      </c>
      <c r="F94" s="362">
        <f t="shared" si="9"/>
        <v>-0.38216114904245757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724</v>
      </c>
      <c r="C95" s="379">
        <f>IF(C86=0,0,C93/C86)</f>
        <v>3.7623188405797103</v>
      </c>
      <c r="D95" s="379">
        <f>IF(LN_IC4=0,0,LN_IC11/LN_IC4)</f>
        <v>3.232919254658385</v>
      </c>
      <c r="E95" s="379">
        <f t="shared" si="8"/>
        <v>-0.5293995859213254</v>
      </c>
      <c r="F95" s="362">
        <f t="shared" si="9"/>
        <v>-0.140710983931323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726</v>
      </c>
      <c r="C98" s="361">
        <v>18319996</v>
      </c>
      <c r="D98" s="361">
        <v>20881628</v>
      </c>
      <c r="E98" s="361">
        <f aca="true" t="shared" si="10" ref="E98:E106">D98-C98</f>
        <v>2561632</v>
      </c>
      <c r="F98" s="362">
        <f aca="true" t="shared" si="11" ref="F98:F106">IF(C98=0,0,E98/C98)</f>
        <v>0.1398271047657434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727</v>
      </c>
      <c r="C99" s="361">
        <v>3278718</v>
      </c>
      <c r="D99" s="361">
        <v>2117482</v>
      </c>
      <c r="E99" s="361">
        <f t="shared" si="10"/>
        <v>-1161236</v>
      </c>
      <c r="F99" s="362">
        <f t="shared" si="11"/>
        <v>-0.35417379597757415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728</v>
      </c>
      <c r="C100" s="366">
        <f>IF(C98=0,0,C99/C98)</f>
        <v>0.17896936222038476</v>
      </c>
      <c r="D100" s="366">
        <f>IF(LN_IC14=0,0,LN_IC15/LN_IC14)</f>
        <v>0.10140406677103912</v>
      </c>
      <c r="E100" s="367">
        <f t="shared" si="10"/>
        <v>-0.07756529544934564</v>
      </c>
      <c r="F100" s="362">
        <f t="shared" si="11"/>
        <v>-0.4333998539584162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729</v>
      </c>
      <c r="C101" s="366">
        <f>IF(C83=0,0,C98/C83)</f>
        <v>2.3971713372044867</v>
      </c>
      <c r="D101" s="366">
        <f>IF(LN_IC1=0,0,LN_IC14/LN_IC1)</f>
        <v>3.124378576932572</v>
      </c>
      <c r="E101" s="367">
        <f t="shared" si="10"/>
        <v>0.7272072397280853</v>
      </c>
      <c r="F101" s="362">
        <f t="shared" si="11"/>
        <v>0.30336056019096813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730</v>
      </c>
      <c r="C102" s="376">
        <f>C101*C86</f>
        <v>827.0241113355479</v>
      </c>
      <c r="D102" s="376">
        <f>LN_IC17*LN_IC4</f>
        <v>1006.0499017722882</v>
      </c>
      <c r="E102" s="376">
        <f t="shared" si="10"/>
        <v>179.0257904367403</v>
      </c>
      <c r="F102" s="362">
        <f t="shared" si="11"/>
        <v>0.21646985617823697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731</v>
      </c>
      <c r="C103" s="378">
        <f>IF(C102=0,0,C99/C102)</f>
        <v>3964.4769179767336</v>
      </c>
      <c r="D103" s="378">
        <f>IF(LN_IC18=0,0,LN_IC15/LN_IC18)</f>
        <v>2104.7484784500043</v>
      </c>
      <c r="E103" s="378">
        <f t="shared" si="10"/>
        <v>-1859.7284395267293</v>
      </c>
      <c r="F103" s="362">
        <f t="shared" si="11"/>
        <v>-0.4690980621160583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756</v>
      </c>
      <c r="C104" s="378">
        <f>C61-C103</f>
        <v>7607.840263909213</v>
      </c>
      <c r="D104" s="378">
        <f>LN_IB18-LN_IC19</f>
        <v>10071.602248223413</v>
      </c>
      <c r="E104" s="378">
        <f t="shared" si="10"/>
        <v>2463.7619843142</v>
      </c>
      <c r="F104" s="362">
        <f t="shared" si="11"/>
        <v>0.3238451254033324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757</v>
      </c>
      <c r="C105" s="378">
        <f>C32-C103</f>
        <v>5811.124087791408</v>
      </c>
      <c r="D105" s="378">
        <f>LN_IA16-LN_IC19</f>
        <v>7983.058796947214</v>
      </c>
      <c r="E105" s="378">
        <f t="shared" si="10"/>
        <v>2171.9347091558066</v>
      </c>
      <c r="F105" s="362">
        <f t="shared" si="11"/>
        <v>0.37375466025907533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742</v>
      </c>
      <c r="C106" s="361">
        <f>C105*C102</f>
        <v>4805939.734566285</v>
      </c>
      <c r="D106" s="361">
        <f>LN_IC21*LN_IC18</f>
        <v>8031355.518511146</v>
      </c>
      <c r="E106" s="361">
        <f t="shared" si="10"/>
        <v>3225415.783944861</v>
      </c>
      <c r="F106" s="362">
        <f t="shared" si="11"/>
        <v>0.6711311339895403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733</v>
      </c>
      <c r="C109" s="361">
        <f>C83+C98</f>
        <v>25962335</v>
      </c>
      <c r="D109" s="361">
        <f>LN_IC1+LN_IC14</f>
        <v>27565078</v>
      </c>
      <c r="E109" s="361">
        <f>D109-C109</f>
        <v>1602743</v>
      </c>
      <c r="F109" s="362">
        <f>IF(C109=0,0,E109/C109)</f>
        <v>0.06173339185400697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734</v>
      </c>
      <c r="C110" s="361">
        <f>C84+C99</f>
        <v>4646462</v>
      </c>
      <c r="D110" s="361">
        <f>LN_IC2+LN_IC15</f>
        <v>2795211</v>
      </c>
      <c r="E110" s="361">
        <f>D110-C110</f>
        <v>-1851251</v>
      </c>
      <c r="F110" s="362">
        <f>IF(C110=0,0,E110/C110)</f>
        <v>-0.39842163779667195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735</v>
      </c>
      <c r="C111" s="361">
        <f>C109-C110</f>
        <v>21315873</v>
      </c>
      <c r="D111" s="361">
        <f>LN_IC23-LN_IC24</f>
        <v>24769867</v>
      </c>
      <c r="E111" s="361">
        <f>D111-C111</f>
        <v>3453994</v>
      </c>
      <c r="F111" s="362">
        <f>IF(C111=0,0,E111/C111)</f>
        <v>0.1620385897401434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744</v>
      </c>
      <c r="C113" s="361">
        <f>C92+C106</f>
        <v>6356479.754467044</v>
      </c>
      <c r="D113" s="361">
        <f>LN_IC10+LN_IC22</f>
        <v>9801581.917923242</v>
      </c>
      <c r="E113" s="361">
        <f>D113-C113</f>
        <v>3445102.163456198</v>
      </c>
      <c r="F113" s="362">
        <f>IF(C113=0,0,E113/C113)</f>
        <v>0.5419827163038059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759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717</v>
      </c>
      <c r="C118" s="361">
        <v>31712011</v>
      </c>
      <c r="D118" s="361">
        <v>41879240</v>
      </c>
      <c r="E118" s="361">
        <f aca="true" t="shared" si="12" ref="E118:E130">D118-C118</f>
        <v>10167229</v>
      </c>
      <c r="F118" s="362">
        <f aca="true" t="shared" si="13" ref="F118:F130">IF(C118=0,0,E118/C118)</f>
        <v>0.3206112977193405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718</v>
      </c>
      <c r="C119" s="361">
        <v>11907461</v>
      </c>
      <c r="D119" s="361">
        <v>13231023</v>
      </c>
      <c r="E119" s="361">
        <f t="shared" si="12"/>
        <v>1323562</v>
      </c>
      <c r="F119" s="362">
        <f t="shared" si="13"/>
        <v>0.11115400671898065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719</v>
      </c>
      <c r="C120" s="366">
        <f>IF(C118=0,0,C119/C118)</f>
        <v>0.3754874139013133</v>
      </c>
      <c r="D120" s="366">
        <f>IF(LN_ID1=0,0,LN_1D2/LN_ID1)</f>
        <v>0.3159327389895328</v>
      </c>
      <c r="E120" s="367">
        <f t="shared" si="12"/>
        <v>-0.059554674911780514</v>
      </c>
      <c r="F120" s="362">
        <f t="shared" si="13"/>
        <v>-0.1586063146378399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2270</v>
      </c>
      <c r="D121" s="369">
        <v>2312</v>
      </c>
      <c r="E121" s="369">
        <f t="shared" si="12"/>
        <v>42</v>
      </c>
      <c r="F121" s="362">
        <f t="shared" si="13"/>
        <v>0.018502202643171806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720</v>
      </c>
      <c r="C122" s="372">
        <v>0.8419</v>
      </c>
      <c r="D122" s="372">
        <v>0.9414</v>
      </c>
      <c r="E122" s="373">
        <f t="shared" si="12"/>
        <v>0.09950000000000003</v>
      </c>
      <c r="F122" s="362">
        <f t="shared" si="13"/>
        <v>0.11818505760779194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721</v>
      </c>
      <c r="C123" s="376">
        <f>C121*C122</f>
        <v>1911.113</v>
      </c>
      <c r="D123" s="376">
        <f>LN_ID4*LN_ID5</f>
        <v>2176.5168</v>
      </c>
      <c r="E123" s="376">
        <f t="shared" si="12"/>
        <v>265.4037999999998</v>
      </c>
      <c r="F123" s="362">
        <f t="shared" si="13"/>
        <v>0.1388739441362179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722</v>
      </c>
      <c r="C124" s="378">
        <f>IF(C123=0,0,C119/C123)</f>
        <v>6230.642039481705</v>
      </c>
      <c r="D124" s="378">
        <f>IF(LN_ID6=0,0,LN_1D2/LN_ID6)</f>
        <v>6078.989603939653</v>
      </c>
      <c r="E124" s="378">
        <f t="shared" si="12"/>
        <v>-151.65243554205244</v>
      </c>
      <c r="F124" s="362">
        <f t="shared" si="13"/>
        <v>-0.024339776636352492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761</v>
      </c>
      <c r="C125" s="378">
        <f>C48-C124</f>
        <v>4134.187649026424</v>
      </c>
      <c r="D125" s="378">
        <f>LN_IB7-LN_ID7</f>
        <v>5198.974498976716</v>
      </c>
      <c r="E125" s="378">
        <f t="shared" si="12"/>
        <v>1064.786849950292</v>
      </c>
      <c r="F125" s="362">
        <f t="shared" si="13"/>
        <v>0.2575564875970356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762</v>
      </c>
      <c r="C126" s="378">
        <f>C21-C124</f>
        <v>767.6158082736592</v>
      </c>
      <c r="D126" s="378">
        <f>LN_IA7-LN_ID7</f>
        <v>1279.0688173796761</v>
      </c>
      <c r="E126" s="378">
        <f t="shared" si="12"/>
        <v>511.4530091060169</v>
      </c>
      <c r="F126" s="362">
        <f t="shared" si="13"/>
        <v>0.6662877491492216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739</v>
      </c>
      <c r="C127" s="391">
        <f>C126*C123</f>
        <v>1467000.5501972977</v>
      </c>
      <c r="D127" s="391">
        <f>LN_ID9*LN_ID6</f>
        <v>2783914.769382997</v>
      </c>
      <c r="E127" s="391">
        <f t="shared" si="12"/>
        <v>1316914.2191856992</v>
      </c>
      <c r="F127" s="362">
        <f t="shared" si="13"/>
        <v>0.8976917009394351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8886</v>
      </c>
      <c r="D128" s="369">
        <v>9655</v>
      </c>
      <c r="E128" s="369">
        <f t="shared" si="12"/>
        <v>769</v>
      </c>
      <c r="F128" s="362">
        <f t="shared" si="13"/>
        <v>0.0865406257033536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723</v>
      </c>
      <c r="C129" s="378">
        <f>IF(C128=0,0,C119/C128)</f>
        <v>1340.0248705829395</v>
      </c>
      <c r="D129" s="378">
        <f>IF(LN_ID11=0,0,LN_1D2/LN_ID11)</f>
        <v>1370.38042465044</v>
      </c>
      <c r="E129" s="378">
        <f t="shared" si="12"/>
        <v>30.355554067500634</v>
      </c>
      <c r="F129" s="362">
        <f t="shared" si="13"/>
        <v>0.022652978115469843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724</v>
      </c>
      <c r="C130" s="379">
        <f>IF(C121=0,0,C128/C121)</f>
        <v>3.9145374449339205</v>
      </c>
      <c r="D130" s="379">
        <f>IF(LN_ID4=0,0,LN_ID11/LN_ID4)</f>
        <v>4.176038062283737</v>
      </c>
      <c r="E130" s="379">
        <f t="shared" si="12"/>
        <v>0.2615006173498169</v>
      </c>
      <c r="F130" s="362">
        <f t="shared" si="13"/>
        <v>0.06680243094576686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726</v>
      </c>
      <c r="C133" s="361">
        <v>30152838</v>
      </c>
      <c r="D133" s="361">
        <v>39619838</v>
      </c>
      <c r="E133" s="361">
        <f aca="true" t="shared" si="14" ref="E133:E141">D133-C133</f>
        <v>9467000</v>
      </c>
      <c r="F133" s="362">
        <f aca="true" t="shared" si="15" ref="F133:F141">IF(C133=0,0,E133/C133)</f>
        <v>0.31396712972755664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727</v>
      </c>
      <c r="C134" s="361">
        <v>8897180</v>
      </c>
      <c r="D134" s="361">
        <v>9721022</v>
      </c>
      <c r="E134" s="361">
        <f t="shared" si="14"/>
        <v>823842</v>
      </c>
      <c r="F134" s="362">
        <f t="shared" si="15"/>
        <v>0.09259585621511535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728</v>
      </c>
      <c r="C135" s="366">
        <f>IF(C133=0,0,C134/C133)</f>
        <v>0.2950694060704999</v>
      </c>
      <c r="D135" s="366">
        <f>IF(LN_ID14=0,0,LN_ID15/LN_ID14)</f>
        <v>0.24535743937166024</v>
      </c>
      <c r="E135" s="367">
        <f t="shared" si="14"/>
        <v>-0.04971196669883968</v>
      </c>
      <c r="F135" s="362">
        <f t="shared" si="15"/>
        <v>-0.16847550330908304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729</v>
      </c>
      <c r="C136" s="366">
        <f>IF(C118=0,0,C133/C118)</f>
        <v>0.9508333608991243</v>
      </c>
      <c r="D136" s="366">
        <f>IF(LN_ID1=0,0,LN_ID14/LN_ID1)</f>
        <v>0.9460495940231962</v>
      </c>
      <c r="E136" s="367">
        <f t="shared" si="14"/>
        <v>-0.004783766875928075</v>
      </c>
      <c r="F136" s="362">
        <f t="shared" si="15"/>
        <v>-0.005031130661427848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730</v>
      </c>
      <c r="C137" s="376">
        <f>C136*C121</f>
        <v>2158.391729241012</v>
      </c>
      <c r="D137" s="376">
        <f>LN_ID17*LN_ID4</f>
        <v>2187.2666613816295</v>
      </c>
      <c r="E137" s="376">
        <f t="shared" si="14"/>
        <v>28.874932140617602</v>
      </c>
      <c r="F137" s="362">
        <f t="shared" si="15"/>
        <v>0.013377984982721988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731</v>
      </c>
      <c r="C138" s="378">
        <f>IF(C137=0,0,C134/C137)</f>
        <v>4122.134031308881</v>
      </c>
      <c r="D138" s="378">
        <f>IF(LN_ID18=0,0,LN_ID15/LN_ID18)</f>
        <v>4444.369848283394</v>
      </c>
      <c r="E138" s="378">
        <f t="shared" si="14"/>
        <v>322.235816974513</v>
      </c>
      <c r="F138" s="362">
        <f t="shared" si="15"/>
        <v>0.07817208623665131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764</v>
      </c>
      <c r="C139" s="378">
        <f>C61-C138</f>
        <v>7450.183150577065</v>
      </c>
      <c r="D139" s="378">
        <f>LN_IB18-LN_ID19</f>
        <v>7731.9808783900235</v>
      </c>
      <c r="E139" s="378">
        <f t="shared" si="14"/>
        <v>281.7977278129583</v>
      </c>
      <c r="F139" s="362">
        <f t="shared" si="15"/>
        <v>0.037824268493470696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765</v>
      </c>
      <c r="C140" s="378">
        <f>C32-C138</f>
        <v>5653.46697445926</v>
      </c>
      <c r="D140" s="378">
        <f>LN_IA16-LN_ID19</f>
        <v>5643.437427113825</v>
      </c>
      <c r="E140" s="378">
        <f t="shared" si="14"/>
        <v>-10.029547345435276</v>
      </c>
      <c r="F140" s="362">
        <f t="shared" si="15"/>
        <v>-0.0017740525222391657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742</v>
      </c>
      <c r="C141" s="353">
        <f>C140*C137</f>
        <v>12202396.359210074</v>
      </c>
      <c r="D141" s="353">
        <f>LN_ID21*LN_ID18</f>
        <v>12343702.53991939</v>
      </c>
      <c r="E141" s="353">
        <f t="shared" si="14"/>
        <v>141306.18070931546</v>
      </c>
      <c r="F141" s="362">
        <f t="shared" si="15"/>
        <v>0.011580199212481814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733</v>
      </c>
      <c r="C144" s="361">
        <f>C118+C133</f>
        <v>61864849</v>
      </c>
      <c r="D144" s="361">
        <f>LN_ID1+LN_ID14</f>
        <v>81499078</v>
      </c>
      <c r="E144" s="361">
        <f>D144-C144</f>
        <v>19634229</v>
      </c>
      <c r="F144" s="362">
        <f>IF(C144=0,0,E144/C144)</f>
        <v>0.3173729398418155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734</v>
      </c>
      <c r="C145" s="361">
        <f>C119+C134</f>
        <v>20804641</v>
      </c>
      <c r="D145" s="361">
        <f>LN_1D2+LN_ID15</f>
        <v>22952045</v>
      </c>
      <c r="E145" s="361">
        <f>D145-C145</f>
        <v>2147404</v>
      </c>
      <c r="F145" s="362">
        <f>IF(C145=0,0,E145/C145)</f>
        <v>0.10321754650801232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735</v>
      </c>
      <c r="C146" s="361">
        <f>C144-C145</f>
        <v>41060208</v>
      </c>
      <c r="D146" s="361">
        <f>LN_ID23-LN_ID24</f>
        <v>58547033</v>
      </c>
      <c r="E146" s="361">
        <f>D146-C146</f>
        <v>17486825</v>
      </c>
      <c r="F146" s="362">
        <f>IF(C146=0,0,E146/C146)</f>
        <v>0.4258825235371433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744</v>
      </c>
      <c r="C148" s="361">
        <f>C127+C141</f>
        <v>13669396.909407372</v>
      </c>
      <c r="D148" s="361">
        <f>LN_ID10+LN_ID22</f>
        <v>15127617.309302386</v>
      </c>
      <c r="E148" s="361">
        <f>D148-C148</f>
        <v>1458220.3998950142</v>
      </c>
      <c r="F148" s="415">
        <f>IF(C148=0,0,E148/C148)</f>
        <v>0.10667774222661258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717</v>
      </c>
      <c r="C153" s="361">
        <v>8870935</v>
      </c>
      <c r="D153" s="361">
        <v>10110940</v>
      </c>
      <c r="E153" s="361">
        <f aca="true" t="shared" si="16" ref="E153:E165">D153-C153</f>
        <v>1240005</v>
      </c>
      <c r="F153" s="362">
        <f aca="true" t="shared" si="17" ref="F153:F165">IF(C153=0,0,E153/C153)</f>
        <v>0.13978289774414984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718</v>
      </c>
      <c r="C154" s="361">
        <v>1548040</v>
      </c>
      <c r="D154" s="361">
        <v>1058628</v>
      </c>
      <c r="E154" s="361">
        <f t="shared" si="16"/>
        <v>-489412</v>
      </c>
      <c r="F154" s="362">
        <f t="shared" si="17"/>
        <v>-0.31614945350249346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719</v>
      </c>
      <c r="C155" s="366">
        <f>IF(C153=0,0,C154/C153)</f>
        <v>0.1745069713620943</v>
      </c>
      <c r="D155" s="366">
        <f>IF(LN_IE1=0,0,LN_IE2/LN_IE1)</f>
        <v>0.10470124439468537</v>
      </c>
      <c r="E155" s="367">
        <f t="shared" si="16"/>
        <v>-0.06980572696740894</v>
      </c>
      <c r="F155" s="362">
        <f t="shared" si="17"/>
        <v>-0.40001683842512586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482</v>
      </c>
      <c r="D156" s="419">
        <v>545</v>
      </c>
      <c r="E156" s="419">
        <f t="shared" si="16"/>
        <v>63</v>
      </c>
      <c r="F156" s="362">
        <f t="shared" si="17"/>
        <v>0.13070539419087138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720</v>
      </c>
      <c r="C157" s="372">
        <v>0.9106</v>
      </c>
      <c r="D157" s="372">
        <v>0.8679</v>
      </c>
      <c r="E157" s="373">
        <f t="shared" si="16"/>
        <v>-0.04269999999999996</v>
      </c>
      <c r="F157" s="362">
        <f t="shared" si="17"/>
        <v>-0.046892159016033344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721</v>
      </c>
      <c r="C158" s="376">
        <f>C156*C157</f>
        <v>438.9092</v>
      </c>
      <c r="D158" s="376">
        <f>LN_IE4*LN_IE5</f>
        <v>473.0055</v>
      </c>
      <c r="E158" s="376">
        <f t="shared" si="16"/>
        <v>34.096299999999985</v>
      </c>
      <c r="F158" s="362">
        <f t="shared" si="17"/>
        <v>0.07768417704618628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722</v>
      </c>
      <c r="C159" s="378">
        <f>IF(C158=0,0,C154/C158)</f>
        <v>3527.0165218683046</v>
      </c>
      <c r="D159" s="378">
        <f>IF(LN_IE6=0,0,LN_IE2/LN_IE6)</f>
        <v>2238.088140624158</v>
      </c>
      <c r="E159" s="378">
        <f t="shared" si="16"/>
        <v>-1288.9283812441467</v>
      </c>
      <c r="F159" s="362">
        <f t="shared" si="17"/>
        <v>-0.36544438429831494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769</v>
      </c>
      <c r="C160" s="378">
        <f>C48-C159</f>
        <v>6837.813166639824</v>
      </c>
      <c r="D160" s="378">
        <f>LN_IB7-LN_IE7</f>
        <v>9039.875962292212</v>
      </c>
      <c r="E160" s="378">
        <f t="shared" si="16"/>
        <v>2202.0627956523876</v>
      </c>
      <c r="F160" s="362">
        <f t="shared" si="17"/>
        <v>0.3220419660478242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770</v>
      </c>
      <c r="C161" s="378">
        <f>C21-C159</f>
        <v>3471.2413258870597</v>
      </c>
      <c r="D161" s="378">
        <f>LN_IA7-LN_IE7</f>
        <v>5119.970280695171</v>
      </c>
      <c r="E161" s="378">
        <f t="shared" si="16"/>
        <v>1648.7289548081112</v>
      </c>
      <c r="F161" s="362">
        <f t="shared" si="17"/>
        <v>0.4749681165963839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739</v>
      </c>
      <c r="C162" s="391">
        <f>C161*C158</f>
        <v>1523559.7533520286</v>
      </c>
      <c r="D162" s="391">
        <f>LN_IE9*LN_IE6</f>
        <v>2421774.1026053596</v>
      </c>
      <c r="E162" s="391">
        <f t="shared" si="16"/>
        <v>898214.3492533311</v>
      </c>
      <c r="F162" s="362">
        <f t="shared" si="17"/>
        <v>0.5895498009035375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2186</v>
      </c>
      <c r="D163" s="369">
        <v>2600</v>
      </c>
      <c r="E163" s="419">
        <f t="shared" si="16"/>
        <v>414</v>
      </c>
      <c r="F163" s="362">
        <f t="shared" si="17"/>
        <v>0.18938700823421775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723</v>
      </c>
      <c r="C164" s="378">
        <f>IF(C163=0,0,C154/C163)</f>
        <v>708.1610247026532</v>
      </c>
      <c r="D164" s="378">
        <f>IF(LN_IE11=0,0,LN_IE2/LN_IE11)</f>
        <v>407.1646153846154</v>
      </c>
      <c r="E164" s="378">
        <f t="shared" si="16"/>
        <v>-300.9964093180378</v>
      </c>
      <c r="F164" s="362">
        <f t="shared" si="17"/>
        <v>-0.4250395020601733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724</v>
      </c>
      <c r="C165" s="379">
        <f>IF(C156=0,0,C163/C156)</f>
        <v>4.535269709543568</v>
      </c>
      <c r="D165" s="379">
        <f>IF(LN_IE4=0,0,LN_IE11/LN_IE4)</f>
        <v>4.770642201834862</v>
      </c>
      <c r="E165" s="379">
        <f t="shared" si="16"/>
        <v>0.23537249229129387</v>
      </c>
      <c r="F165" s="362">
        <f t="shared" si="17"/>
        <v>0.05189823480530816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726</v>
      </c>
      <c r="C168" s="424">
        <v>10192179</v>
      </c>
      <c r="D168" s="424">
        <v>10297709</v>
      </c>
      <c r="E168" s="424">
        <f aca="true" t="shared" si="18" ref="E168:E176">D168-C168</f>
        <v>105530</v>
      </c>
      <c r="F168" s="362">
        <f aca="true" t="shared" si="19" ref="F168:F176">IF(C168=0,0,E168/C168)</f>
        <v>0.010354017526576016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727</v>
      </c>
      <c r="C169" s="424">
        <v>1823202</v>
      </c>
      <c r="D169" s="424">
        <v>2585492</v>
      </c>
      <c r="E169" s="424">
        <f t="shared" si="18"/>
        <v>762290</v>
      </c>
      <c r="F169" s="362">
        <f t="shared" si="19"/>
        <v>0.4181050700909718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728</v>
      </c>
      <c r="C170" s="366">
        <f>IF(C168=0,0,C169/C168)</f>
        <v>0.17888245487054338</v>
      </c>
      <c r="D170" s="366">
        <f>IF(LN_IE14=0,0,LN_IE15/LN_IE14)</f>
        <v>0.25107448656783754</v>
      </c>
      <c r="E170" s="367">
        <f t="shared" si="18"/>
        <v>0.07219203169729416</v>
      </c>
      <c r="F170" s="362">
        <f t="shared" si="19"/>
        <v>0.4035724562788412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729</v>
      </c>
      <c r="C171" s="366">
        <f>IF(C153=0,0,C168/C153)</f>
        <v>1.1489407824541606</v>
      </c>
      <c r="D171" s="366">
        <f>IF(LN_IE1=0,0,LN_IE14/LN_IE1)</f>
        <v>1.0184719719432616</v>
      </c>
      <c r="E171" s="367">
        <f t="shared" si="18"/>
        <v>-0.1304688105108991</v>
      </c>
      <c r="F171" s="362">
        <f t="shared" si="19"/>
        <v>-0.11355573107276694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730</v>
      </c>
      <c r="C172" s="376">
        <f>C171*C156</f>
        <v>553.7894571429055</v>
      </c>
      <c r="D172" s="376">
        <f>LN_IE17*LN_IE4</f>
        <v>555.0672247090775</v>
      </c>
      <c r="E172" s="376">
        <f t="shared" si="18"/>
        <v>1.2777675661720878</v>
      </c>
      <c r="F172" s="362">
        <f t="shared" si="19"/>
        <v>0.002307316525605795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731</v>
      </c>
      <c r="C173" s="378">
        <f>IF(C172=0,0,C169/C172)</f>
        <v>3292.2295224004642</v>
      </c>
      <c r="D173" s="378">
        <f>IF(LN_IE18=0,0,LN_IE15/LN_IE18)</f>
        <v>4657.979943519654</v>
      </c>
      <c r="E173" s="378">
        <f t="shared" si="18"/>
        <v>1365.7504211191895</v>
      </c>
      <c r="F173" s="362">
        <f t="shared" si="19"/>
        <v>0.41484058502803883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772</v>
      </c>
      <c r="C174" s="378">
        <f>C61-C173</f>
        <v>8280.087659485482</v>
      </c>
      <c r="D174" s="378">
        <f>LN_IB18-LN_IE19</f>
        <v>7518.370783153764</v>
      </c>
      <c r="E174" s="378">
        <f t="shared" si="18"/>
        <v>-761.7168763317177</v>
      </c>
      <c r="F174" s="362">
        <f t="shared" si="19"/>
        <v>-0.09199381789866826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773</v>
      </c>
      <c r="C175" s="378">
        <f>C32-C173</f>
        <v>6483.371483367677</v>
      </c>
      <c r="D175" s="378">
        <f>LN_IA16-LN_IE19</f>
        <v>5429.8273318775655</v>
      </c>
      <c r="E175" s="378">
        <f t="shared" si="18"/>
        <v>-1053.5441514901113</v>
      </c>
      <c r="F175" s="362">
        <f t="shared" si="19"/>
        <v>-0.1624994270639673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742</v>
      </c>
      <c r="C176" s="353">
        <f>C175*C172</f>
        <v>3590422.7742299796</v>
      </c>
      <c r="D176" s="353">
        <f>LN_IE21*LN_IE18</f>
        <v>3013919.187754776</v>
      </c>
      <c r="E176" s="353">
        <f t="shared" si="18"/>
        <v>-576503.5864752037</v>
      </c>
      <c r="F176" s="362">
        <f t="shared" si="19"/>
        <v>-0.16056704815182765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733</v>
      </c>
      <c r="C179" s="361">
        <f>C153+C168</f>
        <v>19063114</v>
      </c>
      <c r="D179" s="361">
        <f>LN_IE1+LN_IE14</f>
        <v>20408649</v>
      </c>
      <c r="E179" s="361">
        <f>D179-C179</f>
        <v>1345535</v>
      </c>
      <c r="F179" s="362">
        <f>IF(C179=0,0,E179/C179)</f>
        <v>0.07058316915064348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734</v>
      </c>
      <c r="C180" s="361">
        <f>C154+C169</f>
        <v>3371242</v>
      </c>
      <c r="D180" s="361">
        <f>LN_IE15+LN_IE2</f>
        <v>3644120</v>
      </c>
      <c r="E180" s="361">
        <f>D180-C180</f>
        <v>272878</v>
      </c>
      <c r="F180" s="362">
        <f>IF(C180=0,0,E180/C180)</f>
        <v>0.08094286912657116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735</v>
      </c>
      <c r="C181" s="361">
        <f>C179-C180</f>
        <v>15691872</v>
      </c>
      <c r="D181" s="361">
        <f>LN_IE23-LN_IE24</f>
        <v>16764529</v>
      </c>
      <c r="E181" s="361">
        <f>D181-C181</f>
        <v>1072657</v>
      </c>
      <c r="F181" s="362">
        <f>IF(C181=0,0,E181/C181)</f>
        <v>0.06835749106288912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775</v>
      </c>
      <c r="C183" s="361">
        <f>C162+C176</f>
        <v>5113982.527582008</v>
      </c>
      <c r="D183" s="361">
        <f>LN_IE10+LN_IE22</f>
        <v>5435693.290360136</v>
      </c>
      <c r="E183" s="353">
        <f>D183-C183</f>
        <v>321710.76277812757</v>
      </c>
      <c r="F183" s="362">
        <f>IF(C183=0,0,E183/C183)</f>
        <v>0.06290806842670985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717</v>
      </c>
      <c r="C188" s="361">
        <f>C118+C153</f>
        <v>40582946</v>
      </c>
      <c r="D188" s="361">
        <f>LN_ID1+LN_IE1</f>
        <v>51990180</v>
      </c>
      <c r="E188" s="361">
        <f aca="true" t="shared" si="20" ref="E188:E200">D188-C188</f>
        <v>11407234</v>
      </c>
      <c r="F188" s="362">
        <f aca="true" t="shared" si="21" ref="F188:F200">IF(C188=0,0,E188/C188)</f>
        <v>0.28108442398439976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718</v>
      </c>
      <c r="C189" s="361">
        <f>C119+C154</f>
        <v>13455501</v>
      </c>
      <c r="D189" s="361">
        <f>LN_1D2+LN_IE2</f>
        <v>14289651</v>
      </c>
      <c r="E189" s="361">
        <f t="shared" si="20"/>
        <v>834150</v>
      </c>
      <c r="F189" s="362">
        <f t="shared" si="21"/>
        <v>0.06199323235901807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719</v>
      </c>
      <c r="C190" s="366">
        <f>IF(C188=0,0,C189/C188)</f>
        <v>0.33155555045215296</v>
      </c>
      <c r="D190" s="366">
        <f>IF(LN_IF1=0,0,LN_IF2/LN_IF1)</f>
        <v>0.2748528856795649</v>
      </c>
      <c r="E190" s="367">
        <f t="shared" si="20"/>
        <v>-0.05670266477258806</v>
      </c>
      <c r="F190" s="362">
        <f t="shared" si="21"/>
        <v>-0.1710201041582951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2752</v>
      </c>
      <c r="D191" s="369">
        <f>LN_ID4+LN_IE4</f>
        <v>2857</v>
      </c>
      <c r="E191" s="369">
        <f t="shared" si="20"/>
        <v>105</v>
      </c>
      <c r="F191" s="362">
        <f t="shared" si="21"/>
        <v>0.03815406976744186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720</v>
      </c>
      <c r="C192" s="372">
        <f>IF((C121+C156)=0,0,(C123+C158)/(C121+C156))</f>
        <v>0.8539324854651162</v>
      </c>
      <c r="D192" s="372">
        <f>IF((LN_ID4+LN_IE4)=0,0,(LN_ID6+LN_IE6)/(LN_ID4+LN_IE4))</f>
        <v>0.9273791739586978</v>
      </c>
      <c r="E192" s="373">
        <f t="shared" si="20"/>
        <v>0.0734466884935816</v>
      </c>
      <c r="F192" s="362">
        <f t="shared" si="21"/>
        <v>0.08600994779297684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721</v>
      </c>
      <c r="C193" s="376">
        <f>C123+C158</f>
        <v>2350.0222</v>
      </c>
      <c r="D193" s="376">
        <f>LN_IF4*LN_IF5</f>
        <v>2649.5222999999996</v>
      </c>
      <c r="E193" s="376">
        <f t="shared" si="20"/>
        <v>299.50009999999975</v>
      </c>
      <c r="F193" s="362">
        <f t="shared" si="21"/>
        <v>0.12744564710920592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722</v>
      </c>
      <c r="C194" s="378">
        <f>IF(C193=0,0,C189/C193)</f>
        <v>5725.691016876352</v>
      </c>
      <c r="D194" s="378">
        <f>IF(LN_IF6=0,0,LN_IF2/LN_IF6)</f>
        <v>5393.293349521913</v>
      </c>
      <c r="E194" s="378">
        <f t="shared" si="20"/>
        <v>-332.39766735443845</v>
      </c>
      <c r="F194" s="362">
        <f t="shared" si="21"/>
        <v>-0.05805372074299913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778</v>
      </c>
      <c r="C195" s="378">
        <f>C48-C194</f>
        <v>4639.1386716317775</v>
      </c>
      <c r="D195" s="378">
        <f>LN_IB7-LN_IF7</f>
        <v>5884.6707533944555</v>
      </c>
      <c r="E195" s="378">
        <f t="shared" si="20"/>
        <v>1245.532081762678</v>
      </c>
      <c r="F195" s="362">
        <f t="shared" si="21"/>
        <v>0.26848347719784216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779</v>
      </c>
      <c r="C196" s="378">
        <f>C21-C194</f>
        <v>1272.5668308790127</v>
      </c>
      <c r="D196" s="378">
        <f>LN_IA7-LN_IF7</f>
        <v>1964.7650717974157</v>
      </c>
      <c r="E196" s="378">
        <f t="shared" si="20"/>
        <v>692.1982409184029</v>
      </c>
      <c r="F196" s="362">
        <f t="shared" si="21"/>
        <v>0.5439386161277471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739</v>
      </c>
      <c r="C197" s="391">
        <f>C127+C162</f>
        <v>2990560.303549326</v>
      </c>
      <c r="D197" s="391">
        <f>LN_IF9*LN_IF6</f>
        <v>5205688.871988353</v>
      </c>
      <c r="E197" s="391">
        <f t="shared" si="20"/>
        <v>2215128.5684390273</v>
      </c>
      <c r="F197" s="362">
        <f t="shared" si="21"/>
        <v>0.7407068721570393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11072</v>
      </c>
      <c r="D198" s="369">
        <f>LN_ID11+LN_IE11</f>
        <v>12255</v>
      </c>
      <c r="E198" s="369">
        <f t="shared" si="20"/>
        <v>1183</v>
      </c>
      <c r="F198" s="362">
        <f t="shared" si="21"/>
        <v>0.10684609826589596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723</v>
      </c>
      <c r="C199" s="432">
        <f>IF(C198=0,0,C189/C198)</f>
        <v>1215.272850433526</v>
      </c>
      <c r="D199" s="432">
        <f>IF(LN_IF11=0,0,LN_IF2/LN_IF11)</f>
        <v>1166.0261933904528</v>
      </c>
      <c r="E199" s="432">
        <f t="shared" si="20"/>
        <v>-49.24665704307313</v>
      </c>
      <c r="F199" s="362">
        <f t="shared" si="21"/>
        <v>-0.04052312781076719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724</v>
      </c>
      <c r="C200" s="379">
        <f>IF(C191=0,0,C198/C191)</f>
        <v>4.023255813953488</v>
      </c>
      <c r="D200" s="379">
        <f>IF(LN_IF4=0,0,LN_IF11/LN_IF4)</f>
        <v>4.289464473223661</v>
      </c>
      <c r="E200" s="379">
        <f t="shared" si="20"/>
        <v>0.26620865927017245</v>
      </c>
      <c r="F200" s="362">
        <f t="shared" si="21"/>
        <v>0.06616747022322206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726</v>
      </c>
      <c r="C203" s="361">
        <f>C133+C168</f>
        <v>40345017</v>
      </c>
      <c r="D203" s="361">
        <f>LN_ID14+LN_IE14</f>
        <v>49917547</v>
      </c>
      <c r="E203" s="361">
        <f aca="true" t="shared" si="22" ref="E203:E211">D203-C203</f>
        <v>9572530</v>
      </c>
      <c r="F203" s="362">
        <f aca="true" t="shared" si="23" ref="F203:F211">IF(C203=0,0,E203/C203)</f>
        <v>0.2372667236699888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727</v>
      </c>
      <c r="C204" s="361">
        <f>C134+C169</f>
        <v>10720382</v>
      </c>
      <c r="D204" s="361">
        <f>LN_ID15+LN_IE15</f>
        <v>12306514</v>
      </c>
      <c r="E204" s="361">
        <f t="shared" si="22"/>
        <v>1586132</v>
      </c>
      <c r="F204" s="362">
        <f t="shared" si="23"/>
        <v>0.14795480235685632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728</v>
      </c>
      <c r="C205" s="366">
        <f>IF(C203=0,0,C204/C203)</f>
        <v>0.26571762257529846</v>
      </c>
      <c r="D205" s="366">
        <f>IF(LN_IF14=0,0,LN_IF15/LN_IF14)</f>
        <v>0.24653683403152804</v>
      </c>
      <c r="E205" s="367">
        <f t="shared" si="22"/>
        <v>-0.019180788543770422</v>
      </c>
      <c r="F205" s="362">
        <f t="shared" si="23"/>
        <v>-0.07218485683362989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729</v>
      </c>
      <c r="C206" s="366">
        <f>IF(C188=0,0,C203/C188)</f>
        <v>0.9941372171453496</v>
      </c>
      <c r="D206" s="366">
        <f>IF(LN_IF1=0,0,LN_IF14/LN_IF1)</f>
        <v>0.9601341445634541</v>
      </c>
      <c r="E206" s="367">
        <f t="shared" si="22"/>
        <v>-0.0340030725818955</v>
      </c>
      <c r="F206" s="362">
        <f t="shared" si="23"/>
        <v>-0.03420360086662364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730</v>
      </c>
      <c r="C207" s="376">
        <f>C137+C172</f>
        <v>2712.1811863839175</v>
      </c>
      <c r="D207" s="376">
        <f>LN_ID18+LN_IE18</f>
        <v>2742.333886090707</v>
      </c>
      <c r="E207" s="376">
        <f t="shared" si="22"/>
        <v>30.152699706789463</v>
      </c>
      <c r="F207" s="362">
        <f t="shared" si="23"/>
        <v>0.011117509353050005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731</v>
      </c>
      <c r="C208" s="378">
        <f>IF(C207=0,0,C204/C207)</f>
        <v>3952.6791402506606</v>
      </c>
      <c r="D208" s="378">
        <f>IF(LN_IF18=0,0,LN_IF15/LN_IF18)</f>
        <v>4487.605999553674</v>
      </c>
      <c r="E208" s="378">
        <f t="shared" si="22"/>
        <v>534.9268593030138</v>
      </c>
      <c r="F208" s="362">
        <f t="shared" si="23"/>
        <v>0.13533273011102318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781</v>
      </c>
      <c r="C209" s="378">
        <f>C61-C208</f>
        <v>7619.638041635286</v>
      </c>
      <c r="D209" s="378">
        <f>LN_IB18-LN_IF19</f>
        <v>7688.744727119743</v>
      </c>
      <c r="E209" s="378">
        <f t="shared" si="22"/>
        <v>69.10668548445756</v>
      </c>
      <c r="F209" s="362">
        <f t="shared" si="23"/>
        <v>0.009069549643545305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782</v>
      </c>
      <c r="C210" s="378">
        <f>C32-C208</f>
        <v>5822.921865517481</v>
      </c>
      <c r="D210" s="378">
        <f>LN_IA16-LN_IF19</f>
        <v>5600.201275843545</v>
      </c>
      <c r="E210" s="378">
        <f t="shared" si="22"/>
        <v>-222.72058967393605</v>
      </c>
      <c r="F210" s="362">
        <f t="shared" si="23"/>
        <v>-0.03824894010562908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742</v>
      </c>
      <c r="C211" s="391">
        <f>C141+C176</f>
        <v>15792819.133440053</v>
      </c>
      <c r="D211" s="353">
        <f>LN_IF21*LN_IF18</f>
        <v>15357621.727674164</v>
      </c>
      <c r="E211" s="353">
        <f t="shared" si="22"/>
        <v>-435197.4057658892</v>
      </c>
      <c r="F211" s="362">
        <f t="shared" si="23"/>
        <v>-0.02755666370194748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733</v>
      </c>
      <c r="C214" s="361">
        <f>C188+C203</f>
        <v>80927963</v>
      </c>
      <c r="D214" s="361">
        <f>LN_IF1+LN_IF14</f>
        <v>101907727</v>
      </c>
      <c r="E214" s="361">
        <f>D214-C214</f>
        <v>20979764</v>
      </c>
      <c r="F214" s="362">
        <f>IF(C214=0,0,E214/C214)</f>
        <v>0.25923998606019527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734</v>
      </c>
      <c r="C215" s="361">
        <f>C189+C204</f>
        <v>24175883</v>
      </c>
      <c r="D215" s="361">
        <f>LN_IF2+LN_IF15</f>
        <v>26596165</v>
      </c>
      <c r="E215" s="361">
        <f>D215-C215</f>
        <v>2420282</v>
      </c>
      <c r="F215" s="362">
        <f>IF(C215=0,0,E215/C215)</f>
        <v>0.10011142095616528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735</v>
      </c>
      <c r="C216" s="361">
        <f>C214-C215</f>
        <v>56752080</v>
      </c>
      <c r="D216" s="361">
        <f>LN_IF23-LN_IF24</f>
        <v>75311562</v>
      </c>
      <c r="E216" s="361">
        <f>D216-C216</f>
        <v>18559482</v>
      </c>
      <c r="F216" s="362">
        <f>IF(C216=0,0,E216/C216)</f>
        <v>0.3270273441960189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717</v>
      </c>
      <c r="C221" s="361">
        <v>254600</v>
      </c>
      <c r="D221" s="361">
        <v>392783</v>
      </c>
      <c r="E221" s="361">
        <f aca="true" t="shared" si="24" ref="E221:E230">D221-C221</f>
        <v>138183</v>
      </c>
      <c r="F221" s="362">
        <f aca="true" t="shared" si="25" ref="F221:F230">IF(C221=0,0,E221/C221)</f>
        <v>0.542745483110762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718</v>
      </c>
      <c r="C222" s="361">
        <v>70102</v>
      </c>
      <c r="D222" s="361">
        <v>152328</v>
      </c>
      <c r="E222" s="361">
        <f t="shared" si="24"/>
        <v>82226</v>
      </c>
      <c r="F222" s="362">
        <f t="shared" si="25"/>
        <v>1.17294799007161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719</v>
      </c>
      <c r="C223" s="366">
        <f>IF(C221=0,0,C222/C221)</f>
        <v>0.2753417124901807</v>
      </c>
      <c r="D223" s="366">
        <f>IF(LN_IG1=0,0,LN_IG2/LN_IG1)</f>
        <v>0.3878171916809027</v>
      </c>
      <c r="E223" s="367">
        <f t="shared" si="24"/>
        <v>0.11247547919072198</v>
      </c>
      <c r="F223" s="362">
        <f t="shared" si="25"/>
        <v>0.4084941514073467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14</v>
      </c>
      <c r="D224" s="369">
        <v>25</v>
      </c>
      <c r="E224" s="369">
        <f t="shared" si="24"/>
        <v>11</v>
      </c>
      <c r="F224" s="362">
        <f t="shared" si="25"/>
        <v>0.7857142857142857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720</v>
      </c>
      <c r="C225" s="372">
        <v>0.8912</v>
      </c>
      <c r="D225" s="372">
        <v>0.8139</v>
      </c>
      <c r="E225" s="373">
        <f t="shared" si="24"/>
        <v>-0.07730000000000004</v>
      </c>
      <c r="F225" s="362">
        <f t="shared" si="25"/>
        <v>-0.08673698384201081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721</v>
      </c>
      <c r="C226" s="376">
        <f>C224*C225</f>
        <v>12.4768</v>
      </c>
      <c r="D226" s="376">
        <f>LN_IG3*LN_IG4</f>
        <v>20.3475</v>
      </c>
      <c r="E226" s="376">
        <f t="shared" si="24"/>
        <v>7.870699999999999</v>
      </c>
      <c r="F226" s="362">
        <f t="shared" si="25"/>
        <v>0.6308268145678378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722</v>
      </c>
      <c r="C227" s="378">
        <f>IF(C226=0,0,C222/C226)</f>
        <v>5618.588099512695</v>
      </c>
      <c r="D227" s="378">
        <f>IF(LN_IG5=0,0,LN_IG2/LN_IG5)</f>
        <v>7486.325101363804</v>
      </c>
      <c r="E227" s="378">
        <f t="shared" si="24"/>
        <v>1867.7370018511083</v>
      </c>
      <c r="F227" s="362">
        <f t="shared" si="25"/>
        <v>0.3324210582393642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51</v>
      </c>
      <c r="D228" s="369">
        <v>102</v>
      </c>
      <c r="E228" s="369">
        <f t="shared" si="24"/>
        <v>51</v>
      </c>
      <c r="F228" s="362">
        <f t="shared" si="25"/>
        <v>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723</v>
      </c>
      <c r="C229" s="378">
        <f>IF(C228=0,0,C222/C228)</f>
        <v>1374.549019607843</v>
      </c>
      <c r="D229" s="378">
        <f>IF(LN_IG6=0,0,LN_IG2/LN_IG6)</f>
        <v>1493.4117647058824</v>
      </c>
      <c r="E229" s="378">
        <f t="shared" si="24"/>
        <v>118.86274509803934</v>
      </c>
      <c r="F229" s="362">
        <f t="shared" si="25"/>
        <v>0.08647399503580507</v>
      </c>
      <c r="Q229" s="330"/>
      <c r="U229" s="375"/>
    </row>
    <row r="230" spans="1:21" ht="11.25" customHeight="1">
      <c r="A230" s="364">
        <v>10</v>
      </c>
      <c r="B230" s="360" t="s">
        <v>724</v>
      </c>
      <c r="C230" s="379">
        <f>IF(C224=0,0,C228/C224)</f>
        <v>3.642857142857143</v>
      </c>
      <c r="D230" s="379">
        <f>IF(LN_IG3=0,0,LN_IG6/LN_IG3)</f>
        <v>4.08</v>
      </c>
      <c r="E230" s="379">
        <f t="shared" si="24"/>
        <v>0.4371428571428573</v>
      </c>
      <c r="F230" s="362">
        <f t="shared" si="25"/>
        <v>0.12000000000000004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786</v>
      </c>
      <c r="C232" s="330"/>
      <c r="Q232" s="330"/>
      <c r="U232" s="399"/>
    </row>
    <row r="233" spans="1:21" ht="11.25" customHeight="1">
      <c r="A233" s="364">
        <v>11</v>
      </c>
      <c r="B233" s="360" t="s">
        <v>726</v>
      </c>
      <c r="C233" s="361">
        <v>441361</v>
      </c>
      <c r="D233" s="361">
        <v>617917</v>
      </c>
      <c r="E233" s="361">
        <f>D233-C233</f>
        <v>176556</v>
      </c>
      <c r="F233" s="362">
        <f>IF(C233=0,0,E233/C233)</f>
        <v>0.40002628234030646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727</v>
      </c>
      <c r="C234" s="361">
        <v>113713</v>
      </c>
      <c r="D234" s="361">
        <v>141290</v>
      </c>
      <c r="E234" s="361">
        <f>D234-C234</f>
        <v>27577</v>
      </c>
      <c r="F234" s="362">
        <f>IF(C234=0,0,E234/C234)</f>
        <v>0.2425140485256743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733</v>
      </c>
      <c r="C237" s="361">
        <f>C221+C233</f>
        <v>695961</v>
      </c>
      <c r="D237" s="361">
        <f>LN_IG1+LN_IG9</f>
        <v>1010700</v>
      </c>
      <c r="E237" s="361">
        <f>D237-C237</f>
        <v>314739</v>
      </c>
      <c r="F237" s="362">
        <f>IF(C237=0,0,E237/C237)</f>
        <v>0.45223654773758876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734</v>
      </c>
      <c r="C238" s="361">
        <f>C222+C234</f>
        <v>183815</v>
      </c>
      <c r="D238" s="361">
        <f>LN_IG2+LN_IG10</f>
        <v>293618</v>
      </c>
      <c r="E238" s="361">
        <f>D238-C238</f>
        <v>109803</v>
      </c>
      <c r="F238" s="362">
        <f>IF(C238=0,0,E238/C238)</f>
        <v>0.5973560373201316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735</v>
      </c>
      <c r="C239" s="361">
        <f>C237-C238</f>
        <v>512146</v>
      </c>
      <c r="D239" s="361">
        <f>LN_IG13-LN_IG14</f>
        <v>717082</v>
      </c>
      <c r="E239" s="361">
        <f>D239-C239</f>
        <v>204936</v>
      </c>
      <c r="F239" s="362">
        <f>IF(C239=0,0,E239/C239)</f>
        <v>0.4001515192933265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789</v>
      </c>
      <c r="C243" s="361">
        <v>7209183</v>
      </c>
      <c r="D243" s="361">
        <v>7344217</v>
      </c>
      <c r="E243" s="353">
        <f>D243-C243</f>
        <v>135034</v>
      </c>
      <c r="F243" s="415">
        <f>IF(C243=0,0,E243/C243)</f>
        <v>0.018730832606135814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790</v>
      </c>
      <c r="C244" s="361">
        <v>381506727</v>
      </c>
      <c r="D244" s="361">
        <v>442588744</v>
      </c>
      <c r="E244" s="353">
        <f>D244-C244</f>
        <v>61082017</v>
      </c>
      <c r="F244" s="415">
        <f>IF(C244=0,0,E244/C244)</f>
        <v>0.16010731312740392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791</v>
      </c>
      <c r="C245" s="400">
        <v>2569490</v>
      </c>
      <c r="D245" s="400">
        <v>2383181</v>
      </c>
      <c r="E245" s="400">
        <f>D245-C245</f>
        <v>-186309</v>
      </c>
      <c r="F245" s="401">
        <f>IF(C245=0,0,E245/C245)</f>
        <v>-0.07250816309851371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793</v>
      </c>
      <c r="C248" s="353">
        <v>9657765</v>
      </c>
      <c r="D248" s="353">
        <v>12266705</v>
      </c>
      <c r="E248" s="353">
        <f>D248-C248</f>
        <v>2608940</v>
      </c>
      <c r="F248" s="362">
        <f>IF(C248=0,0,E248/C248)</f>
        <v>0.27013910568335425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794</v>
      </c>
      <c r="C249" s="353">
        <v>15597793</v>
      </c>
      <c r="D249" s="353">
        <v>16695481</v>
      </c>
      <c r="E249" s="353">
        <f>D249-C249</f>
        <v>1097688</v>
      </c>
      <c r="F249" s="362">
        <f>IF(C249=0,0,E249/C249)</f>
        <v>0.07037457158201804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795</v>
      </c>
      <c r="C250" s="353">
        <f>C248+C249</f>
        <v>25255558</v>
      </c>
      <c r="D250" s="353">
        <f>LN_IH4+LN_IH5</f>
        <v>28962186</v>
      </c>
      <c r="E250" s="353">
        <f>D250-C250</f>
        <v>3706628</v>
      </c>
      <c r="F250" s="362">
        <f>IF(C250=0,0,E250/C250)</f>
        <v>0.1467648428120258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796</v>
      </c>
      <c r="C251" s="353">
        <f>C250*C313</f>
        <v>11772813.947755674</v>
      </c>
      <c r="D251" s="353">
        <f>LN_IH6*LN_III10</f>
        <v>12864010.828184502</v>
      </c>
      <c r="E251" s="353">
        <f>D251-C251</f>
        <v>1091196.8804288283</v>
      </c>
      <c r="F251" s="362">
        <f>IF(C251=0,0,E251/C251)</f>
        <v>0.09268785570478247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797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733</v>
      </c>
      <c r="C254" s="353">
        <f>C188+C203</f>
        <v>80927963</v>
      </c>
      <c r="D254" s="353">
        <f>LN_IF23</f>
        <v>101907727</v>
      </c>
      <c r="E254" s="353">
        <f>D254-C254</f>
        <v>20979764</v>
      </c>
      <c r="F254" s="362">
        <f>IF(C254=0,0,E254/C254)</f>
        <v>0.25923998606019527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734</v>
      </c>
      <c r="C255" s="353">
        <f>C189+C204</f>
        <v>24175883</v>
      </c>
      <c r="D255" s="353">
        <f>LN_IF24</f>
        <v>26596165</v>
      </c>
      <c r="E255" s="353">
        <f>D255-C255</f>
        <v>2420282</v>
      </c>
      <c r="F255" s="362">
        <f>IF(C255=0,0,E255/C255)</f>
        <v>0.10011142095616528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798</v>
      </c>
      <c r="C256" s="353">
        <f>C254*C313</f>
        <v>37724363.54682226</v>
      </c>
      <c r="D256" s="353">
        <f>LN_IH8*LN_III10</f>
        <v>45263921.15580192</v>
      </c>
      <c r="E256" s="353">
        <f>D256-C256</f>
        <v>7539557.608979665</v>
      </c>
      <c r="F256" s="362">
        <f>IF(C256=0,0,E256/C256)</f>
        <v>0.19985910695674985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799</v>
      </c>
      <c r="C257" s="353">
        <f>C256-C255</f>
        <v>13548480.546822257</v>
      </c>
      <c r="D257" s="353">
        <f>LN_IH10-LN_IH9</f>
        <v>18667756.155801922</v>
      </c>
      <c r="E257" s="353">
        <f>D257-C257</f>
        <v>5119275.608979665</v>
      </c>
      <c r="F257" s="362">
        <f>IF(C257=0,0,E257/C257)</f>
        <v>0.37784868873582805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802</v>
      </c>
      <c r="C261" s="361">
        <f>C15+C42+C188+C221</f>
        <v>454308285</v>
      </c>
      <c r="D261" s="361">
        <f>LN_IA1+LN_IB1+LN_IF1+LN_IG1</f>
        <v>498743209</v>
      </c>
      <c r="E261" s="361">
        <f aca="true" t="shared" si="26" ref="E261:E274">D261-C261</f>
        <v>44434924</v>
      </c>
      <c r="F261" s="415">
        <f aca="true" t="shared" si="27" ref="F261:F274">IF(C261=0,0,E261/C261)</f>
        <v>0.09780786630382494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803</v>
      </c>
      <c r="C262" s="361">
        <f>C16+C43+C189+C222</f>
        <v>206475051</v>
      </c>
      <c r="D262" s="361">
        <f>+LN_IA2+LN_IB2+LN_IF2+LN_IG2</f>
        <v>215427371</v>
      </c>
      <c r="E262" s="361">
        <f t="shared" si="26"/>
        <v>8952320</v>
      </c>
      <c r="F262" s="415">
        <f t="shared" si="27"/>
        <v>0.043357877654671216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804</v>
      </c>
      <c r="C263" s="366">
        <f>IF(C261=0,0,C262/C261)</f>
        <v>0.4544822487663856</v>
      </c>
      <c r="D263" s="366">
        <f>IF(LN_IIA1=0,0,LN_IIA2/LN_IIA1)</f>
        <v>0.4319404597647364</v>
      </c>
      <c r="E263" s="367">
        <f t="shared" si="26"/>
        <v>-0.022541789001649215</v>
      </c>
      <c r="F263" s="371">
        <f t="shared" si="27"/>
        <v>-0.04959883265591791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805</v>
      </c>
      <c r="C264" s="369">
        <f>C18+C45+C191+C224</f>
        <v>20459</v>
      </c>
      <c r="D264" s="369">
        <f>LN_IA4+LN_IB4+LN_IF4+LN_IG3</f>
        <v>20497</v>
      </c>
      <c r="E264" s="369">
        <f t="shared" si="26"/>
        <v>38</v>
      </c>
      <c r="F264" s="415">
        <f t="shared" si="27"/>
        <v>0.0018573732831516693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806</v>
      </c>
      <c r="C265" s="439">
        <f>IF(C264=0,0,C266/C264)</f>
        <v>1.2112842856444597</v>
      </c>
      <c r="D265" s="439">
        <f>IF(LN_IIA4=0,0,LN_IIA6/LN_IIA4)</f>
        <v>1.19886421427526</v>
      </c>
      <c r="E265" s="439">
        <f t="shared" si="26"/>
        <v>-0.012420071369199759</v>
      </c>
      <c r="F265" s="415">
        <f t="shared" si="27"/>
        <v>-0.010253638651467936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807</v>
      </c>
      <c r="C266" s="376">
        <f>C20+C47+C193+C226</f>
        <v>24781.6652</v>
      </c>
      <c r="D266" s="376">
        <f>LN_IA6+LN_IB6+LN_IF6+LN_IG5</f>
        <v>24573.1198</v>
      </c>
      <c r="E266" s="376">
        <f t="shared" si="26"/>
        <v>-208.54539999999906</v>
      </c>
      <c r="F266" s="415">
        <f t="shared" si="27"/>
        <v>-0.008415310202802638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808</v>
      </c>
      <c r="C267" s="361">
        <f>C27+C56+C203+C233</f>
        <v>441046188</v>
      </c>
      <c r="D267" s="361">
        <f>LN_IA11+LN_IB13+LN_IF14+LN_IG9</f>
        <v>503600187</v>
      </c>
      <c r="E267" s="361">
        <f t="shared" si="26"/>
        <v>62553999</v>
      </c>
      <c r="F267" s="415">
        <f t="shared" si="27"/>
        <v>0.1418309481001568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729</v>
      </c>
      <c r="C268" s="366">
        <f>IF(C261=0,0,C267/C261)</f>
        <v>0.9708081550835024</v>
      </c>
      <c r="D268" s="366">
        <f>IF(LN_IIA1=0,0,LN_IIA7/LN_IIA1)</f>
        <v>1.0097384343532987</v>
      </c>
      <c r="E268" s="367">
        <f t="shared" si="26"/>
        <v>0.03893027926979631</v>
      </c>
      <c r="F268" s="371">
        <f t="shared" si="27"/>
        <v>0.040100898479213734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809</v>
      </c>
      <c r="C269" s="361">
        <f>C28+C57+C204+C234</f>
        <v>208834808</v>
      </c>
      <c r="D269" s="361">
        <f>LN_IA12+LN_IB14+LN_IF15+LN_IG10</f>
        <v>228113129</v>
      </c>
      <c r="E269" s="361">
        <f t="shared" si="26"/>
        <v>19278321</v>
      </c>
      <c r="F269" s="415">
        <f t="shared" si="27"/>
        <v>0.09231373440389305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728</v>
      </c>
      <c r="C270" s="366">
        <f>IF(C267=0,0,C269/C267)</f>
        <v>0.47349872571622814</v>
      </c>
      <c r="D270" s="366">
        <f>IF(LN_IIA7=0,0,LN_IIA9/LN_IIA7)</f>
        <v>0.45296474244557816</v>
      </c>
      <c r="E270" s="367">
        <f t="shared" si="26"/>
        <v>-0.02053398327064998</v>
      </c>
      <c r="F270" s="371">
        <f t="shared" si="27"/>
        <v>-0.043366501651276194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810</v>
      </c>
      <c r="C271" s="353">
        <f>C261+C267</f>
        <v>895354473</v>
      </c>
      <c r="D271" s="353">
        <f>LN_IIA1+LN_IIA7</f>
        <v>1002343396</v>
      </c>
      <c r="E271" s="353">
        <f t="shared" si="26"/>
        <v>106988923</v>
      </c>
      <c r="F271" s="415">
        <f t="shared" si="27"/>
        <v>0.11949336963886481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811</v>
      </c>
      <c r="C272" s="353">
        <f>C262+C269</f>
        <v>415309859</v>
      </c>
      <c r="D272" s="353">
        <f>LN_IIA2+LN_IIA9</f>
        <v>443540500</v>
      </c>
      <c r="E272" s="353">
        <f t="shared" si="26"/>
        <v>28230641</v>
      </c>
      <c r="F272" s="415">
        <f t="shared" si="27"/>
        <v>0.06797488763684756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812</v>
      </c>
      <c r="C273" s="366">
        <f>IF(C271=0,0,C272/C271)</f>
        <v>0.4638496500815493</v>
      </c>
      <c r="D273" s="366">
        <f>IF(LN_IIA11=0,0,LN_IIA12/LN_IIA11)</f>
        <v>0.44250353897677597</v>
      </c>
      <c r="E273" s="367">
        <f t="shared" si="26"/>
        <v>-0.021346111104773358</v>
      </c>
      <c r="F273" s="371">
        <f t="shared" si="27"/>
        <v>-0.0460194614807201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87644</v>
      </c>
      <c r="D274" s="421">
        <f>LN_IA8+LN_IB10+LN_IF11+LN_IG6</f>
        <v>91794</v>
      </c>
      <c r="E274" s="442">
        <f t="shared" si="26"/>
        <v>4150</v>
      </c>
      <c r="F274" s="371">
        <f t="shared" si="27"/>
        <v>0.04735064579434987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814</v>
      </c>
      <c r="C277" s="361">
        <f>C15+C188+C221</f>
        <v>267299861</v>
      </c>
      <c r="D277" s="361">
        <f>LN_IA1+LN_IF1+LN_IG1</f>
        <v>301985883</v>
      </c>
      <c r="E277" s="361">
        <f aca="true" t="shared" si="28" ref="E277:E291">D277-C277</f>
        <v>34686022</v>
      </c>
      <c r="F277" s="415">
        <f aca="true" t="shared" si="29" ref="F277:F291">IF(C277=0,0,E277/C277)</f>
        <v>0.12976445954829732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815</v>
      </c>
      <c r="C278" s="361">
        <f>C16+C189+C222</f>
        <v>95472781</v>
      </c>
      <c r="D278" s="361">
        <f>LN_IA2+LN_IF2+LN_IG2</f>
        <v>100861217</v>
      </c>
      <c r="E278" s="361">
        <f t="shared" si="28"/>
        <v>5388436</v>
      </c>
      <c r="F278" s="415">
        <f t="shared" si="29"/>
        <v>0.056439499756480334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816</v>
      </c>
      <c r="C279" s="366">
        <f>IF(C277=0,0,C278/C277)</f>
        <v>0.35717482471867057</v>
      </c>
      <c r="D279" s="366">
        <f>IF(D277=0,0,LN_IIB2/D277)</f>
        <v>0.3339931522560609</v>
      </c>
      <c r="E279" s="367">
        <f t="shared" si="28"/>
        <v>-0.02318167246260966</v>
      </c>
      <c r="F279" s="371">
        <f t="shared" si="29"/>
        <v>-0.06490287349022639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817</v>
      </c>
      <c r="C280" s="369">
        <f>C18+C191+C224</f>
        <v>11148</v>
      </c>
      <c r="D280" s="369">
        <f>LN_IA4+LN_IF4+LN_IG3</f>
        <v>11448</v>
      </c>
      <c r="E280" s="369">
        <f t="shared" si="28"/>
        <v>300</v>
      </c>
      <c r="F280" s="415">
        <f t="shared" si="29"/>
        <v>0.02691065662002153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818</v>
      </c>
      <c r="C281" s="439">
        <f>IF(C280=0,0,C282/C280)</f>
        <v>1.2623029242913528</v>
      </c>
      <c r="D281" s="439">
        <f>IF(LN_IIB4=0,0,LN_IIB6/LN_IIB4)</f>
        <v>1.25914678546471</v>
      </c>
      <c r="E281" s="439">
        <f t="shared" si="28"/>
        <v>-0.0031561388266427848</v>
      </c>
      <c r="F281" s="415">
        <f t="shared" si="29"/>
        <v>-0.002500302238002512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819</v>
      </c>
      <c r="C282" s="376">
        <f>C20+C193+C226</f>
        <v>14072.153</v>
      </c>
      <c r="D282" s="376">
        <f>LN_IA6+LN_IF6+LN_IG5</f>
        <v>14414.7124</v>
      </c>
      <c r="E282" s="376">
        <f t="shared" si="28"/>
        <v>342.5594000000001</v>
      </c>
      <c r="F282" s="415">
        <f t="shared" si="29"/>
        <v>0.024343069607045922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820</v>
      </c>
      <c r="C283" s="361">
        <f>C27+C203+C233</f>
        <v>192962291</v>
      </c>
      <c r="D283" s="361">
        <f>LN_IA11+LN_IF14+LN_IG9</f>
        <v>228506592</v>
      </c>
      <c r="E283" s="361">
        <f t="shared" si="28"/>
        <v>35544301</v>
      </c>
      <c r="F283" s="415">
        <f t="shared" si="29"/>
        <v>0.18420335297532303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821</v>
      </c>
      <c r="C284" s="366">
        <f>IF(C277=0,0,C283/C277)</f>
        <v>0.7218944681755746</v>
      </c>
      <c r="D284" s="366">
        <f>IF(D277=0,0,LN_IIB7/D277)</f>
        <v>0.7566797153892124</v>
      </c>
      <c r="E284" s="367">
        <f t="shared" si="28"/>
        <v>0.03478524721363785</v>
      </c>
      <c r="F284" s="371">
        <f t="shared" si="29"/>
        <v>0.0481860559224809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822</v>
      </c>
      <c r="C285" s="361">
        <f>C28+C204+C234</f>
        <v>65894715</v>
      </c>
      <c r="D285" s="361">
        <f>LN_IA12+LN_IF15+LN_IG10</f>
        <v>74061142</v>
      </c>
      <c r="E285" s="361">
        <f t="shared" si="28"/>
        <v>8166427</v>
      </c>
      <c r="F285" s="415">
        <f t="shared" si="29"/>
        <v>0.12393144123925569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823</v>
      </c>
      <c r="C286" s="366">
        <f>IF(C283=0,0,C285/C283)</f>
        <v>0.3414901152888986</v>
      </c>
      <c r="D286" s="366">
        <f>IF(LN_IIB7=0,0,LN_IIB9/LN_IIB7)</f>
        <v>0.3241094331318022</v>
      </c>
      <c r="E286" s="367">
        <f t="shared" si="28"/>
        <v>-0.017380682157096428</v>
      </c>
      <c r="F286" s="371">
        <f t="shared" si="29"/>
        <v>-0.05089658932702188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824</v>
      </c>
      <c r="C287" s="353">
        <f>C277+C283</f>
        <v>460262152</v>
      </c>
      <c r="D287" s="353">
        <f>D277+LN_IIB7</f>
        <v>530492475</v>
      </c>
      <c r="E287" s="353">
        <f t="shared" si="28"/>
        <v>70230323</v>
      </c>
      <c r="F287" s="415">
        <f t="shared" si="29"/>
        <v>0.15258765617556144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825</v>
      </c>
      <c r="C288" s="353">
        <f>C278+C285</f>
        <v>161367496</v>
      </c>
      <c r="D288" s="353">
        <f>LN_IIB2+LN_IIB9</f>
        <v>174922359</v>
      </c>
      <c r="E288" s="353">
        <f t="shared" si="28"/>
        <v>13554863</v>
      </c>
      <c r="F288" s="415">
        <f t="shared" si="29"/>
        <v>0.0839999587029596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826</v>
      </c>
      <c r="C289" s="366">
        <f>IF(C287=0,0,C288/C287)</f>
        <v>0.3505990994453961</v>
      </c>
      <c r="D289" s="366">
        <f>IF(LN_IIB11=0,0,LN_IIB12/LN_IIB11)</f>
        <v>0.32973579691210514</v>
      </c>
      <c r="E289" s="367">
        <f t="shared" si="28"/>
        <v>-0.02086330253329094</v>
      </c>
      <c r="F289" s="371">
        <f t="shared" si="29"/>
        <v>-0.059507575935859716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54091</v>
      </c>
      <c r="D290" s="421">
        <f>LN_IA8+LN_IF11+LN_IG6</f>
        <v>58768</v>
      </c>
      <c r="E290" s="442">
        <f t="shared" si="28"/>
        <v>4677</v>
      </c>
      <c r="F290" s="371">
        <f t="shared" si="29"/>
        <v>0.08646540089848588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827</v>
      </c>
      <c r="C291" s="361">
        <f>C287-C288</f>
        <v>298894656</v>
      </c>
      <c r="D291" s="429">
        <f>LN_IIB11-LN_IIB12</f>
        <v>355570116</v>
      </c>
      <c r="E291" s="353">
        <f t="shared" si="28"/>
        <v>56675460</v>
      </c>
      <c r="F291" s="415">
        <f t="shared" si="29"/>
        <v>0.18961683945262642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715</v>
      </c>
      <c r="C294" s="379">
        <f>IF(C18=0,0,C22/C18)</f>
        <v>5.126222858506323</v>
      </c>
      <c r="D294" s="379">
        <f>IF(LN_IA4=0,0,LN_IA8/LN_IA4)</f>
        <v>5.418048097128181</v>
      </c>
      <c r="E294" s="379">
        <f aca="true" t="shared" si="30" ref="E294:E300">D294-C294</f>
        <v>0.2918252386218576</v>
      </c>
      <c r="F294" s="415">
        <f aca="true" t="shared" si="31" ref="F294:F300">IF(C294=0,0,E294/C294)</f>
        <v>0.05692792659952547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736</v>
      </c>
      <c r="C295" s="379">
        <f>IF(C45=0,0,C51/C45)</f>
        <v>3.603587154977983</v>
      </c>
      <c r="D295" s="379">
        <f>IF(LN_IB4=0,0,(LN_IB10)/(LN_IB4))</f>
        <v>3.64968504807161</v>
      </c>
      <c r="E295" s="379">
        <f t="shared" si="30"/>
        <v>0.04609789309362711</v>
      </c>
      <c r="F295" s="415">
        <f t="shared" si="31"/>
        <v>0.012792223723504963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751</v>
      </c>
      <c r="C296" s="379">
        <f>IF(C86=0,0,C93/C86)</f>
        <v>3.7623188405797103</v>
      </c>
      <c r="D296" s="379">
        <f>IF(LN_IC4=0,0,LN_IC11/LN_IC4)</f>
        <v>3.232919254658385</v>
      </c>
      <c r="E296" s="379">
        <f t="shared" si="30"/>
        <v>-0.5293995859213254</v>
      </c>
      <c r="F296" s="415">
        <f t="shared" si="31"/>
        <v>-0.140710983931323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3.9145374449339205</v>
      </c>
      <c r="D297" s="379">
        <f>IF(LN_ID4=0,0,LN_ID11/LN_ID4)</f>
        <v>4.176038062283737</v>
      </c>
      <c r="E297" s="379">
        <f t="shared" si="30"/>
        <v>0.2615006173498169</v>
      </c>
      <c r="F297" s="415">
        <f t="shared" si="31"/>
        <v>0.06680243094576686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828</v>
      </c>
      <c r="C298" s="379">
        <f>IF(C156=0,0,C163/C156)</f>
        <v>4.535269709543568</v>
      </c>
      <c r="D298" s="379">
        <f>IF(LN_IE4=0,0,LN_IE11/LN_IE4)</f>
        <v>4.770642201834862</v>
      </c>
      <c r="E298" s="379">
        <f t="shared" si="30"/>
        <v>0.23537249229129387</v>
      </c>
      <c r="F298" s="415">
        <f t="shared" si="31"/>
        <v>0.05189823480530816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3.642857142857143</v>
      </c>
      <c r="D299" s="379">
        <f>IF(LN_IG3=0,0,LN_IG6/LN_IG3)</f>
        <v>4.08</v>
      </c>
      <c r="E299" s="379">
        <f t="shared" si="30"/>
        <v>0.4371428571428573</v>
      </c>
      <c r="F299" s="415">
        <f t="shared" si="31"/>
        <v>0.12000000000000004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829</v>
      </c>
      <c r="C300" s="379">
        <f>IF(C264=0,0,C274/C264)</f>
        <v>4.283884842856445</v>
      </c>
      <c r="D300" s="379">
        <f>IF(LN_IIA4=0,0,LN_IIA14/LN_IIA4)</f>
        <v>4.478411474849978</v>
      </c>
      <c r="E300" s="379">
        <f t="shared" si="30"/>
        <v>0.1945266319935337</v>
      </c>
      <c r="F300" s="415">
        <f t="shared" si="31"/>
        <v>0.045408931175616195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824</v>
      </c>
      <c r="C304" s="353">
        <f>C35+C66+C214+C221+C233</f>
        <v>895354473</v>
      </c>
      <c r="D304" s="353">
        <f>LN_IIA11</f>
        <v>1002343396</v>
      </c>
      <c r="E304" s="353">
        <f aca="true" t="shared" si="32" ref="E304:E316">D304-C304</f>
        <v>106988923</v>
      </c>
      <c r="F304" s="362">
        <f>IF(C304=0,0,E304/C304)</f>
        <v>0.11949336963886481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827</v>
      </c>
      <c r="C305" s="353">
        <f>C291</f>
        <v>298894656</v>
      </c>
      <c r="D305" s="353">
        <f>LN_IIB14</f>
        <v>355570116</v>
      </c>
      <c r="E305" s="353">
        <f t="shared" si="32"/>
        <v>56675460</v>
      </c>
      <c r="F305" s="362">
        <f>IF(C305=0,0,E305/C305)</f>
        <v>0.18961683945262642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831</v>
      </c>
      <c r="C306" s="353">
        <f>C250</f>
        <v>25255558</v>
      </c>
      <c r="D306" s="353">
        <f>LN_IH6</f>
        <v>28962186</v>
      </c>
      <c r="E306" s="353">
        <f t="shared" si="32"/>
        <v>3706628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832</v>
      </c>
      <c r="C307" s="353">
        <f>C73-C74</f>
        <v>145049079</v>
      </c>
      <c r="D307" s="353">
        <f>LN_IB32-LN_IB33</f>
        <v>160366629</v>
      </c>
      <c r="E307" s="353">
        <f t="shared" si="32"/>
        <v>15317550</v>
      </c>
      <c r="F307" s="362">
        <f aca="true" t="shared" si="33" ref="F307:F316">IF(C307=0,0,E307/C307)</f>
        <v>0.10560253195402916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833</v>
      </c>
      <c r="C308" s="353">
        <v>11357466</v>
      </c>
      <c r="D308" s="353">
        <v>14621048</v>
      </c>
      <c r="E308" s="353">
        <f t="shared" si="32"/>
        <v>3263582</v>
      </c>
      <c r="F308" s="362">
        <f t="shared" si="33"/>
        <v>0.28735124542745716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834</v>
      </c>
      <c r="C309" s="353">
        <f>C305+C307+C308+C306</f>
        <v>480556759</v>
      </c>
      <c r="D309" s="353">
        <f>LN_III2+LN_III3+LN_III4+LN_III5</f>
        <v>559519979</v>
      </c>
      <c r="E309" s="353">
        <f t="shared" si="32"/>
        <v>78963220</v>
      </c>
      <c r="F309" s="362">
        <f t="shared" si="33"/>
        <v>0.1643161156744858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835</v>
      </c>
      <c r="C310" s="353">
        <f>C304-C309</f>
        <v>414797714</v>
      </c>
      <c r="D310" s="353">
        <f>LN_III1-LN_III6</f>
        <v>442823417</v>
      </c>
      <c r="E310" s="353">
        <f t="shared" si="32"/>
        <v>28025703</v>
      </c>
      <c r="F310" s="362">
        <f t="shared" si="33"/>
        <v>0.06756474795808542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836</v>
      </c>
      <c r="C311" s="353">
        <f>C245</f>
        <v>2569490</v>
      </c>
      <c r="D311" s="353">
        <f>LN_IH3</f>
        <v>2383181</v>
      </c>
      <c r="E311" s="353">
        <f t="shared" si="32"/>
        <v>-186309</v>
      </c>
      <c r="F311" s="362">
        <f t="shared" si="33"/>
        <v>-0.07250816309851371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837</v>
      </c>
      <c r="C312" s="353">
        <f>C310+C311</f>
        <v>417367204</v>
      </c>
      <c r="D312" s="353">
        <f>LN_III7+LN_III8</f>
        <v>445206598</v>
      </c>
      <c r="E312" s="353">
        <f t="shared" si="32"/>
        <v>27839394</v>
      </c>
      <c r="F312" s="362">
        <f t="shared" si="33"/>
        <v>0.06670239954934265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838</v>
      </c>
      <c r="C313" s="448">
        <f>IF(C304=0,0,C312/C304)</f>
        <v>0.4661474495141099</v>
      </c>
      <c r="D313" s="448">
        <f>IF(LN_III1=0,0,LN_III9/LN_III1)</f>
        <v>0.44416574177738183</v>
      </c>
      <c r="E313" s="448">
        <f t="shared" si="32"/>
        <v>-0.021981707736728084</v>
      </c>
      <c r="F313" s="362">
        <f t="shared" si="33"/>
        <v>-0.04715612572725814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796</v>
      </c>
      <c r="C314" s="353">
        <f>C306*C313</f>
        <v>11772813.947755674</v>
      </c>
      <c r="D314" s="353">
        <f>D313*LN_III5</f>
        <v>12864010.828184502</v>
      </c>
      <c r="E314" s="353">
        <f t="shared" si="32"/>
        <v>1091196.8804288283</v>
      </c>
      <c r="F314" s="362">
        <f t="shared" si="33"/>
        <v>0.09268785570478247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799</v>
      </c>
      <c r="C315" s="353">
        <f>(C214*C313)-C215</f>
        <v>13548480.546822257</v>
      </c>
      <c r="D315" s="353">
        <f>D313*LN_IH8-LN_IH9</f>
        <v>18667756.155801922</v>
      </c>
      <c r="E315" s="353">
        <f t="shared" si="32"/>
        <v>5119275.608979665</v>
      </c>
      <c r="F315" s="362">
        <f t="shared" si="33"/>
        <v>0.37784868873582805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839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841</v>
      </c>
      <c r="C318" s="353">
        <f>C314+C315+C316</f>
        <v>25321294.49457793</v>
      </c>
      <c r="D318" s="353">
        <f>D314+D315+D316</f>
        <v>31531766.983986422</v>
      </c>
      <c r="E318" s="353">
        <f>D318-C318</f>
        <v>6210472.489408493</v>
      </c>
      <c r="F318" s="362">
        <f>IF(C318=0,0,E318/C318)</f>
        <v>0.245266784869089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842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12202396.359210074</v>
      </c>
      <c r="D322" s="353">
        <f>LN_ID22</f>
        <v>12343702.53991939</v>
      </c>
      <c r="E322" s="353">
        <f>LN_IV2-C322</f>
        <v>141306.18070931546</v>
      </c>
      <c r="F322" s="362">
        <f>IF(C322=0,0,E322/C322)</f>
        <v>0.011580199212481814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828</v>
      </c>
      <c r="C323" s="353">
        <f>C162+C176</f>
        <v>5113982.527582008</v>
      </c>
      <c r="D323" s="353">
        <f>LN_IE10+LN_IE22</f>
        <v>5435693.290360136</v>
      </c>
      <c r="E323" s="353">
        <f>LN_IV3-C323</f>
        <v>321710.76277812757</v>
      </c>
      <c r="F323" s="362">
        <f>IF(C323=0,0,E323/C323)</f>
        <v>0.06290806842670985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843</v>
      </c>
      <c r="C324" s="353">
        <f>C92+C106</f>
        <v>6356479.754467044</v>
      </c>
      <c r="D324" s="353">
        <f>LN_IC10+LN_IC22</f>
        <v>9801581.917923242</v>
      </c>
      <c r="E324" s="353">
        <f>LN_IV1-C324</f>
        <v>3445102.163456198</v>
      </c>
      <c r="F324" s="362">
        <f>IF(C324=0,0,E324/C324)</f>
        <v>0.5419827163038059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844</v>
      </c>
      <c r="C325" s="429">
        <f>C324+C322+C323</f>
        <v>23672858.641259126</v>
      </c>
      <c r="D325" s="429">
        <f>LN_IV1+LN_IV2+LN_IV3</f>
        <v>27580977.74820277</v>
      </c>
      <c r="E325" s="353">
        <f>LN_IV4-C325</f>
        <v>3908119.1069436446</v>
      </c>
      <c r="F325" s="362">
        <f>IF(C325=0,0,E325/C325)</f>
        <v>0.1650886006699771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845</v>
      </c>
      <c r="B327" s="446" t="s">
        <v>846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847</v>
      </c>
      <c r="C329" s="431">
        <v>20237123</v>
      </c>
      <c r="D329" s="431">
        <v>25103550</v>
      </c>
      <c r="E329" s="431">
        <f aca="true" t="shared" si="34" ref="E329:E335">D329-C329</f>
        <v>4866427</v>
      </c>
      <c r="F329" s="462">
        <f aca="true" t="shared" si="35" ref="F329:F335">IF(C329=0,0,E329/C329)</f>
        <v>0.2404702980754725</v>
      </c>
    </row>
    <row r="330" spans="1:6" s="333" customFormat="1" ht="11.25" customHeight="1">
      <c r="A330" s="364">
        <v>2</v>
      </c>
      <c r="B330" s="360" t="s">
        <v>848</v>
      </c>
      <c r="C330" s="429">
        <v>12626619</v>
      </c>
      <c r="D330" s="429">
        <v>14172242</v>
      </c>
      <c r="E330" s="431">
        <f t="shared" si="34"/>
        <v>1545623</v>
      </c>
      <c r="F330" s="463">
        <f t="shared" si="35"/>
        <v>0.12240988660543253</v>
      </c>
    </row>
    <row r="331" spans="1:6" s="333" customFormat="1" ht="11.25" customHeight="1">
      <c r="A331" s="339">
        <v>3</v>
      </c>
      <c r="B331" s="360" t="s">
        <v>849</v>
      </c>
      <c r="C331" s="429">
        <v>430505970</v>
      </c>
      <c r="D331" s="429">
        <v>460095923</v>
      </c>
      <c r="E331" s="431">
        <f t="shared" si="34"/>
        <v>29589953</v>
      </c>
      <c r="F331" s="462">
        <f t="shared" si="35"/>
        <v>0.06873296786104964</v>
      </c>
    </row>
    <row r="332" spans="1:6" s="333" customFormat="1" ht="11.25" customHeight="1">
      <c r="A332" s="364">
        <v>4</v>
      </c>
      <c r="B332" s="360" t="s">
        <v>850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851</v>
      </c>
      <c r="C333" s="429">
        <v>895354474</v>
      </c>
      <c r="D333" s="429">
        <v>1002343396</v>
      </c>
      <c r="E333" s="431">
        <f t="shared" si="34"/>
        <v>106988922</v>
      </c>
      <c r="F333" s="462">
        <f t="shared" si="35"/>
        <v>0.11949336838852943</v>
      </c>
    </row>
    <row r="334" spans="1:6" s="333" customFormat="1" ht="11.25" customHeight="1">
      <c r="A334" s="339">
        <v>6</v>
      </c>
      <c r="B334" s="360" t="s">
        <v>852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853</v>
      </c>
      <c r="C335" s="429">
        <v>25255558</v>
      </c>
      <c r="D335" s="429">
        <v>28962186</v>
      </c>
      <c r="E335" s="429">
        <f t="shared" si="34"/>
        <v>3706628</v>
      </c>
      <c r="F335" s="462">
        <f t="shared" si="35"/>
        <v>0.1467648428120258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FILING&amp;RDANBURY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96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706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854</v>
      </c>
      <c r="B5" s="709"/>
      <c r="C5" s="709"/>
      <c r="D5" s="709"/>
      <c r="E5" s="709"/>
    </row>
    <row r="6" spans="1:5" s="338" customFormat="1" ht="15.75" customHeight="1">
      <c r="A6" s="709" t="s">
        <v>855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856</v>
      </c>
      <c r="D9" s="494" t="s">
        <v>857</v>
      </c>
      <c r="E9" s="495" t="s">
        <v>858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859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860</v>
      </c>
      <c r="C13" s="510"/>
      <c r="D13" s="340"/>
      <c r="E13" s="511"/>
    </row>
    <row r="14" spans="1:5" s="506" customFormat="1" ht="12.75">
      <c r="A14" s="512">
        <v>1</v>
      </c>
      <c r="B14" s="511" t="s">
        <v>736</v>
      </c>
      <c r="C14" s="513">
        <v>187008424</v>
      </c>
      <c r="D14" s="513">
        <v>196757326</v>
      </c>
      <c r="E14" s="514">
        <f aca="true" t="shared" si="0" ref="E14:E22">D14-C14</f>
        <v>9748902</v>
      </c>
    </row>
    <row r="15" spans="1:5" s="506" customFormat="1" ht="12.75">
      <c r="A15" s="512">
        <v>2</v>
      </c>
      <c r="B15" s="511" t="s">
        <v>715</v>
      </c>
      <c r="C15" s="513">
        <v>226462315</v>
      </c>
      <c r="D15" s="515">
        <v>249602920</v>
      </c>
      <c r="E15" s="514">
        <f t="shared" si="0"/>
        <v>23140605</v>
      </c>
    </row>
    <row r="16" spans="1:5" s="506" customFormat="1" ht="12.75">
      <c r="A16" s="512">
        <v>3</v>
      </c>
      <c r="B16" s="511" t="s">
        <v>861</v>
      </c>
      <c r="C16" s="513">
        <v>40582946</v>
      </c>
      <c r="D16" s="515">
        <v>51990180</v>
      </c>
      <c r="E16" s="514">
        <f t="shared" si="0"/>
        <v>11407234</v>
      </c>
    </row>
    <row r="17" spans="1:5" s="506" customFormat="1" ht="12.75">
      <c r="A17" s="512">
        <v>4</v>
      </c>
      <c r="B17" s="511" t="s">
        <v>229</v>
      </c>
      <c r="C17" s="513">
        <v>31712011</v>
      </c>
      <c r="D17" s="515">
        <v>41879240</v>
      </c>
      <c r="E17" s="514">
        <f t="shared" si="0"/>
        <v>10167229</v>
      </c>
    </row>
    <row r="18" spans="1:5" s="506" customFormat="1" ht="12.75">
      <c r="A18" s="512">
        <v>5</v>
      </c>
      <c r="B18" s="511" t="s">
        <v>828</v>
      </c>
      <c r="C18" s="513">
        <v>8870935</v>
      </c>
      <c r="D18" s="515">
        <v>10110940</v>
      </c>
      <c r="E18" s="514">
        <f t="shared" si="0"/>
        <v>1240005</v>
      </c>
    </row>
    <row r="19" spans="1:5" s="506" customFormat="1" ht="12.75">
      <c r="A19" s="512">
        <v>6</v>
      </c>
      <c r="B19" s="511" t="s">
        <v>533</v>
      </c>
      <c r="C19" s="513">
        <v>254600</v>
      </c>
      <c r="D19" s="515">
        <v>392783</v>
      </c>
      <c r="E19" s="514">
        <f t="shared" si="0"/>
        <v>138183</v>
      </c>
    </row>
    <row r="20" spans="1:5" s="506" customFormat="1" ht="12.75">
      <c r="A20" s="512">
        <v>7</v>
      </c>
      <c r="B20" s="511" t="s">
        <v>843</v>
      </c>
      <c r="C20" s="513">
        <v>7642339</v>
      </c>
      <c r="D20" s="515">
        <v>6683450</v>
      </c>
      <c r="E20" s="514">
        <f t="shared" si="0"/>
        <v>-958889</v>
      </c>
    </row>
    <row r="21" spans="1:5" s="506" customFormat="1" ht="12.75">
      <c r="A21" s="512"/>
      <c r="B21" s="516" t="s">
        <v>862</v>
      </c>
      <c r="C21" s="517">
        <f>SUM(C15+C16+C19)</f>
        <v>267299861</v>
      </c>
      <c r="D21" s="517">
        <f>SUM(D15+D16+D19)</f>
        <v>301985883</v>
      </c>
      <c r="E21" s="517">
        <f t="shared" si="0"/>
        <v>34686022</v>
      </c>
    </row>
    <row r="22" spans="1:5" s="506" customFormat="1" ht="12.75">
      <c r="A22" s="512"/>
      <c r="B22" s="516" t="s">
        <v>802</v>
      </c>
      <c r="C22" s="517">
        <f>SUM(C14+C21)</f>
        <v>454308285</v>
      </c>
      <c r="D22" s="517">
        <f>SUM(D14+D21)</f>
        <v>498743209</v>
      </c>
      <c r="E22" s="517">
        <f t="shared" si="0"/>
        <v>44434924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863</v>
      </c>
      <c r="C24" s="511"/>
      <c r="D24" s="511"/>
      <c r="E24" s="511"/>
    </row>
    <row r="25" spans="1:5" s="506" customFormat="1" ht="12.75">
      <c r="A25" s="512">
        <v>1</v>
      </c>
      <c r="B25" s="511" t="s">
        <v>736</v>
      </c>
      <c r="C25" s="513">
        <v>248083897</v>
      </c>
      <c r="D25" s="513">
        <v>275093595</v>
      </c>
      <c r="E25" s="514">
        <f aca="true" t="shared" si="1" ref="E25:E33">D25-C25</f>
        <v>27009698</v>
      </c>
    </row>
    <row r="26" spans="1:5" s="506" customFormat="1" ht="12.75">
      <c r="A26" s="512">
        <v>2</v>
      </c>
      <c r="B26" s="511" t="s">
        <v>715</v>
      </c>
      <c r="C26" s="513">
        <v>152175913</v>
      </c>
      <c r="D26" s="515">
        <v>177971128</v>
      </c>
      <c r="E26" s="514">
        <f t="shared" si="1"/>
        <v>25795215</v>
      </c>
    </row>
    <row r="27" spans="1:5" s="506" customFormat="1" ht="12.75">
      <c r="A27" s="512">
        <v>3</v>
      </c>
      <c r="B27" s="511" t="s">
        <v>861</v>
      </c>
      <c r="C27" s="513">
        <v>40345017</v>
      </c>
      <c r="D27" s="515">
        <v>49917547</v>
      </c>
      <c r="E27" s="514">
        <f t="shared" si="1"/>
        <v>9572530</v>
      </c>
    </row>
    <row r="28" spans="1:5" s="506" customFormat="1" ht="12.75">
      <c r="A28" s="512">
        <v>4</v>
      </c>
      <c r="B28" s="511" t="s">
        <v>229</v>
      </c>
      <c r="C28" s="513">
        <v>30152838</v>
      </c>
      <c r="D28" s="515">
        <v>39619838</v>
      </c>
      <c r="E28" s="514">
        <f t="shared" si="1"/>
        <v>9467000</v>
      </c>
    </row>
    <row r="29" spans="1:5" s="506" customFormat="1" ht="12.75">
      <c r="A29" s="512">
        <v>5</v>
      </c>
      <c r="B29" s="511" t="s">
        <v>828</v>
      </c>
      <c r="C29" s="513">
        <v>10192179</v>
      </c>
      <c r="D29" s="515">
        <v>10297709</v>
      </c>
      <c r="E29" s="514">
        <f t="shared" si="1"/>
        <v>105530</v>
      </c>
    </row>
    <row r="30" spans="1:5" s="506" customFormat="1" ht="12.75">
      <c r="A30" s="512">
        <v>6</v>
      </c>
      <c r="B30" s="511" t="s">
        <v>533</v>
      </c>
      <c r="C30" s="513">
        <v>441361</v>
      </c>
      <c r="D30" s="515">
        <v>617917</v>
      </c>
      <c r="E30" s="514">
        <f t="shared" si="1"/>
        <v>176556</v>
      </c>
    </row>
    <row r="31" spans="1:5" s="506" customFormat="1" ht="12.75">
      <c r="A31" s="512">
        <v>7</v>
      </c>
      <c r="B31" s="511" t="s">
        <v>843</v>
      </c>
      <c r="C31" s="514">
        <v>18319996</v>
      </c>
      <c r="D31" s="518">
        <v>20881628</v>
      </c>
      <c r="E31" s="514">
        <f t="shared" si="1"/>
        <v>2561632</v>
      </c>
    </row>
    <row r="32" spans="1:5" s="506" customFormat="1" ht="12.75">
      <c r="A32" s="512"/>
      <c r="B32" s="516" t="s">
        <v>864</v>
      </c>
      <c r="C32" s="517">
        <f>SUM(C26+C27+C30)</f>
        <v>192962291</v>
      </c>
      <c r="D32" s="517">
        <f>SUM(D26+D27+D30)</f>
        <v>228506592</v>
      </c>
      <c r="E32" s="517">
        <f t="shared" si="1"/>
        <v>35544301</v>
      </c>
    </row>
    <row r="33" spans="1:5" s="506" customFormat="1" ht="12.75">
      <c r="A33" s="512"/>
      <c r="B33" s="516" t="s">
        <v>808</v>
      </c>
      <c r="C33" s="517">
        <f>SUM(C25+C32)</f>
        <v>441046188</v>
      </c>
      <c r="D33" s="517">
        <f>SUM(D25+D32)</f>
        <v>503600187</v>
      </c>
      <c r="E33" s="517">
        <f t="shared" si="1"/>
        <v>62553999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733</v>
      </c>
      <c r="C35" s="514"/>
      <c r="D35" s="514"/>
      <c r="E35" s="511"/>
    </row>
    <row r="36" spans="1:5" s="506" customFormat="1" ht="12.75">
      <c r="A36" s="512">
        <v>1</v>
      </c>
      <c r="B36" s="511" t="s">
        <v>865</v>
      </c>
      <c r="C36" s="514">
        <f aca="true" t="shared" si="2" ref="C36:D42">C14+C25</f>
        <v>435092321</v>
      </c>
      <c r="D36" s="514">
        <f t="shared" si="2"/>
        <v>471850921</v>
      </c>
      <c r="E36" s="514">
        <f aca="true" t="shared" si="3" ref="E36:E44">D36-C36</f>
        <v>36758600</v>
      </c>
    </row>
    <row r="37" spans="1:5" s="506" customFormat="1" ht="12.75">
      <c r="A37" s="512">
        <v>2</v>
      </c>
      <c r="B37" s="511" t="s">
        <v>866</v>
      </c>
      <c r="C37" s="514">
        <f t="shared" si="2"/>
        <v>378638228</v>
      </c>
      <c r="D37" s="514">
        <f t="shared" si="2"/>
        <v>427574048</v>
      </c>
      <c r="E37" s="514">
        <f t="shared" si="3"/>
        <v>48935820</v>
      </c>
    </row>
    <row r="38" spans="1:5" s="506" customFormat="1" ht="12.75">
      <c r="A38" s="512">
        <v>3</v>
      </c>
      <c r="B38" s="511" t="s">
        <v>867</v>
      </c>
      <c r="C38" s="514">
        <f t="shared" si="2"/>
        <v>80927963</v>
      </c>
      <c r="D38" s="514">
        <f t="shared" si="2"/>
        <v>101907727</v>
      </c>
      <c r="E38" s="514">
        <f t="shared" si="3"/>
        <v>20979764</v>
      </c>
    </row>
    <row r="39" spans="1:5" s="506" customFormat="1" ht="12.75">
      <c r="A39" s="512">
        <v>4</v>
      </c>
      <c r="B39" s="511" t="s">
        <v>868</v>
      </c>
      <c r="C39" s="514">
        <f t="shared" si="2"/>
        <v>61864849</v>
      </c>
      <c r="D39" s="514">
        <f t="shared" si="2"/>
        <v>81499078</v>
      </c>
      <c r="E39" s="514">
        <f t="shared" si="3"/>
        <v>19634229</v>
      </c>
    </row>
    <row r="40" spans="1:5" s="506" customFormat="1" ht="12.75">
      <c r="A40" s="512">
        <v>5</v>
      </c>
      <c r="B40" s="511" t="s">
        <v>869</v>
      </c>
      <c r="C40" s="514">
        <f t="shared" si="2"/>
        <v>19063114</v>
      </c>
      <c r="D40" s="514">
        <f t="shared" si="2"/>
        <v>20408649</v>
      </c>
      <c r="E40" s="514">
        <f t="shared" si="3"/>
        <v>1345535</v>
      </c>
    </row>
    <row r="41" spans="1:5" s="506" customFormat="1" ht="12.75">
      <c r="A41" s="512">
        <v>6</v>
      </c>
      <c r="B41" s="511" t="s">
        <v>870</v>
      </c>
      <c r="C41" s="514">
        <f t="shared" si="2"/>
        <v>695961</v>
      </c>
      <c r="D41" s="514">
        <f t="shared" si="2"/>
        <v>1010700</v>
      </c>
      <c r="E41" s="514">
        <f t="shared" si="3"/>
        <v>314739</v>
      </c>
    </row>
    <row r="42" spans="1:5" s="506" customFormat="1" ht="12.75">
      <c r="A42" s="512">
        <v>7</v>
      </c>
      <c r="B42" s="511" t="s">
        <v>871</v>
      </c>
      <c r="C42" s="514">
        <f t="shared" si="2"/>
        <v>25962335</v>
      </c>
      <c r="D42" s="514">
        <f t="shared" si="2"/>
        <v>27565078</v>
      </c>
      <c r="E42" s="514">
        <f t="shared" si="3"/>
        <v>1602743</v>
      </c>
    </row>
    <row r="43" spans="1:5" s="506" customFormat="1" ht="12.75">
      <c r="A43" s="512"/>
      <c r="B43" s="516" t="s">
        <v>872</v>
      </c>
      <c r="C43" s="517">
        <f>SUM(C37+C38+C41)</f>
        <v>460262152</v>
      </c>
      <c r="D43" s="517">
        <f>SUM(D37+D38+D41)</f>
        <v>530492475</v>
      </c>
      <c r="E43" s="517">
        <f t="shared" si="3"/>
        <v>70230323</v>
      </c>
    </row>
    <row r="44" spans="1:5" s="506" customFormat="1" ht="12.75">
      <c r="A44" s="512"/>
      <c r="B44" s="516" t="s">
        <v>810</v>
      </c>
      <c r="C44" s="517">
        <f>SUM(C36+C43)</f>
        <v>895354473</v>
      </c>
      <c r="D44" s="517">
        <f>SUM(D36+D43)</f>
        <v>1002343396</v>
      </c>
      <c r="E44" s="517">
        <f t="shared" si="3"/>
        <v>106988923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873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736</v>
      </c>
      <c r="C47" s="513">
        <v>111002270</v>
      </c>
      <c r="D47" s="513">
        <v>114566154</v>
      </c>
      <c r="E47" s="514">
        <f aca="true" t="shared" si="4" ref="E47:E55">D47-C47</f>
        <v>3563884</v>
      </c>
    </row>
    <row r="48" spans="1:5" s="506" customFormat="1" ht="12.75">
      <c r="A48" s="512">
        <v>2</v>
      </c>
      <c r="B48" s="511" t="s">
        <v>715</v>
      </c>
      <c r="C48" s="513">
        <v>81947178</v>
      </c>
      <c r="D48" s="515">
        <v>86419238</v>
      </c>
      <c r="E48" s="514">
        <f t="shared" si="4"/>
        <v>4472060</v>
      </c>
    </row>
    <row r="49" spans="1:5" s="506" customFormat="1" ht="12.75">
      <c r="A49" s="512">
        <v>3</v>
      </c>
      <c r="B49" s="511" t="s">
        <v>861</v>
      </c>
      <c r="C49" s="513">
        <v>13455501</v>
      </c>
      <c r="D49" s="515">
        <v>14289651</v>
      </c>
      <c r="E49" s="514">
        <f t="shared" si="4"/>
        <v>834150</v>
      </c>
    </row>
    <row r="50" spans="1:5" s="506" customFormat="1" ht="12.75">
      <c r="A50" s="512">
        <v>4</v>
      </c>
      <c r="B50" s="511" t="s">
        <v>229</v>
      </c>
      <c r="C50" s="513">
        <v>11907461</v>
      </c>
      <c r="D50" s="515">
        <v>13231023</v>
      </c>
      <c r="E50" s="514">
        <f t="shared" si="4"/>
        <v>1323562</v>
      </c>
    </row>
    <row r="51" spans="1:5" s="506" customFormat="1" ht="12.75">
      <c r="A51" s="512">
        <v>5</v>
      </c>
      <c r="B51" s="511" t="s">
        <v>828</v>
      </c>
      <c r="C51" s="513">
        <v>1548040</v>
      </c>
      <c r="D51" s="515">
        <v>1058628</v>
      </c>
      <c r="E51" s="514">
        <f t="shared" si="4"/>
        <v>-489412</v>
      </c>
    </row>
    <row r="52" spans="1:5" s="506" customFormat="1" ht="12.75">
      <c r="A52" s="512">
        <v>6</v>
      </c>
      <c r="B52" s="511" t="s">
        <v>533</v>
      </c>
      <c r="C52" s="513">
        <v>70102</v>
      </c>
      <c r="D52" s="515">
        <v>152328</v>
      </c>
      <c r="E52" s="514">
        <f t="shared" si="4"/>
        <v>82226</v>
      </c>
    </row>
    <row r="53" spans="1:5" s="506" customFormat="1" ht="12.75">
      <c r="A53" s="512">
        <v>7</v>
      </c>
      <c r="B53" s="511" t="s">
        <v>843</v>
      </c>
      <c r="C53" s="513">
        <v>1367744</v>
      </c>
      <c r="D53" s="515">
        <v>677729</v>
      </c>
      <c r="E53" s="514">
        <f t="shared" si="4"/>
        <v>-690015</v>
      </c>
    </row>
    <row r="54" spans="1:5" s="506" customFormat="1" ht="12.75">
      <c r="A54" s="512"/>
      <c r="B54" s="516" t="s">
        <v>874</v>
      </c>
      <c r="C54" s="517">
        <f>SUM(C48+C49+C52)</f>
        <v>95472781</v>
      </c>
      <c r="D54" s="517">
        <f>SUM(D48+D49+D52)</f>
        <v>100861217</v>
      </c>
      <c r="E54" s="517">
        <f t="shared" si="4"/>
        <v>5388436</v>
      </c>
    </row>
    <row r="55" spans="1:5" s="506" customFormat="1" ht="12.75">
      <c r="A55" s="512"/>
      <c r="B55" s="516" t="s">
        <v>803</v>
      </c>
      <c r="C55" s="517">
        <f>SUM(C47+C54)</f>
        <v>206475051</v>
      </c>
      <c r="D55" s="517">
        <f>SUM(D47+D54)</f>
        <v>215427371</v>
      </c>
      <c r="E55" s="517">
        <f t="shared" si="4"/>
        <v>8952320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875</v>
      </c>
      <c r="C57" s="499"/>
      <c r="D57" s="515"/>
      <c r="E57" s="511"/>
    </row>
    <row r="58" spans="1:5" s="506" customFormat="1" ht="12.75">
      <c r="A58" s="512">
        <v>1</v>
      </c>
      <c r="B58" s="511" t="s">
        <v>736</v>
      </c>
      <c r="C58" s="513">
        <v>142940093</v>
      </c>
      <c r="D58" s="513">
        <v>154051987</v>
      </c>
      <c r="E58" s="514">
        <f aca="true" t="shared" si="5" ref="E58:E66">D58-C58</f>
        <v>11111894</v>
      </c>
    </row>
    <row r="59" spans="1:5" s="506" customFormat="1" ht="12.75">
      <c r="A59" s="512">
        <v>2</v>
      </c>
      <c r="B59" s="511" t="s">
        <v>715</v>
      </c>
      <c r="C59" s="513">
        <v>55060620</v>
      </c>
      <c r="D59" s="515">
        <v>61613338</v>
      </c>
      <c r="E59" s="514">
        <f t="shared" si="5"/>
        <v>6552718</v>
      </c>
    </row>
    <row r="60" spans="1:5" s="506" customFormat="1" ht="12.75">
      <c r="A60" s="512">
        <v>3</v>
      </c>
      <c r="B60" s="511" t="s">
        <v>861</v>
      </c>
      <c r="C60" s="513">
        <f>C61+C62</f>
        <v>10720382</v>
      </c>
      <c r="D60" s="515">
        <f>D61+D62</f>
        <v>12306514</v>
      </c>
      <c r="E60" s="514">
        <f t="shared" si="5"/>
        <v>1586132</v>
      </c>
    </row>
    <row r="61" spans="1:5" s="506" customFormat="1" ht="12.75">
      <c r="A61" s="512">
        <v>4</v>
      </c>
      <c r="B61" s="511" t="s">
        <v>229</v>
      </c>
      <c r="C61" s="513">
        <v>8897180</v>
      </c>
      <c r="D61" s="515">
        <v>9721022</v>
      </c>
      <c r="E61" s="514">
        <f t="shared" si="5"/>
        <v>823842</v>
      </c>
    </row>
    <row r="62" spans="1:5" s="506" customFormat="1" ht="12.75">
      <c r="A62" s="512">
        <v>5</v>
      </c>
      <c r="B62" s="511" t="s">
        <v>828</v>
      </c>
      <c r="C62" s="513">
        <v>1823202</v>
      </c>
      <c r="D62" s="515">
        <v>2585492</v>
      </c>
      <c r="E62" s="514">
        <f t="shared" si="5"/>
        <v>762290</v>
      </c>
    </row>
    <row r="63" spans="1:5" s="506" customFormat="1" ht="12.75">
      <c r="A63" s="512">
        <v>6</v>
      </c>
      <c r="B63" s="511" t="s">
        <v>533</v>
      </c>
      <c r="C63" s="513">
        <v>113713</v>
      </c>
      <c r="D63" s="515">
        <v>141290</v>
      </c>
      <c r="E63" s="514">
        <f t="shared" si="5"/>
        <v>27577</v>
      </c>
    </row>
    <row r="64" spans="1:5" s="506" customFormat="1" ht="12.75">
      <c r="A64" s="512">
        <v>7</v>
      </c>
      <c r="B64" s="511" t="s">
        <v>843</v>
      </c>
      <c r="C64" s="513">
        <v>3278718</v>
      </c>
      <c r="D64" s="515">
        <v>2117482</v>
      </c>
      <c r="E64" s="514">
        <f t="shared" si="5"/>
        <v>-1161236</v>
      </c>
    </row>
    <row r="65" spans="1:5" s="506" customFormat="1" ht="12.75">
      <c r="A65" s="512"/>
      <c r="B65" s="516" t="s">
        <v>876</v>
      </c>
      <c r="C65" s="517">
        <f>SUM(C59+C60+C63)</f>
        <v>65894715</v>
      </c>
      <c r="D65" s="517">
        <f>SUM(D59+D60+D63)</f>
        <v>74061142</v>
      </c>
      <c r="E65" s="517">
        <f t="shared" si="5"/>
        <v>8166427</v>
      </c>
    </row>
    <row r="66" spans="1:5" s="506" customFormat="1" ht="12.75">
      <c r="A66" s="512"/>
      <c r="B66" s="516" t="s">
        <v>809</v>
      </c>
      <c r="C66" s="517">
        <f>SUM(C58+C65)</f>
        <v>208834808</v>
      </c>
      <c r="D66" s="517">
        <f>SUM(D58+D65)</f>
        <v>228113129</v>
      </c>
      <c r="E66" s="517">
        <f t="shared" si="5"/>
        <v>19278321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734</v>
      </c>
      <c r="C68" s="511"/>
      <c r="D68" s="511"/>
      <c r="E68" s="511"/>
    </row>
    <row r="69" spans="1:5" s="506" customFormat="1" ht="12.75">
      <c r="A69" s="512">
        <v>1</v>
      </c>
      <c r="B69" s="511" t="s">
        <v>865</v>
      </c>
      <c r="C69" s="514">
        <f aca="true" t="shared" si="6" ref="C69:D75">C47+C58</f>
        <v>253942363</v>
      </c>
      <c r="D69" s="514">
        <f t="shared" si="6"/>
        <v>268618141</v>
      </c>
      <c r="E69" s="514">
        <f aca="true" t="shared" si="7" ref="E69:E77">D69-C69</f>
        <v>14675778</v>
      </c>
    </row>
    <row r="70" spans="1:5" s="506" customFormat="1" ht="12.75">
      <c r="A70" s="512">
        <v>2</v>
      </c>
      <c r="B70" s="511" t="s">
        <v>866</v>
      </c>
      <c r="C70" s="514">
        <f t="shared" si="6"/>
        <v>137007798</v>
      </c>
      <c r="D70" s="514">
        <f t="shared" si="6"/>
        <v>148032576</v>
      </c>
      <c r="E70" s="514">
        <f t="shared" si="7"/>
        <v>11024778</v>
      </c>
    </row>
    <row r="71" spans="1:5" s="506" customFormat="1" ht="12.75">
      <c r="A71" s="512">
        <v>3</v>
      </c>
      <c r="B71" s="511" t="s">
        <v>867</v>
      </c>
      <c r="C71" s="514">
        <f t="shared" si="6"/>
        <v>24175883</v>
      </c>
      <c r="D71" s="514">
        <f t="shared" si="6"/>
        <v>26596165</v>
      </c>
      <c r="E71" s="514">
        <f t="shared" si="7"/>
        <v>2420282</v>
      </c>
    </row>
    <row r="72" spans="1:5" s="506" customFormat="1" ht="12.75">
      <c r="A72" s="512">
        <v>4</v>
      </c>
      <c r="B72" s="511" t="s">
        <v>868</v>
      </c>
      <c r="C72" s="514">
        <f t="shared" si="6"/>
        <v>20804641</v>
      </c>
      <c r="D72" s="514">
        <f t="shared" si="6"/>
        <v>22952045</v>
      </c>
      <c r="E72" s="514">
        <f t="shared" si="7"/>
        <v>2147404</v>
      </c>
    </row>
    <row r="73" spans="1:5" s="506" customFormat="1" ht="12.75">
      <c r="A73" s="512">
        <v>5</v>
      </c>
      <c r="B73" s="511" t="s">
        <v>869</v>
      </c>
      <c r="C73" s="514">
        <f t="shared" si="6"/>
        <v>3371242</v>
      </c>
      <c r="D73" s="514">
        <f t="shared" si="6"/>
        <v>3644120</v>
      </c>
      <c r="E73" s="514">
        <f t="shared" si="7"/>
        <v>272878</v>
      </c>
    </row>
    <row r="74" spans="1:5" s="506" customFormat="1" ht="12.75">
      <c r="A74" s="512">
        <v>6</v>
      </c>
      <c r="B74" s="511" t="s">
        <v>870</v>
      </c>
      <c r="C74" s="514">
        <f t="shared" si="6"/>
        <v>183815</v>
      </c>
      <c r="D74" s="514">
        <f t="shared" si="6"/>
        <v>293618</v>
      </c>
      <c r="E74" s="514">
        <f t="shared" si="7"/>
        <v>109803</v>
      </c>
    </row>
    <row r="75" spans="1:5" s="506" customFormat="1" ht="12.75">
      <c r="A75" s="512">
        <v>7</v>
      </c>
      <c r="B75" s="511" t="s">
        <v>871</v>
      </c>
      <c r="C75" s="514">
        <f t="shared" si="6"/>
        <v>4646462</v>
      </c>
      <c r="D75" s="514">
        <f t="shared" si="6"/>
        <v>2795211</v>
      </c>
      <c r="E75" s="514">
        <f t="shared" si="7"/>
        <v>-1851251</v>
      </c>
    </row>
    <row r="76" spans="1:5" s="506" customFormat="1" ht="12.75">
      <c r="A76" s="512"/>
      <c r="B76" s="516" t="s">
        <v>877</v>
      </c>
      <c r="C76" s="517">
        <f>SUM(C70+C71+C74)</f>
        <v>161367496</v>
      </c>
      <c r="D76" s="517">
        <f>SUM(D70+D71+D74)</f>
        <v>174922359</v>
      </c>
      <c r="E76" s="517">
        <f t="shared" si="7"/>
        <v>13554863</v>
      </c>
    </row>
    <row r="77" spans="1:5" s="506" customFormat="1" ht="12.75">
      <c r="A77" s="512"/>
      <c r="B77" s="516" t="s">
        <v>811</v>
      </c>
      <c r="C77" s="517">
        <f>SUM(C69+C76)</f>
        <v>415309859</v>
      </c>
      <c r="D77" s="517">
        <f>SUM(D69+D76)</f>
        <v>443540500</v>
      </c>
      <c r="E77" s="517">
        <f t="shared" si="7"/>
        <v>28230641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878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879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736</v>
      </c>
      <c r="C83" s="523">
        <f aca="true" t="shared" si="8" ref="C83:D89">IF(C$44=0,0,C14/C$44)</f>
        <v>0.2088652367742178</v>
      </c>
      <c r="D83" s="523">
        <f t="shared" si="8"/>
        <v>0.1962973236369784</v>
      </c>
      <c r="E83" s="523">
        <f aca="true" t="shared" si="9" ref="E83:E91">D83-C83</f>
        <v>-0.0125679131372394</v>
      </c>
    </row>
    <row r="84" spans="1:5" s="506" customFormat="1" ht="12.75">
      <c r="A84" s="512">
        <v>2</v>
      </c>
      <c r="B84" s="511" t="s">
        <v>715</v>
      </c>
      <c r="C84" s="523">
        <f t="shared" si="8"/>
        <v>0.25293034415878773</v>
      </c>
      <c r="D84" s="523">
        <f t="shared" si="8"/>
        <v>0.24901936900674707</v>
      </c>
      <c r="E84" s="523">
        <f t="shared" si="9"/>
        <v>-0.003910975152040669</v>
      </c>
    </row>
    <row r="85" spans="1:5" s="506" customFormat="1" ht="12.75">
      <c r="A85" s="512">
        <v>3</v>
      </c>
      <c r="B85" s="511" t="s">
        <v>861</v>
      </c>
      <c r="C85" s="523">
        <f t="shared" si="8"/>
        <v>0.045326121914621854</v>
      </c>
      <c r="D85" s="523">
        <f t="shared" si="8"/>
        <v>0.0518686312569869</v>
      </c>
      <c r="E85" s="523">
        <f t="shared" si="9"/>
        <v>0.006542509342365048</v>
      </c>
    </row>
    <row r="86" spans="1:5" s="506" customFormat="1" ht="12.75">
      <c r="A86" s="512">
        <v>4</v>
      </c>
      <c r="B86" s="511" t="s">
        <v>229</v>
      </c>
      <c r="C86" s="523">
        <f t="shared" si="8"/>
        <v>0.035418386746586344</v>
      </c>
      <c r="D86" s="523">
        <f t="shared" si="8"/>
        <v>0.04178132979887464</v>
      </c>
      <c r="E86" s="523">
        <f t="shared" si="9"/>
        <v>0.006362943052288295</v>
      </c>
    </row>
    <row r="87" spans="1:5" s="506" customFormat="1" ht="12.75">
      <c r="A87" s="512">
        <v>5</v>
      </c>
      <c r="B87" s="511" t="s">
        <v>828</v>
      </c>
      <c r="C87" s="523">
        <f t="shared" si="8"/>
        <v>0.00990773516803551</v>
      </c>
      <c r="D87" s="523">
        <f t="shared" si="8"/>
        <v>0.010087301458112265</v>
      </c>
      <c r="E87" s="523">
        <f t="shared" si="9"/>
        <v>0.00017956629007675508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0.0002843566516699582</v>
      </c>
      <c r="D88" s="523">
        <f t="shared" si="8"/>
        <v>0.00039186470581584995</v>
      </c>
      <c r="E88" s="523">
        <f t="shared" si="9"/>
        <v>0.00010750805414589174</v>
      </c>
    </row>
    <row r="89" spans="1:5" s="506" customFormat="1" ht="12.75">
      <c r="A89" s="512">
        <v>7</v>
      </c>
      <c r="B89" s="511" t="s">
        <v>843</v>
      </c>
      <c r="C89" s="523">
        <f t="shared" si="8"/>
        <v>0.008535545675438872</v>
      </c>
      <c r="D89" s="523">
        <f t="shared" si="8"/>
        <v>0.006667824646394937</v>
      </c>
      <c r="E89" s="523">
        <f t="shared" si="9"/>
        <v>-0.001867721029043935</v>
      </c>
    </row>
    <row r="90" spans="1:5" s="506" customFormat="1" ht="12.75">
      <c r="A90" s="512"/>
      <c r="B90" s="516" t="s">
        <v>880</v>
      </c>
      <c r="C90" s="524">
        <f>SUM(C84+C85+C88)</f>
        <v>0.2985408227250796</v>
      </c>
      <c r="D90" s="524">
        <f>SUM(D84+D85+D88)</f>
        <v>0.30127986496954984</v>
      </c>
      <c r="E90" s="525">
        <f t="shared" si="9"/>
        <v>0.0027390422444702467</v>
      </c>
    </row>
    <row r="91" spans="1:5" s="506" customFormat="1" ht="12.75">
      <c r="A91" s="512"/>
      <c r="B91" s="516" t="s">
        <v>881</v>
      </c>
      <c r="C91" s="524">
        <f>SUM(C83+C90)</f>
        <v>0.5074060594992974</v>
      </c>
      <c r="D91" s="524">
        <f>SUM(D83+D90)</f>
        <v>0.4975771886065282</v>
      </c>
      <c r="E91" s="525">
        <f t="shared" si="9"/>
        <v>-0.009828870892769181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882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736</v>
      </c>
      <c r="C95" s="523">
        <f aca="true" t="shared" si="10" ref="C95:D101">IF(C$44=0,0,C25/C$44)</f>
        <v>0.2770789720508829</v>
      </c>
      <c r="D95" s="523">
        <f t="shared" si="10"/>
        <v>0.2744504489158125</v>
      </c>
      <c r="E95" s="523">
        <f aca="true" t="shared" si="11" ref="E95:E103">D95-C95</f>
        <v>-0.002628523135070393</v>
      </c>
    </row>
    <row r="96" spans="1:5" s="506" customFormat="1" ht="12.75">
      <c r="A96" s="512">
        <v>2</v>
      </c>
      <c r="B96" s="511" t="s">
        <v>715</v>
      </c>
      <c r="C96" s="523">
        <f t="shared" si="10"/>
        <v>0.16996163819913143</v>
      </c>
      <c r="D96" s="523">
        <f t="shared" si="10"/>
        <v>0.17755504621492013</v>
      </c>
      <c r="E96" s="523">
        <f t="shared" si="11"/>
        <v>0.0075934080157887</v>
      </c>
    </row>
    <row r="97" spans="1:5" s="506" customFormat="1" ht="12.75">
      <c r="A97" s="512">
        <v>3</v>
      </c>
      <c r="B97" s="511" t="s">
        <v>861</v>
      </c>
      <c r="C97" s="523">
        <f t="shared" si="10"/>
        <v>0.04506038470419302</v>
      </c>
      <c r="D97" s="523">
        <f t="shared" si="10"/>
        <v>0.04980084390160436</v>
      </c>
      <c r="E97" s="523">
        <f t="shared" si="11"/>
        <v>0.00474045919741134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0.03367698370788169</v>
      </c>
      <c r="D98" s="523">
        <f t="shared" si="10"/>
        <v>0.03952721009397462</v>
      </c>
      <c r="E98" s="523">
        <f t="shared" si="11"/>
        <v>0.0058502263860929285</v>
      </c>
    </row>
    <row r="99" spans="1:5" s="506" customFormat="1" ht="12.75">
      <c r="A99" s="512">
        <v>5</v>
      </c>
      <c r="B99" s="511" t="s">
        <v>828</v>
      </c>
      <c r="C99" s="523">
        <f t="shared" si="10"/>
        <v>0.011383400996311323</v>
      </c>
      <c r="D99" s="523">
        <f t="shared" si="10"/>
        <v>0.010273633807629736</v>
      </c>
      <c r="E99" s="523">
        <f t="shared" si="11"/>
        <v>-0.001109767188681587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0.0004929455464953041</v>
      </c>
      <c r="D100" s="523">
        <f t="shared" si="10"/>
        <v>0.0006164723611348062</v>
      </c>
      <c r="E100" s="523">
        <f t="shared" si="11"/>
        <v>0.000123526814639502</v>
      </c>
    </row>
    <row r="101" spans="1:5" s="506" customFormat="1" ht="12.75">
      <c r="A101" s="512">
        <v>7</v>
      </c>
      <c r="B101" s="511" t="s">
        <v>843</v>
      </c>
      <c r="C101" s="523">
        <f t="shared" si="10"/>
        <v>0.020461165440561774</v>
      </c>
      <c r="D101" s="523">
        <f t="shared" si="10"/>
        <v>0.020832808479939343</v>
      </c>
      <c r="E101" s="523">
        <f t="shared" si="11"/>
        <v>0.00037164303937756854</v>
      </c>
    </row>
    <row r="102" spans="1:5" s="506" customFormat="1" ht="12.75">
      <c r="A102" s="512"/>
      <c r="B102" s="516" t="s">
        <v>883</v>
      </c>
      <c r="C102" s="524">
        <f>SUM(C96+C97+C100)</f>
        <v>0.21551496844981977</v>
      </c>
      <c r="D102" s="524">
        <f>SUM(D96+D97+D100)</f>
        <v>0.22797236247765928</v>
      </c>
      <c r="E102" s="525">
        <f t="shared" si="11"/>
        <v>0.012457394027839519</v>
      </c>
    </row>
    <row r="103" spans="1:5" s="506" customFormat="1" ht="12.75">
      <c r="A103" s="512"/>
      <c r="B103" s="516" t="s">
        <v>884</v>
      </c>
      <c r="C103" s="524">
        <f>SUM(C95+C102)</f>
        <v>0.49259394050070265</v>
      </c>
      <c r="D103" s="524">
        <f>SUM(D95+D102)</f>
        <v>0.5024228113934718</v>
      </c>
      <c r="E103" s="525">
        <f t="shared" si="11"/>
        <v>0.009828870892769126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886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736</v>
      </c>
      <c r="C109" s="523">
        <f aca="true" t="shared" si="12" ref="C109:D115">IF(C$77=0,0,C47/C$77)</f>
        <v>0.26727578841320015</v>
      </c>
      <c r="D109" s="523">
        <f t="shared" si="12"/>
        <v>0.25829919477477253</v>
      </c>
      <c r="E109" s="523">
        <f aca="true" t="shared" si="13" ref="E109:E117">D109-C109</f>
        <v>-0.008976593638427621</v>
      </c>
    </row>
    <row r="110" spans="1:5" s="506" customFormat="1" ht="12.75">
      <c r="A110" s="512">
        <v>2</v>
      </c>
      <c r="B110" s="511" t="s">
        <v>715</v>
      </c>
      <c r="C110" s="523">
        <f t="shared" si="12"/>
        <v>0.19731575406689297</v>
      </c>
      <c r="D110" s="523">
        <f t="shared" si="12"/>
        <v>0.19483956481989806</v>
      </c>
      <c r="E110" s="523">
        <f t="shared" si="13"/>
        <v>-0.0024761892469949143</v>
      </c>
    </row>
    <row r="111" spans="1:5" s="506" customFormat="1" ht="12.75">
      <c r="A111" s="512">
        <v>3</v>
      </c>
      <c r="B111" s="511" t="s">
        <v>861</v>
      </c>
      <c r="C111" s="523">
        <f t="shared" si="12"/>
        <v>0.03239870354245551</v>
      </c>
      <c r="D111" s="523">
        <f t="shared" si="12"/>
        <v>0.03221724059020541</v>
      </c>
      <c r="E111" s="523">
        <f t="shared" si="13"/>
        <v>-0.00018146295225010545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0.028671269756685453</v>
      </c>
      <c r="D112" s="523">
        <f t="shared" si="12"/>
        <v>0.02983047320368715</v>
      </c>
      <c r="E112" s="523">
        <f t="shared" si="13"/>
        <v>0.001159203447001697</v>
      </c>
    </row>
    <row r="113" spans="1:5" s="506" customFormat="1" ht="12.75">
      <c r="A113" s="512">
        <v>5</v>
      </c>
      <c r="B113" s="511" t="s">
        <v>828</v>
      </c>
      <c r="C113" s="523">
        <f t="shared" si="12"/>
        <v>0.0037274337857700606</v>
      </c>
      <c r="D113" s="523">
        <f t="shared" si="12"/>
        <v>0.0023867673865182546</v>
      </c>
      <c r="E113" s="523">
        <f t="shared" si="13"/>
        <v>-0.001340666399251806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0.0001687944518552833</v>
      </c>
      <c r="D114" s="523">
        <f t="shared" si="12"/>
        <v>0.0003434365069255232</v>
      </c>
      <c r="E114" s="523">
        <f t="shared" si="13"/>
        <v>0.00017464205507023987</v>
      </c>
    </row>
    <row r="115" spans="1:5" s="506" customFormat="1" ht="12.75">
      <c r="A115" s="512">
        <v>7</v>
      </c>
      <c r="B115" s="511" t="s">
        <v>843</v>
      </c>
      <c r="C115" s="523">
        <f t="shared" si="12"/>
        <v>0.0032933097309399534</v>
      </c>
      <c r="D115" s="523">
        <f t="shared" si="12"/>
        <v>0.001527998006946378</v>
      </c>
      <c r="E115" s="523">
        <f t="shared" si="13"/>
        <v>-0.0017653117239935755</v>
      </c>
    </row>
    <row r="116" spans="1:5" s="506" customFormat="1" ht="12.75">
      <c r="A116" s="512"/>
      <c r="B116" s="516" t="s">
        <v>880</v>
      </c>
      <c r="C116" s="524">
        <f>SUM(C110+C111+C114)</f>
        <v>0.22988325206120377</v>
      </c>
      <c r="D116" s="524">
        <f>SUM(D110+D111+D114)</f>
        <v>0.227400241917029</v>
      </c>
      <c r="E116" s="525">
        <f t="shared" si="13"/>
        <v>-0.002483010144174763</v>
      </c>
    </row>
    <row r="117" spans="1:5" s="506" customFormat="1" ht="12.75">
      <c r="A117" s="512"/>
      <c r="B117" s="516" t="s">
        <v>881</v>
      </c>
      <c r="C117" s="524">
        <f>SUM(C109+C116)</f>
        <v>0.49715904047440396</v>
      </c>
      <c r="D117" s="524">
        <f>SUM(D109+D116)</f>
        <v>0.48569943669180154</v>
      </c>
      <c r="E117" s="525">
        <f t="shared" si="13"/>
        <v>-0.011459603782602412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887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736</v>
      </c>
      <c r="C121" s="523">
        <f aca="true" t="shared" si="14" ref="C121:D127">IF(C$77=0,0,C58/C$77)</f>
        <v>0.3441769799160968</v>
      </c>
      <c r="D121" s="523">
        <f t="shared" si="14"/>
        <v>0.34732338309579397</v>
      </c>
      <c r="E121" s="523">
        <f aca="true" t="shared" si="15" ref="E121:E129">D121-C121</f>
        <v>0.003146403179697166</v>
      </c>
    </row>
    <row r="122" spans="1:5" s="506" customFormat="1" ht="12.75">
      <c r="A122" s="512">
        <v>2</v>
      </c>
      <c r="B122" s="511" t="s">
        <v>715</v>
      </c>
      <c r="C122" s="523">
        <f t="shared" si="14"/>
        <v>0.13257720424113506</v>
      </c>
      <c r="D122" s="523">
        <f t="shared" si="14"/>
        <v>0.13891254124482433</v>
      </c>
      <c r="E122" s="523">
        <f t="shared" si="15"/>
        <v>0.0063353370036892676</v>
      </c>
    </row>
    <row r="123" spans="1:5" s="506" customFormat="1" ht="12.75">
      <c r="A123" s="512">
        <v>3</v>
      </c>
      <c r="B123" s="511" t="s">
        <v>861</v>
      </c>
      <c r="C123" s="523">
        <f t="shared" si="14"/>
        <v>0.025812972573810246</v>
      </c>
      <c r="D123" s="523">
        <f t="shared" si="14"/>
        <v>0.027746088575902314</v>
      </c>
      <c r="E123" s="523">
        <f t="shared" si="15"/>
        <v>0.0019331160020920682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0.021422992513163527</v>
      </c>
      <c r="D124" s="523">
        <f t="shared" si="14"/>
        <v>0.021916875685534916</v>
      </c>
      <c r="E124" s="523">
        <f t="shared" si="15"/>
        <v>0.0004938831723713885</v>
      </c>
    </row>
    <row r="125" spans="1:5" s="506" customFormat="1" ht="12.75">
      <c r="A125" s="512">
        <v>5</v>
      </c>
      <c r="B125" s="511" t="s">
        <v>828</v>
      </c>
      <c r="C125" s="523">
        <f t="shared" si="14"/>
        <v>0.0043899800606467185</v>
      </c>
      <c r="D125" s="523">
        <f t="shared" si="14"/>
        <v>0.005829212890367396</v>
      </c>
      <c r="E125" s="523">
        <f t="shared" si="15"/>
        <v>0.001439232829720678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0.0002738027945539333</v>
      </c>
      <c r="D126" s="523">
        <f t="shared" si="14"/>
        <v>0.00031855039167787385</v>
      </c>
      <c r="E126" s="523">
        <f t="shared" si="15"/>
        <v>4.4747597123940555E-05</v>
      </c>
    </row>
    <row r="127" spans="1:5" s="506" customFormat="1" ht="12.75">
      <c r="A127" s="512">
        <v>7</v>
      </c>
      <c r="B127" s="511" t="s">
        <v>843</v>
      </c>
      <c r="C127" s="523">
        <f t="shared" si="14"/>
        <v>0.007894630789393323</v>
      </c>
      <c r="D127" s="523">
        <f t="shared" si="14"/>
        <v>0.004774044309369719</v>
      </c>
      <c r="E127" s="523">
        <f t="shared" si="15"/>
        <v>-0.003120586480023604</v>
      </c>
    </row>
    <row r="128" spans="1:5" s="506" customFormat="1" ht="12.75">
      <c r="A128" s="512"/>
      <c r="B128" s="516" t="s">
        <v>883</v>
      </c>
      <c r="C128" s="524">
        <f>SUM(C122+C123+C126)</f>
        <v>0.15866397960949924</v>
      </c>
      <c r="D128" s="524">
        <f>SUM(D122+D123+D126)</f>
        <v>0.16697718021240454</v>
      </c>
      <c r="E128" s="525">
        <f t="shared" si="15"/>
        <v>0.008313200602905302</v>
      </c>
    </row>
    <row r="129" spans="1:5" s="506" customFormat="1" ht="12.75">
      <c r="A129" s="512"/>
      <c r="B129" s="516" t="s">
        <v>884</v>
      </c>
      <c r="C129" s="524">
        <f>SUM(C121+C128)</f>
        <v>0.502840959525596</v>
      </c>
      <c r="D129" s="524">
        <f>SUM(D121+D128)</f>
        <v>0.5143005633081985</v>
      </c>
      <c r="E129" s="525">
        <f t="shared" si="15"/>
        <v>0.011459603782602468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889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890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736</v>
      </c>
      <c r="C137" s="530">
        <v>9311</v>
      </c>
      <c r="D137" s="530">
        <v>9049</v>
      </c>
      <c r="E137" s="531">
        <f aca="true" t="shared" si="16" ref="E137:E145">D137-C137</f>
        <v>-262</v>
      </c>
    </row>
    <row r="138" spans="1:5" s="506" customFormat="1" ht="12.75">
      <c r="A138" s="512">
        <v>2</v>
      </c>
      <c r="B138" s="511" t="s">
        <v>715</v>
      </c>
      <c r="C138" s="530">
        <v>8382</v>
      </c>
      <c r="D138" s="530">
        <v>8566</v>
      </c>
      <c r="E138" s="531">
        <f t="shared" si="16"/>
        <v>184</v>
      </c>
    </row>
    <row r="139" spans="1:5" s="506" customFormat="1" ht="12.75">
      <c r="A139" s="512">
        <v>3</v>
      </c>
      <c r="B139" s="511" t="s">
        <v>861</v>
      </c>
      <c r="C139" s="530">
        <f>C140+C141</f>
        <v>2752</v>
      </c>
      <c r="D139" s="530">
        <f>D140+D141</f>
        <v>2857</v>
      </c>
      <c r="E139" s="531">
        <f t="shared" si="16"/>
        <v>105</v>
      </c>
    </row>
    <row r="140" spans="1:5" s="506" customFormat="1" ht="12.75">
      <c r="A140" s="512">
        <v>4</v>
      </c>
      <c r="B140" s="511" t="s">
        <v>229</v>
      </c>
      <c r="C140" s="530">
        <v>2270</v>
      </c>
      <c r="D140" s="530">
        <v>2312</v>
      </c>
      <c r="E140" s="531">
        <f t="shared" si="16"/>
        <v>42</v>
      </c>
    </row>
    <row r="141" spans="1:5" s="506" customFormat="1" ht="12.75">
      <c r="A141" s="512">
        <v>5</v>
      </c>
      <c r="B141" s="511" t="s">
        <v>828</v>
      </c>
      <c r="C141" s="530">
        <v>482</v>
      </c>
      <c r="D141" s="530">
        <v>545</v>
      </c>
      <c r="E141" s="531">
        <f t="shared" si="16"/>
        <v>63</v>
      </c>
    </row>
    <row r="142" spans="1:5" s="506" customFormat="1" ht="12.75">
      <c r="A142" s="512">
        <v>6</v>
      </c>
      <c r="B142" s="511" t="s">
        <v>533</v>
      </c>
      <c r="C142" s="530">
        <v>14</v>
      </c>
      <c r="D142" s="530">
        <v>25</v>
      </c>
      <c r="E142" s="531">
        <f t="shared" si="16"/>
        <v>11</v>
      </c>
    </row>
    <row r="143" spans="1:5" s="506" customFormat="1" ht="12.75">
      <c r="A143" s="512">
        <v>7</v>
      </c>
      <c r="B143" s="511" t="s">
        <v>843</v>
      </c>
      <c r="C143" s="530">
        <v>345</v>
      </c>
      <c r="D143" s="530">
        <v>322</v>
      </c>
      <c r="E143" s="531">
        <f t="shared" si="16"/>
        <v>-23</v>
      </c>
    </row>
    <row r="144" spans="1:5" s="506" customFormat="1" ht="12.75">
      <c r="A144" s="512"/>
      <c r="B144" s="516" t="s">
        <v>891</v>
      </c>
      <c r="C144" s="532">
        <f>SUM(C138+C139+C142)</f>
        <v>11148</v>
      </c>
      <c r="D144" s="532">
        <f>SUM(D138+D139+D142)</f>
        <v>11448</v>
      </c>
      <c r="E144" s="533">
        <f t="shared" si="16"/>
        <v>300</v>
      </c>
    </row>
    <row r="145" spans="1:5" s="506" customFormat="1" ht="12.75">
      <c r="A145" s="512"/>
      <c r="B145" s="516" t="s">
        <v>805</v>
      </c>
      <c r="C145" s="532">
        <f>SUM(C137+C144)</f>
        <v>20459</v>
      </c>
      <c r="D145" s="532">
        <f>SUM(D137+D144)</f>
        <v>20497</v>
      </c>
      <c r="E145" s="533">
        <f t="shared" si="16"/>
        <v>38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736</v>
      </c>
      <c r="C149" s="534">
        <v>33553</v>
      </c>
      <c r="D149" s="534">
        <v>33026</v>
      </c>
      <c r="E149" s="531">
        <f aca="true" t="shared" si="17" ref="E149:E157">D149-C149</f>
        <v>-527</v>
      </c>
    </row>
    <row r="150" spans="1:5" s="506" customFormat="1" ht="12.75">
      <c r="A150" s="512">
        <v>2</v>
      </c>
      <c r="B150" s="511" t="s">
        <v>715</v>
      </c>
      <c r="C150" s="534">
        <v>42968</v>
      </c>
      <c r="D150" s="534">
        <v>46411</v>
      </c>
      <c r="E150" s="531">
        <f t="shared" si="17"/>
        <v>3443</v>
      </c>
    </row>
    <row r="151" spans="1:5" s="506" customFormat="1" ht="12.75">
      <c r="A151" s="512">
        <v>3</v>
      </c>
      <c r="B151" s="511" t="s">
        <v>861</v>
      </c>
      <c r="C151" s="534">
        <f>C152+C153</f>
        <v>11072</v>
      </c>
      <c r="D151" s="534">
        <f>D152+D153</f>
        <v>12255</v>
      </c>
      <c r="E151" s="531">
        <f t="shared" si="17"/>
        <v>1183</v>
      </c>
    </row>
    <row r="152" spans="1:5" s="506" customFormat="1" ht="12.75">
      <c r="A152" s="512">
        <v>4</v>
      </c>
      <c r="B152" s="511" t="s">
        <v>229</v>
      </c>
      <c r="C152" s="534">
        <v>8886</v>
      </c>
      <c r="D152" s="534">
        <v>9655</v>
      </c>
      <c r="E152" s="531">
        <f t="shared" si="17"/>
        <v>769</v>
      </c>
    </row>
    <row r="153" spans="1:5" s="506" customFormat="1" ht="12.75">
      <c r="A153" s="512">
        <v>5</v>
      </c>
      <c r="B153" s="511" t="s">
        <v>828</v>
      </c>
      <c r="C153" s="535">
        <v>2186</v>
      </c>
      <c r="D153" s="534">
        <v>2600</v>
      </c>
      <c r="E153" s="531">
        <f t="shared" si="17"/>
        <v>414</v>
      </c>
    </row>
    <row r="154" spans="1:5" s="506" customFormat="1" ht="12.75">
      <c r="A154" s="512">
        <v>6</v>
      </c>
      <c r="B154" s="511" t="s">
        <v>533</v>
      </c>
      <c r="C154" s="534">
        <v>51</v>
      </c>
      <c r="D154" s="534">
        <v>102</v>
      </c>
      <c r="E154" s="531">
        <f t="shared" si="17"/>
        <v>51</v>
      </c>
    </row>
    <row r="155" spans="1:5" s="506" customFormat="1" ht="12.75">
      <c r="A155" s="512">
        <v>7</v>
      </c>
      <c r="B155" s="511" t="s">
        <v>843</v>
      </c>
      <c r="C155" s="534">
        <v>1298</v>
      </c>
      <c r="D155" s="534">
        <v>1041</v>
      </c>
      <c r="E155" s="531">
        <f t="shared" si="17"/>
        <v>-257</v>
      </c>
    </row>
    <row r="156" spans="1:5" s="506" customFormat="1" ht="12.75">
      <c r="A156" s="512"/>
      <c r="B156" s="516" t="s">
        <v>892</v>
      </c>
      <c r="C156" s="532">
        <f>SUM(C150+C151+C154)</f>
        <v>54091</v>
      </c>
      <c r="D156" s="532">
        <f>SUM(D150+D151+D154)</f>
        <v>58768</v>
      </c>
      <c r="E156" s="533">
        <f t="shared" si="17"/>
        <v>4677</v>
      </c>
    </row>
    <row r="157" spans="1:5" s="506" customFormat="1" ht="12.75">
      <c r="A157" s="512"/>
      <c r="B157" s="516" t="s">
        <v>893</v>
      </c>
      <c r="C157" s="532">
        <f>SUM(C149+C156)</f>
        <v>87644</v>
      </c>
      <c r="D157" s="532">
        <f>SUM(D149+D156)</f>
        <v>91794</v>
      </c>
      <c r="E157" s="533">
        <f t="shared" si="17"/>
        <v>4150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894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736</v>
      </c>
      <c r="C161" s="536">
        <f aca="true" t="shared" si="18" ref="C161:D169">IF(C137=0,0,C149/C137)</f>
        <v>3.603587154977983</v>
      </c>
      <c r="D161" s="536">
        <f t="shared" si="18"/>
        <v>3.64968504807161</v>
      </c>
      <c r="E161" s="537">
        <f aca="true" t="shared" si="19" ref="E161:E169">D161-C161</f>
        <v>0.04609789309362711</v>
      </c>
    </row>
    <row r="162" spans="1:5" s="506" customFormat="1" ht="12.75">
      <c r="A162" s="512">
        <v>2</v>
      </c>
      <c r="B162" s="511" t="s">
        <v>715</v>
      </c>
      <c r="C162" s="536">
        <f t="shared" si="18"/>
        <v>5.126222858506323</v>
      </c>
      <c r="D162" s="536">
        <f t="shared" si="18"/>
        <v>5.418048097128181</v>
      </c>
      <c r="E162" s="537">
        <f t="shared" si="19"/>
        <v>0.2918252386218576</v>
      </c>
    </row>
    <row r="163" spans="1:5" s="506" customFormat="1" ht="12.75">
      <c r="A163" s="512">
        <v>3</v>
      </c>
      <c r="B163" s="511" t="s">
        <v>861</v>
      </c>
      <c r="C163" s="536">
        <f t="shared" si="18"/>
        <v>4.023255813953488</v>
      </c>
      <c r="D163" s="536">
        <f t="shared" si="18"/>
        <v>4.289464473223661</v>
      </c>
      <c r="E163" s="537">
        <f t="shared" si="19"/>
        <v>0.26620865927017245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3.9145374449339205</v>
      </c>
      <c r="D164" s="536">
        <f t="shared" si="18"/>
        <v>4.176038062283737</v>
      </c>
      <c r="E164" s="537">
        <f t="shared" si="19"/>
        <v>0.2615006173498169</v>
      </c>
    </row>
    <row r="165" spans="1:5" s="506" customFormat="1" ht="12.75">
      <c r="A165" s="512">
        <v>5</v>
      </c>
      <c r="B165" s="511" t="s">
        <v>828</v>
      </c>
      <c r="C165" s="536">
        <f t="shared" si="18"/>
        <v>4.535269709543568</v>
      </c>
      <c r="D165" s="536">
        <f t="shared" si="18"/>
        <v>4.770642201834862</v>
      </c>
      <c r="E165" s="537">
        <f t="shared" si="19"/>
        <v>0.23537249229129387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3.642857142857143</v>
      </c>
      <c r="D166" s="536">
        <f t="shared" si="18"/>
        <v>4.08</v>
      </c>
      <c r="E166" s="537">
        <f t="shared" si="19"/>
        <v>0.4371428571428573</v>
      </c>
    </row>
    <row r="167" spans="1:5" s="506" customFormat="1" ht="12.75">
      <c r="A167" s="512">
        <v>7</v>
      </c>
      <c r="B167" s="511" t="s">
        <v>843</v>
      </c>
      <c r="C167" s="536">
        <f t="shared" si="18"/>
        <v>3.7623188405797103</v>
      </c>
      <c r="D167" s="536">
        <f t="shared" si="18"/>
        <v>3.232919254658385</v>
      </c>
      <c r="E167" s="537">
        <f t="shared" si="19"/>
        <v>-0.5293995859213254</v>
      </c>
    </row>
    <row r="168" spans="1:5" s="506" customFormat="1" ht="12.75">
      <c r="A168" s="512"/>
      <c r="B168" s="516" t="s">
        <v>895</v>
      </c>
      <c r="C168" s="538">
        <f t="shared" si="18"/>
        <v>4.852081090778615</v>
      </c>
      <c r="D168" s="538">
        <f t="shared" si="18"/>
        <v>5.133473095737247</v>
      </c>
      <c r="E168" s="539">
        <f t="shared" si="19"/>
        <v>0.28139200495863204</v>
      </c>
    </row>
    <row r="169" spans="1:5" s="506" customFormat="1" ht="12.75">
      <c r="A169" s="512"/>
      <c r="B169" s="516" t="s">
        <v>829</v>
      </c>
      <c r="C169" s="538">
        <f t="shared" si="18"/>
        <v>4.283884842856445</v>
      </c>
      <c r="D169" s="538">
        <f t="shared" si="18"/>
        <v>4.478411474849978</v>
      </c>
      <c r="E169" s="539">
        <f t="shared" si="19"/>
        <v>0.1945266319935337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896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736</v>
      </c>
      <c r="C173" s="541">
        <f aca="true" t="shared" si="20" ref="C173:D181">IF(C137=0,0,C203/C137)</f>
        <v>1.1502</v>
      </c>
      <c r="D173" s="541">
        <f t="shared" si="20"/>
        <v>1.1226</v>
      </c>
      <c r="E173" s="542">
        <f aca="true" t="shared" si="21" ref="E173:E181">D173-C173</f>
        <v>-0.027599999999999847</v>
      </c>
    </row>
    <row r="174" spans="1:5" s="506" customFormat="1" ht="12.75">
      <c r="A174" s="512">
        <v>2</v>
      </c>
      <c r="B174" s="511" t="s">
        <v>715</v>
      </c>
      <c r="C174" s="541">
        <f t="shared" si="20"/>
        <v>1.397</v>
      </c>
      <c r="D174" s="541">
        <f t="shared" si="20"/>
        <v>1.3711</v>
      </c>
      <c r="E174" s="542">
        <f t="shared" si="21"/>
        <v>-0.025900000000000034</v>
      </c>
    </row>
    <row r="175" spans="1:5" s="506" customFormat="1" ht="12.75">
      <c r="A175" s="512">
        <v>0</v>
      </c>
      <c r="B175" s="511" t="s">
        <v>861</v>
      </c>
      <c r="C175" s="541">
        <f t="shared" si="20"/>
        <v>0.8539324854651162</v>
      </c>
      <c r="D175" s="541">
        <f t="shared" si="20"/>
        <v>0.9273791739586978</v>
      </c>
      <c r="E175" s="542">
        <f t="shared" si="21"/>
        <v>0.0734466884935816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0.8419</v>
      </c>
      <c r="D176" s="541">
        <f t="shared" si="20"/>
        <v>0.9413999999999999</v>
      </c>
      <c r="E176" s="542">
        <f t="shared" si="21"/>
        <v>0.09949999999999992</v>
      </c>
    </row>
    <row r="177" spans="1:5" s="506" customFormat="1" ht="12.75">
      <c r="A177" s="512">
        <v>5</v>
      </c>
      <c r="B177" s="511" t="s">
        <v>828</v>
      </c>
      <c r="C177" s="541">
        <f t="shared" si="20"/>
        <v>0.9106</v>
      </c>
      <c r="D177" s="541">
        <f t="shared" si="20"/>
        <v>0.8679</v>
      </c>
      <c r="E177" s="542">
        <f t="shared" si="21"/>
        <v>-0.04269999999999996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0.8912000000000001</v>
      </c>
      <c r="D178" s="541">
        <f t="shared" si="20"/>
        <v>0.8139</v>
      </c>
      <c r="E178" s="542">
        <f t="shared" si="21"/>
        <v>-0.07730000000000015</v>
      </c>
    </row>
    <row r="179" spans="1:5" s="506" customFormat="1" ht="12.75">
      <c r="A179" s="512">
        <v>7</v>
      </c>
      <c r="B179" s="511" t="s">
        <v>843</v>
      </c>
      <c r="C179" s="541">
        <f t="shared" si="20"/>
        <v>1.2087</v>
      </c>
      <c r="D179" s="541">
        <f t="shared" si="20"/>
        <v>1.0332</v>
      </c>
      <c r="E179" s="542">
        <f t="shared" si="21"/>
        <v>-0.1755000000000002</v>
      </c>
    </row>
    <row r="180" spans="1:5" s="506" customFormat="1" ht="12.75">
      <c r="A180" s="512"/>
      <c r="B180" s="516" t="s">
        <v>897</v>
      </c>
      <c r="C180" s="543">
        <f t="shared" si="20"/>
        <v>1.2623029242913528</v>
      </c>
      <c r="D180" s="543">
        <f t="shared" si="20"/>
        <v>1.25914678546471</v>
      </c>
      <c r="E180" s="544">
        <f t="shared" si="21"/>
        <v>-0.0031561388266427848</v>
      </c>
    </row>
    <row r="181" spans="1:5" s="506" customFormat="1" ht="12.75">
      <c r="A181" s="512"/>
      <c r="B181" s="516" t="s">
        <v>806</v>
      </c>
      <c r="C181" s="543">
        <f t="shared" si="20"/>
        <v>1.2112842856444597</v>
      </c>
      <c r="D181" s="543">
        <f t="shared" si="20"/>
        <v>1.19886421427526</v>
      </c>
      <c r="E181" s="544">
        <f t="shared" si="21"/>
        <v>-0.012420071369199759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898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899</v>
      </c>
      <c r="C185" s="513">
        <v>388804592</v>
      </c>
      <c r="D185" s="513">
        <v>419231815</v>
      </c>
      <c r="E185" s="514">
        <f>D185-C185</f>
        <v>30427223</v>
      </c>
    </row>
    <row r="186" spans="1:5" s="506" customFormat="1" ht="25.5">
      <c r="A186" s="512">
        <v>2</v>
      </c>
      <c r="B186" s="511" t="s">
        <v>900</v>
      </c>
      <c r="C186" s="513">
        <v>243755513</v>
      </c>
      <c r="D186" s="513">
        <v>258865186</v>
      </c>
      <c r="E186" s="514">
        <f>D186-C186</f>
        <v>15109673</v>
      </c>
    </row>
    <row r="187" spans="1:5" s="506" customFormat="1" ht="12.75">
      <c r="A187" s="512"/>
      <c r="B187" s="511" t="s">
        <v>748</v>
      </c>
      <c r="C187" s="510"/>
      <c r="D187" s="510"/>
      <c r="E187" s="511"/>
    </row>
    <row r="188" spans="1:5" s="506" customFormat="1" ht="12.75">
      <c r="A188" s="512">
        <v>3</v>
      </c>
      <c r="B188" s="511" t="s">
        <v>832</v>
      </c>
      <c r="C188" s="546">
        <f>+C185-C186</f>
        <v>145049079</v>
      </c>
      <c r="D188" s="546">
        <f>+D185-D186</f>
        <v>160366629</v>
      </c>
      <c r="E188" s="514">
        <f aca="true" t="shared" si="22" ref="E188:E197">D188-C188</f>
        <v>15317550</v>
      </c>
    </row>
    <row r="189" spans="1:5" s="506" customFormat="1" ht="12.75">
      <c r="A189" s="512">
        <v>4</v>
      </c>
      <c r="B189" s="511" t="s">
        <v>750</v>
      </c>
      <c r="C189" s="547">
        <f>IF(C185=0,0,+C188/C185)</f>
        <v>0.37306421267781736</v>
      </c>
      <c r="D189" s="547">
        <f>IF(D185=0,0,+D188/D185)</f>
        <v>0.3825249498299646</v>
      </c>
      <c r="E189" s="523">
        <f t="shared" si="22"/>
        <v>0.009460737152147236</v>
      </c>
    </row>
    <row r="190" spans="1:5" s="506" customFormat="1" ht="12.75">
      <c r="A190" s="512">
        <v>5</v>
      </c>
      <c r="B190" s="511" t="s">
        <v>847</v>
      </c>
      <c r="C190" s="513">
        <v>20237123</v>
      </c>
      <c r="D190" s="513">
        <v>25103550</v>
      </c>
      <c r="E190" s="546">
        <f t="shared" si="22"/>
        <v>4866427</v>
      </c>
    </row>
    <row r="191" spans="1:5" s="506" customFormat="1" ht="12.75">
      <c r="A191" s="512">
        <v>6</v>
      </c>
      <c r="B191" s="511" t="s">
        <v>833</v>
      </c>
      <c r="C191" s="513">
        <v>11357466</v>
      </c>
      <c r="D191" s="513">
        <v>14621048</v>
      </c>
      <c r="E191" s="546">
        <f t="shared" si="22"/>
        <v>3263582</v>
      </c>
    </row>
    <row r="192" spans="1:5" ht="29.25">
      <c r="A192" s="512">
        <v>7</v>
      </c>
      <c r="B192" s="548" t="s">
        <v>901</v>
      </c>
      <c r="C192" s="513">
        <v>2569490</v>
      </c>
      <c r="D192" s="513">
        <v>2383181</v>
      </c>
      <c r="E192" s="546">
        <f t="shared" si="22"/>
        <v>-186309</v>
      </c>
    </row>
    <row r="193" spans="1:5" s="506" customFormat="1" ht="12.75">
      <c r="A193" s="512">
        <v>8</v>
      </c>
      <c r="B193" s="511" t="s">
        <v>902</v>
      </c>
      <c r="C193" s="513">
        <v>9657765</v>
      </c>
      <c r="D193" s="513">
        <v>12266705</v>
      </c>
      <c r="E193" s="546">
        <f t="shared" si="22"/>
        <v>2608940</v>
      </c>
    </row>
    <row r="194" spans="1:5" s="506" customFormat="1" ht="12.75">
      <c r="A194" s="512">
        <v>9</v>
      </c>
      <c r="B194" s="511" t="s">
        <v>903</v>
      </c>
      <c r="C194" s="513">
        <v>15597793</v>
      </c>
      <c r="D194" s="513">
        <v>16695481</v>
      </c>
      <c r="E194" s="546">
        <f t="shared" si="22"/>
        <v>1097688</v>
      </c>
    </row>
    <row r="195" spans="1:5" s="506" customFormat="1" ht="12.75">
      <c r="A195" s="512">
        <v>10</v>
      </c>
      <c r="B195" s="511" t="s">
        <v>904</v>
      </c>
      <c r="C195" s="513">
        <f>+C193+C194</f>
        <v>25255558</v>
      </c>
      <c r="D195" s="513">
        <f>+D193+D194</f>
        <v>28962186</v>
      </c>
      <c r="E195" s="549">
        <f t="shared" si="22"/>
        <v>3706628</v>
      </c>
    </row>
    <row r="196" spans="1:5" s="506" customFormat="1" ht="12.75">
      <c r="A196" s="512">
        <v>11</v>
      </c>
      <c r="B196" s="511" t="s">
        <v>905</v>
      </c>
      <c r="C196" s="513">
        <v>388804592</v>
      </c>
      <c r="D196" s="513">
        <v>419231815</v>
      </c>
      <c r="E196" s="546">
        <f t="shared" si="22"/>
        <v>30427223</v>
      </c>
    </row>
    <row r="197" spans="1:5" s="506" customFormat="1" ht="12.75">
      <c r="A197" s="512">
        <v>12</v>
      </c>
      <c r="B197" s="511" t="s">
        <v>790</v>
      </c>
      <c r="C197" s="513">
        <v>381506727</v>
      </c>
      <c r="D197" s="513">
        <v>442588744</v>
      </c>
      <c r="E197" s="546">
        <f t="shared" si="22"/>
        <v>61082017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906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907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736</v>
      </c>
      <c r="C203" s="553">
        <v>10709.5122</v>
      </c>
      <c r="D203" s="553">
        <v>10158.4074</v>
      </c>
      <c r="E203" s="554">
        <f aca="true" t="shared" si="23" ref="E203:E211">D203-C203</f>
        <v>-551.1047999999992</v>
      </c>
    </row>
    <row r="204" spans="1:5" s="506" customFormat="1" ht="12.75">
      <c r="A204" s="512">
        <v>2</v>
      </c>
      <c r="B204" s="511" t="s">
        <v>715</v>
      </c>
      <c r="C204" s="553">
        <v>11709.654</v>
      </c>
      <c r="D204" s="553">
        <v>11744.8426</v>
      </c>
      <c r="E204" s="554">
        <f t="shared" si="23"/>
        <v>35.1885999999995</v>
      </c>
    </row>
    <row r="205" spans="1:5" s="506" customFormat="1" ht="12.75">
      <c r="A205" s="512">
        <v>3</v>
      </c>
      <c r="B205" s="511" t="s">
        <v>861</v>
      </c>
      <c r="C205" s="553">
        <f>C206+C207</f>
        <v>2350.0222</v>
      </c>
      <c r="D205" s="553">
        <f>D206+D207</f>
        <v>2649.5222999999996</v>
      </c>
      <c r="E205" s="554">
        <f t="shared" si="23"/>
        <v>299.50009999999975</v>
      </c>
    </row>
    <row r="206" spans="1:5" s="506" customFormat="1" ht="12.75">
      <c r="A206" s="512">
        <v>4</v>
      </c>
      <c r="B206" s="511" t="s">
        <v>229</v>
      </c>
      <c r="C206" s="553">
        <v>1911.113</v>
      </c>
      <c r="D206" s="553">
        <v>2176.5168</v>
      </c>
      <c r="E206" s="554">
        <f t="shared" si="23"/>
        <v>265.4037999999998</v>
      </c>
    </row>
    <row r="207" spans="1:5" s="506" customFormat="1" ht="12.75">
      <c r="A207" s="512">
        <v>5</v>
      </c>
      <c r="B207" s="511" t="s">
        <v>828</v>
      </c>
      <c r="C207" s="553">
        <v>438.9092</v>
      </c>
      <c r="D207" s="553">
        <v>473.0055</v>
      </c>
      <c r="E207" s="554">
        <f t="shared" si="23"/>
        <v>34.096299999999985</v>
      </c>
    </row>
    <row r="208" spans="1:5" s="506" customFormat="1" ht="12.75">
      <c r="A208" s="512">
        <v>6</v>
      </c>
      <c r="B208" s="511" t="s">
        <v>533</v>
      </c>
      <c r="C208" s="553">
        <v>12.4768</v>
      </c>
      <c r="D208" s="553">
        <v>20.3475</v>
      </c>
      <c r="E208" s="554">
        <f t="shared" si="23"/>
        <v>7.870699999999999</v>
      </c>
    </row>
    <row r="209" spans="1:5" s="506" customFormat="1" ht="12.75">
      <c r="A209" s="512">
        <v>7</v>
      </c>
      <c r="B209" s="511" t="s">
        <v>843</v>
      </c>
      <c r="C209" s="553">
        <v>417.0015</v>
      </c>
      <c r="D209" s="553">
        <v>332.69039999999995</v>
      </c>
      <c r="E209" s="554">
        <f t="shared" si="23"/>
        <v>-84.31110000000007</v>
      </c>
    </row>
    <row r="210" spans="1:5" s="506" customFormat="1" ht="12.75">
      <c r="A210" s="512"/>
      <c r="B210" s="516" t="s">
        <v>908</v>
      </c>
      <c r="C210" s="555">
        <f>C204+C205+C208</f>
        <v>14072.153</v>
      </c>
      <c r="D210" s="555">
        <f>D204+D205+D208</f>
        <v>14414.7124</v>
      </c>
      <c r="E210" s="556">
        <f t="shared" si="23"/>
        <v>342.5594000000001</v>
      </c>
    </row>
    <row r="211" spans="1:5" s="506" customFormat="1" ht="12.75">
      <c r="A211" s="512"/>
      <c r="B211" s="516" t="s">
        <v>807</v>
      </c>
      <c r="C211" s="555">
        <f>C210+C203</f>
        <v>24781.6652</v>
      </c>
      <c r="D211" s="555">
        <f>D210+D203</f>
        <v>24573.1198</v>
      </c>
      <c r="E211" s="556">
        <f t="shared" si="23"/>
        <v>-208.54539999999906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909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736</v>
      </c>
      <c r="C215" s="557">
        <f>IF(C14*C137=0,0,C25/C14*C137)</f>
        <v>12351.898997699696</v>
      </c>
      <c r="D215" s="557">
        <f>IF(D14*D137=0,0,D25/D14*D137)</f>
        <v>12651.736998880539</v>
      </c>
      <c r="E215" s="557">
        <f aca="true" t="shared" si="24" ref="E215:E223">D215-C215</f>
        <v>299.8380011808422</v>
      </c>
    </row>
    <row r="216" spans="1:5" s="506" customFormat="1" ht="12.75">
      <c r="A216" s="512">
        <v>2</v>
      </c>
      <c r="B216" s="511" t="s">
        <v>715</v>
      </c>
      <c r="C216" s="557">
        <f>IF(C15*C138=0,0,C26/C15*C138)</f>
        <v>5632.453694408273</v>
      </c>
      <c r="D216" s="557">
        <f>IF(D15*D138=0,0,D26/D15*D138)</f>
        <v>6107.703717760995</v>
      </c>
      <c r="E216" s="557">
        <f t="shared" si="24"/>
        <v>475.25002335272166</v>
      </c>
    </row>
    <row r="217" spans="1:5" s="506" customFormat="1" ht="12.75">
      <c r="A217" s="512">
        <v>3</v>
      </c>
      <c r="B217" s="511" t="s">
        <v>861</v>
      </c>
      <c r="C217" s="557">
        <f>C218+C219</f>
        <v>2712.1811863839175</v>
      </c>
      <c r="D217" s="557">
        <f>D218+D219</f>
        <v>2742.333886090707</v>
      </c>
      <c r="E217" s="557">
        <f t="shared" si="24"/>
        <v>30.152699706789463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2158.391729241012</v>
      </c>
      <c r="D218" s="557">
        <f t="shared" si="25"/>
        <v>2187.2666613816295</v>
      </c>
      <c r="E218" s="557">
        <f t="shared" si="24"/>
        <v>28.874932140617602</v>
      </c>
    </row>
    <row r="219" spans="1:5" s="506" customFormat="1" ht="12.75">
      <c r="A219" s="512">
        <v>5</v>
      </c>
      <c r="B219" s="511" t="s">
        <v>828</v>
      </c>
      <c r="C219" s="557">
        <f t="shared" si="25"/>
        <v>553.7894571429055</v>
      </c>
      <c r="D219" s="557">
        <f t="shared" si="25"/>
        <v>555.0672247090775</v>
      </c>
      <c r="E219" s="557">
        <f t="shared" si="24"/>
        <v>1.2777675661720878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24.269654359780045</v>
      </c>
      <c r="D220" s="557">
        <f t="shared" si="25"/>
        <v>39.329413442027786</v>
      </c>
      <c r="E220" s="557">
        <f t="shared" si="24"/>
        <v>15.05975908224774</v>
      </c>
    </row>
    <row r="221" spans="1:5" s="506" customFormat="1" ht="12.75">
      <c r="A221" s="512">
        <v>7</v>
      </c>
      <c r="B221" s="511" t="s">
        <v>843</v>
      </c>
      <c r="C221" s="557">
        <f t="shared" si="25"/>
        <v>827.0241113355479</v>
      </c>
      <c r="D221" s="557">
        <f t="shared" si="25"/>
        <v>1006.0499017722882</v>
      </c>
      <c r="E221" s="557">
        <f t="shared" si="24"/>
        <v>179.0257904367403</v>
      </c>
    </row>
    <row r="222" spans="1:5" s="506" customFormat="1" ht="12.75">
      <c r="A222" s="512"/>
      <c r="B222" s="516" t="s">
        <v>910</v>
      </c>
      <c r="C222" s="558">
        <f>C216+C218+C219+C220</f>
        <v>8368.90453515197</v>
      </c>
      <c r="D222" s="558">
        <f>D216+D218+D219+D220</f>
        <v>8889.367017293729</v>
      </c>
      <c r="E222" s="558">
        <f t="shared" si="24"/>
        <v>520.4624821417583</v>
      </c>
    </row>
    <row r="223" spans="1:5" s="506" customFormat="1" ht="12.75">
      <c r="A223" s="512"/>
      <c r="B223" s="516" t="s">
        <v>911</v>
      </c>
      <c r="C223" s="558">
        <f>C215+C222</f>
        <v>20720.803532851667</v>
      </c>
      <c r="D223" s="558">
        <f>D215+D222</f>
        <v>21541.104016174268</v>
      </c>
      <c r="E223" s="558">
        <f t="shared" si="24"/>
        <v>820.3004833226005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912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736</v>
      </c>
      <c r="C227" s="560">
        <f aca="true" t="shared" si="26" ref="C227:D235">IF(C203=0,0,C47/C203)</f>
        <v>10364.829688508129</v>
      </c>
      <c r="D227" s="560">
        <f t="shared" si="26"/>
        <v>11277.964102916369</v>
      </c>
      <c r="E227" s="560">
        <f aca="true" t="shared" si="27" ref="E227:E235">D227-C227</f>
        <v>913.1344144082395</v>
      </c>
    </row>
    <row r="228" spans="1:5" s="506" customFormat="1" ht="12.75">
      <c r="A228" s="512">
        <v>2</v>
      </c>
      <c r="B228" s="511" t="s">
        <v>715</v>
      </c>
      <c r="C228" s="560">
        <f t="shared" si="26"/>
        <v>6998.257847755364</v>
      </c>
      <c r="D228" s="560">
        <f t="shared" si="26"/>
        <v>7358.058421319329</v>
      </c>
      <c r="E228" s="560">
        <f t="shared" si="27"/>
        <v>359.80057356396446</v>
      </c>
    </row>
    <row r="229" spans="1:5" s="506" customFormat="1" ht="12.75">
      <c r="A229" s="512">
        <v>3</v>
      </c>
      <c r="B229" s="511" t="s">
        <v>861</v>
      </c>
      <c r="C229" s="560">
        <f t="shared" si="26"/>
        <v>5725.691016876352</v>
      </c>
      <c r="D229" s="560">
        <f t="shared" si="26"/>
        <v>5393.293349521913</v>
      </c>
      <c r="E229" s="560">
        <f t="shared" si="27"/>
        <v>-332.39766735443845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6230.642039481705</v>
      </c>
      <c r="D230" s="560">
        <f t="shared" si="26"/>
        <v>6078.989603939653</v>
      </c>
      <c r="E230" s="560">
        <f t="shared" si="27"/>
        <v>-151.65243554205244</v>
      </c>
    </row>
    <row r="231" spans="1:5" s="506" customFormat="1" ht="12.75">
      <c r="A231" s="512">
        <v>5</v>
      </c>
      <c r="B231" s="511" t="s">
        <v>828</v>
      </c>
      <c r="C231" s="560">
        <f t="shared" si="26"/>
        <v>3527.0165218683046</v>
      </c>
      <c r="D231" s="560">
        <f t="shared" si="26"/>
        <v>2238.088140624158</v>
      </c>
      <c r="E231" s="560">
        <f t="shared" si="27"/>
        <v>-1288.9283812441467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5618.588099512695</v>
      </c>
      <c r="D232" s="560">
        <f t="shared" si="26"/>
        <v>7486.325101363804</v>
      </c>
      <c r="E232" s="560">
        <f t="shared" si="27"/>
        <v>1867.7370018511083</v>
      </c>
    </row>
    <row r="233" spans="1:5" s="506" customFormat="1" ht="12.75">
      <c r="A233" s="512">
        <v>7</v>
      </c>
      <c r="B233" s="511" t="s">
        <v>843</v>
      </c>
      <c r="C233" s="560">
        <f t="shared" si="26"/>
        <v>3279.949832314752</v>
      </c>
      <c r="D233" s="560">
        <f t="shared" si="26"/>
        <v>2037.1161897067066</v>
      </c>
      <c r="E233" s="560">
        <f t="shared" si="27"/>
        <v>-1242.8336426080452</v>
      </c>
    </row>
    <row r="234" spans="1:5" ht="12.75">
      <c r="A234" s="512"/>
      <c r="B234" s="516" t="s">
        <v>913</v>
      </c>
      <c r="C234" s="561">
        <f t="shared" si="26"/>
        <v>6784.518403118556</v>
      </c>
      <c r="D234" s="561">
        <f t="shared" si="26"/>
        <v>6997.10228002884</v>
      </c>
      <c r="E234" s="561">
        <f t="shared" si="27"/>
        <v>212.58387691028383</v>
      </c>
    </row>
    <row r="235" spans="1:5" s="506" customFormat="1" ht="12.75">
      <c r="A235" s="512"/>
      <c r="B235" s="516" t="s">
        <v>914</v>
      </c>
      <c r="C235" s="561">
        <f t="shared" si="26"/>
        <v>8331.766623979733</v>
      </c>
      <c r="D235" s="561">
        <f t="shared" si="26"/>
        <v>8766.789595841225</v>
      </c>
      <c r="E235" s="561">
        <f t="shared" si="27"/>
        <v>435.0229718614919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915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736</v>
      </c>
      <c r="C239" s="560">
        <f aca="true" t="shared" si="28" ref="C239:D247">IF(C215=0,0,C58/C215)</f>
        <v>11572.317181885946</v>
      </c>
      <c r="D239" s="560">
        <f t="shared" si="28"/>
        <v>12176.350726673418</v>
      </c>
      <c r="E239" s="562">
        <f aca="true" t="shared" si="29" ref="E239:E247">D239-C239</f>
        <v>604.0335447874713</v>
      </c>
    </row>
    <row r="240" spans="1:5" s="506" customFormat="1" ht="12.75">
      <c r="A240" s="512">
        <v>2</v>
      </c>
      <c r="B240" s="511" t="s">
        <v>715</v>
      </c>
      <c r="C240" s="560">
        <f t="shared" si="28"/>
        <v>9775.601005768141</v>
      </c>
      <c r="D240" s="560">
        <f t="shared" si="28"/>
        <v>10087.80727539722</v>
      </c>
      <c r="E240" s="562">
        <f t="shared" si="29"/>
        <v>312.2062696290777</v>
      </c>
    </row>
    <row r="241" spans="1:5" ht="12.75">
      <c r="A241" s="512">
        <v>3</v>
      </c>
      <c r="B241" s="511" t="s">
        <v>861</v>
      </c>
      <c r="C241" s="560">
        <f t="shared" si="28"/>
        <v>3952.6791402506606</v>
      </c>
      <c r="D241" s="560">
        <f t="shared" si="28"/>
        <v>4487.605999553674</v>
      </c>
      <c r="E241" s="562">
        <f t="shared" si="29"/>
        <v>534.9268593030138</v>
      </c>
    </row>
    <row r="242" spans="1:5" ht="12.75">
      <c r="A242" s="512">
        <v>4</v>
      </c>
      <c r="B242" s="511" t="s">
        <v>229</v>
      </c>
      <c r="C242" s="560">
        <f t="shared" si="28"/>
        <v>4122.134031308881</v>
      </c>
      <c r="D242" s="560">
        <f t="shared" si="28"/>
        <v>4444.369848283394</v>
      </c>
      <c r="E242" s="562">
        <f t="shared" si="29"/>
        <v>322.235816974513</v>
      </c>
    </row>
    <row r="243" spans="1:5" ht="12.75">
      <c r="A243" s="512">
        <v>5</v>
      </c>
      <c r="B243" s="511" t="s">
        <v>828</v>
      </c>
      <c r="C243" s="560">
        <f t="shared" si="28"/>
        <v>3292.2295224004642</v>
      </c>
      <c r="D243" s="560">
        <f t="shared" si="28"/>
        <v>4657.979943519654</v>
      </c>
      <c r="E243" s="562">
        <f t="shared" si="29"/>
        <v>1365.7504211191895</v>
      </c>
    </row>
    <row r="244" spans="1:5" ht="12.75">
      <c r="A244" s="512">
        <v>6</v>
      </c>
      <c r="B244" s="511" t="s">
        <v>533</v>
      </c>
      <c r="C244" s="560">
        <f t="shared" si="28"/>
        <v>4685.398412119396</v>
      </c>
      <c r="D244" s="560">
        <f t="shared" si="28"/>
        <v>3592.4766640179832</v>
      </c>
      <c r="E244" s="562">
        <f t="shared" si="29"/>
        <v>-1092.921748101413</v>
      </c>
    </row>
    <row r="245" spans="1:5" ht="12.75">
      <c r="A245" s="512">
        <v>7</v>
      </c>
      <c r="B245" s="511" t="s">
        <v>843</v>
      </c>
      <c r="C245" s="560">
        <f t="shared" si="28"/>
        <v>3964.4769179767336</v>
      </c>
      <c r="D245" s="560">
        <f t="shared" si="28"/>
        <v>2104.7484784500043</v>
      </c>
      <c r="E245" s="562">
        <f t="shared" si="29"/>
        <v>-1859.7284395267293</v>
      </c>
    </row>
    <row r="246" spans="1:5" ht="25.5">
      <c r="A246" s="512"/>
      <c r="B246" s="516" t="s">
        <v>916</v>
      </c>
      <c r="C246" s="561">
        <f t="shared" si="28"/>
        <v>7873.756322971776</v>
      </c>
      <c r="D246" s="561">
        <f t="shared" si="28"/>
        <v>8331.43033198185</v>
      </c>
      <c r="E246" s="563">
        <f t="shared" si="29"/>
        <v>457.67400901007386</v>
      </c>
    </row>
    <row r="247" spans="1:5" ht="12.75">
      <c r="A247" s="512"/>
      <c r="B247" s="516" t="s">
        <v>917</v>
      </c>
      <c r="C247" s="561">
        <f t="shared" si="28"/>
        <v>10078.50914994219</v>
      </c>
      <c r="D247" s="561">
        <f t="shared" si="28"/>
        <v>10589.667494698502</v>
      </c>
      <c r="E247" s="563">
        <f t="shared" si="29"/>
        <v>511.15834475631164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845</v>
      </c>
      <c r="B249" s="550" t="s">
        <v>842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12202396.359210074</v>
      </c>
      <c r="D251" s="546">
        <f>((IF((IF(D15=0,0,D26/D15)*D138)=0,0,D59/(IF(D15=0,0,D26/D15)*D138)))-(IF((IF(D17=0,0,D28/D17)*D140)=0,0,D61/(IF(D17=0,0,D28/D17)*D140))))*(IF(D17=0,0,D28/D17)*D140)</f>
        <v>12343702.53991939</v>
      </c>
      <c r="E251" s="546">
        <f>D251-C251</f>
        <v>141306.18070931546</v>
      </c>
    </row>
    <row r="252" spans="1:5" ht="12.75">
      <c r="A252" s="512">
        <v>2</v>
      </c>
      <c r="B252" s="511" t="s">
        <v>828</v>
      </c>
      <c r="C252" s="546">
        <f>IF(C231=0,0,(C228-C231)*C207)+IF(C243=0,0,(C240-C243)*C219)</f>
        <v>5113982.527582008</v>
      </c>
      <c r="D252" s="546">
        <f>IF(D231=0,0,(D228-D231)*D207)+IF(D243=0,0,(D240-D243)*D219)</f>
        <v>5435693.290360136</v>
      </c>
      <c r="E252" s="546">
        <f>D252-C252</f>
        <v>321710.76277812757</v>
      </c>
    </row>
    <row r="253" spans="1:5" ht="12.75">
      <c r="A253" s="512">
        <v>3</v>
      </c>
      <c r="B253" s="511" t="s">
        <v>843</v>
      </c>
      <c r="C253" s="546">
        <f>IF(C233=0,0,(C228-C233)*C209+IF(C221=0,0,(C240-C245)*C221))</f>
        <v>6356479.754467044</v>
      </c>
      <c r="D253" s="546">
        <f>IF(D233=0,0,(D228-D233)*D209+IF(D221=0,0,(D240-D245)*D221))</f>
        <v>9801581.917923242</v>
      </c>
      <c r="E253" s="546">
        <f>D253-C253</f>
        <v>3445102.163456198</v>
      </c>
    </row>
    <row r="254" spans="1:5" ht="15" customHeight="1">
      <c r="A254" s="512"/>
      <c r="B254" s="516" t="s">
        <v>844</v>
      </c>
      <c r="C254" s="564">
        <f>+C251+C252+C253</f>
        <v>23672858.641259126</v>
      </c>
      <c r="D254" s="564">
        <f>+D251+D252+D253</f>
        <v>27580977.748202767</v>
      </c>
      <c r="E254" s="564">
        <f>D254-C254</f>
        <v>3908119.106943641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918</v>
      </c>
      <c r="B256" s="550" t="s">
        <v>919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810</v>
      </c>
      <c r="C258" s="546">
        <f>+C44</f>
        <v>895354473</v>
      </c>
      <c r="D258" s="549">
        <f>+D44</f>
        <v>1002343396</v>
      </c>
      <c r="E258" s="546">
        <f aca="true" t="shared" si="30" ref="E258:E271">D258-C258</f>
        <v>106988923</v>
      </c>
    </row>
    <row r="259" spans="1:5" ht="12.75">
      <c r="A259" s="512">
        <v>2</v>
      </c>
      <c r="B259" s="511" t="s">
        <v>827</v>
      </c>
      <c r="C259" s="546">
        <f>+(C43-C76)</f>
        <v>298894656</v>
      </c>
      <c r="D259" s="549">
        <f>+(D43-D76)</f>
        <v>355570116</v>
      </c>
      <c r="E259" s="546">
        <f t="shared" si="30"/>
        <v>56675460</v>
      </c>
    </row>
    <row r="260" spans="1:5" ht="12.75">
      <c r="A260" s="512">
        <v>3</v>
      </c>
      <c r="B260" s="511" t="s">
        <v>831</v>
      </c>
      <c r="C260" s="546">
        <f>C195</f>
        <v>25255558</v>
      </c>
      <c r="D260" s="546">
        <f>D195</f>
        <v>28962186</v>
      </c>
      <c r="E260" s="546">
        <f t="shared" si="30"/>
        <v>3706628</v>
      </c>
    </row>
    <row r="261" spans="1:5" ht="12.75">
      <c r="A261" s="512">
        <v>4</v>
      </c>
      <c r="B261" s="511" t="s">
        <v>832</v>
      </c>
      <c r="C261" s="546">
        <f>C188</f>
        <v>145049079</v>
      </c>
      <c r="D261" s="546">
        <f>D188</f>
        <v>160366629</v>
      </c>
      <c r="E261" s="546">
        <f t="shared" si="30"/>
        <v>15317550</v>
      </c>
    </row>
    <row r="262" spans="1:5" ht="12.75">
      <c r="A262" s="512">
        <v>5</v>
      </c>
      <c r="B262" s="511" t="s">
        <v>833</v>
      </c>
      <c r="C262" s="546">
        <f>C191</f>
        <v>11357466</v>
      </c>
      <c r="D262" s="546">
        <f>D191</f>
        <v>14621048</v>
      </c>
      <c r="E262" s="546">
        <f t="shared" si="30"/>
        <v>3263582</v>
      </c>
    </row>
    <row r="263" spans="1:5" ht="12.75">
      <c r="A263" s="512">
        <v>6</v>
      </c>
      <c r="B263" s="511" t="s">
        <v>834</v>
      </c>
      <c r="C263" s="546">
        <f>+C259+C260+C261+C262</f>
        <v>480556759</v>
      </c>
      <c r="D263" s="546">
        <f>+D259+D260+D261+D262</f>
        <v>559519979</v>
      </c>
      <c r="E263" s="546">
        <f t="shared" si="30"/>
        <v>78963220</v>
      </c>
    </row>
    <row r="264" spans="1:5" ht="12.75">
      <c r="A264" s="512">
        <v>7</v>
      </c>
      <c r="B264" s="511" t="s">
        <v>734</v>
      </c>
      <c r="C264" s="546">
        <f>+C258-C263</f>
        <v>414797714</v>
      </c>
      <c r="D264" s="546">
        <f>+D258-D263</f>
        <v>442823417</v>
      </c>
      <c r="E264" s="546">
        <f t="shared" si="30"/>
        <v>28025703</v>
      </c>
    </row>
    <row r="265" spans="1:5" ht="12.75">
      <c r="A265" s="512">
        <v>8</v>
      </c>
      <c r="B265" s="511" t="s">
        <v>920</v>
      </c>
      <c r="C265" s="565">
        <f>C192</f>
        <v>2569490</v>
      </c>
      <c r="D265" s="565">
        <f>D192</f>
        <v>2383181</v>
      </c>
      <c r="E265" s="546">
        <f t="shared" si="30"/>
        <v>-186309</v>
      </c>
    </row>
    <row r="266" spans="1:5" ht="12.75">
      <c r="A266" s="512">
        <v>9</v>
      </c>
      <c r="B266" s="511" t="s">
        <v>921</v>
      </c>
      <c r="C266" s="546">
        <f>+C264+C265</f>
        <v>417367204</v>
      </c>
      <c r="D266" s="546">
        <f>+D264+D265</f>
        <v>445206598</v>
      </c>
      <c r="E266" s="565">
        <f t="shared" si="30"/>
        <v>27839394</v>
      </c>
    </row>
    <row r="267" spans="1:5" ht="12.75">
      <c r="A267" s="512">
        <v>10</v>
      </c>
      <c r="B267" s="511" t="s">
        <v>922</v>
      </c>
      <c r="C267" s="566">
        <f>IF(C258=0,0,C266/C258)</f>
        <v>0.4661474495141099</v>
      </c>
      <c r="D267" s="566">
        <f>IF(D258=0,0,D266/D258)</f>
        <v>0.44416574177738183</v>
      </c>
      <c r="E267" s="567">
        <f t="shared" si="30"/>
        <v>-0.021981707736728084</v>
      </c>
    </row>
    <row r="268" spans="1:5" ht="12.75">
      <c r="A268" s="512">
        <v>11</v>
      </c>
      <c r="B268" s="511" t="s">
        <v>796</v>
      </c>
      <c r="C268" s="546">
        <f>+C260*C267</f>
        <v>11772813.947755674</v>
      </c>
      <c r="D268" s="568">
        <f>+D260*D267</f>
        <v>12864010.828184502</v>
      </c>
      <c r="E268" s="546">
        <f t="shared" si="30"/>
        <v>1091196.8804288283</v>
      </c>
    </row>
    <row r="269" spans="1:5" ht="12.75">
      <c r="A269" s="512">
        <v>12</v>
      </c>
      <c r="B269" s="511" t="s">
        <v>923</v>
      </c>
      <c r="C269" s="546">
        <f>((C17+C18+C28+C29)*C267)-(C50+C51+C61+C62)</f>
        <v>13548480.546822257</v>
      </c>
      <c r="D269" s="568">
        <f>((D17+D18+D28+D29)*D267)-(D50+D51+D61+D62)</f>
        <v>18667756.155801922</v>
      </c>
      <c r="E269" s="546">
        <f t="shared" si="30"/>
        <v>5119275.608979665</v>
      </c>
    </row>
    <row r="270" spans="1:5" s="569" customFormat="1" ht="12.75">
      <c r="A270" s="570">
        <v>13</v>
      </c>
      <c r="B270" s="571" t="s">
        <v>924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925</v>
      </c>
      <c r="C271" s="546">
        <f>+C268+C269+C270</f>
        <v>25321294.49457793</v>
      </c>
      <c r="D271" s="546">
        <f>+D268+D269+D270</f>
        <v>31531766.983986422</v>
      </c>
      <c r="E271" s="549">
        <f t="shared" si="30"/>
        <v>6210472.489408493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926</v>
      </c>
      <c r="B273" s="550" t="s">
        <v>927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928</v>
      </c>
      <c r="C275" s="340"/>
      <c r="D275" s="340"/>
      <c r="E275" s="520"/>
    </row>
    <row r="276" spans="1:5" ht="12.75">
      <c r="A276" s="512">
        <v>1</v>
      </c>
      <c r="B276" s="511" t="s">
        <v>736</v>
      </c>
      <c r="C276" s="547">
        <f aca="true" t="shared" si="31" ref="C276:D284">IF(C14=0,0,+C47/C14)</f>
        <v>0.5935682875975683</v>
      </c>
      <c r="D276" s="547">
        <f t="shared" si="31"/>
        <v>0.5822713508517594</v>
      </c>
      <c r="E276" s="574">
        <f aca="true" t="shared" si="32" ref="E276:E284">D276-C276</f>
        <v>-0.011296936745808894</v>
      </c>
    </row>
    <row r="277" spans="1:5" ht="12.75">
      <c r="A277" s="512">
        <v>2</v>
      </c>
      <c r="B277" s="511" t="s">
        <v>715</v>
      </c>
      <c r="C277" s="547">
        <f t="shared" si="31"/>
        <v>0.3618579011700026</v>
      </c>
      <c r="D277" s="547">
        <f t="shared" si="31"/>
        <v>0.34622687106384814</v>
      </c>
      <c r="E277" s="574">
        <f t="shared" si="32"/>
        <v>-0.015631030106154464</v>
      </c>
    </row>
    <row r="278" spans="1:5" ht="12.75">
      <c r="A278" s="512">
        <v>3</v>
      </c>
      <c r="B278" s="511" t="s">
        <v>861</v>
      </c>
      <c r="C278" s="547">
        <f t="shared" si="31"/>
        <v>0.33155555045215296</v>
      </c>
      <c r="D278" s="547">
        <f t="shared" si="31"/>
        <v>0.2748528856795649</v>
      </c>
      <c r="E278" s="574">
        <f t="shared" si="32"/>
        <v>-0.05670266477258806</v>
      </c>
    </row>
    <row r="279" spans="1:5" ht="12.75">
      <c r="A279" s="512">
        <v>4</v>
      </c>
      <c r="B279" s="511" t="s">
        <v>229</v>
      </c>
      <c r="C279" s="547">
        <f t="shared" si="31"/>
        <v>0.3754874139013133</v>
      </c>
      <c r="D279" s="547">
        <f t="shared" si="31"/>
        <v>0.3159327389895328</v>
      </c>
      <c r="E279" s="574">
        <f t="shared" si="32"/>
        <v>-0.059554674911780514</v>
      </c>
    </row>
    <row r="280" spans="1:5" ht="12.75">
      <c r="A280" s="512">
        <v>5</v>
      </c>
      <c r="B280" s="511" t="s">
        <v>828</v>
      </c>
      <c r="C280" s="547">
        <f t="shared" si="31"/>
        <v>0.1745069713620943</v>
      </c>
      <c r="D280" s="547">
        <f t="shared" si="31"/>
        <v>0.10470124439468537</v>
      </c>
      <c r="E280" s="574">
        <f t="shared" si="32"/>
        <v>-0.06980572696740894</v>
      </c>
    </row>
    <row r="281" spans="1:5" ht="12.75">
      <c r="A281" s="512">
        <v>6</v>
      </c>
      <c r="B281" s="511" t="s">
        <v>533</v>
      </c>
      <c r="C281" s="547">
        <f t="shared" si="31"/>
        <v>0.2753417124901807</v>
      </c>
      <c r="D281" s="547">
        <f t="shared" si="31"/>
        <v>0.3878171916809027</v>
      </c>
      <c r="E281" s="574">
        <f t="shared" si="32"/>
        <v>0.11247547919072198</v>
      </c>
    </row>
    <row r="282" spans="1:5" ht="12.75">
      <c r="A282" s="512">
        <v>7</v>
      </c>
      <c r="B282" s="511" t="s">
        <v>843</v>
      </c>
      <c r="C282" s="547">
        <f t="shared" si="31"/>
        <v>0.17896929199293568</v>
      </c>
      <c r="D282" s="547">
        <f t="shared" si="31"/>
        <v>0.10140406526569362</v>
      </c>
      <c r="E282" s="574">
        <f t="shared" si="32"/>
        <v>-0.07756522672724206</v>
      </c>
    </row>
    <row r="283" spans="1:5" ht="29.25" customHeight="1">
      <c r="A283" s="512"/>
      <c r="B283" s="516" t="s">
        <v>929</v>
      </c>
      <c r="C283" s="575">
        <f t="shared" si="31"/>
        <v>0.35717482471867057</v>
      </c>
      <c r="D283" s="575">
        <f t="shared" si="31"/>
        <v>0.3339931522560609</v>
      </c>
      <c r="E283" s="576">
        <f t="shared" si="32"/>
        <v>-0.02318167246260966</v>
      </c>
    </row>
    <row r="284" spans="1:5" ht="12.75">
      <c r="A284" s="512"/>
      <c r="B284" s="516" t="s">
        <v>930</v>
      </c>
      <c r="C284" s="575">
        <f t="shared" si="31"/>
        <v>0.4544822487663856</v>
      </c>
      <c r="D284" s="575">
        <f t="shared" si="31"/>
        <v>0.4319404597647364</v>
      </c>
      <c r="E284" s="576">
        <f t="shared" si="32"/>
        <v>-0.022541789001649215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931</v>
      </c>
      <c r="C286" s="520"/>
      <c r="D286" s="520"/>
      <c r="E286" s="520"/>
    </row>
    <row r="287" spans="1:5" ht="12.75">
      <c r="A287" s="512">
        <v>1</v>
      </c>
      <c r="B287" s="511" t="s">
        <v>736</v>
      </c>
      <c r="C287" s="547">
        <f aca="true" t="shared" si="33" ref="C287:D295">IF(C25=0,0,+C58/C25)</f>
        <v>0.5761764255097944</v>
      </c>
      <c r="D287" s="547">
        <f t="shared" si="33"/>
        <v>0.5599984507091122</v>
      </c>
      <c r="E287" s="574">
        <f aca="true" t="shared" si="34" ref="E287:E295">D287-C287</f>
        <v>-0.01617797480068217</v>
      </c>
    </row>
    <row r="288" spans="1:5" ht="12.75">
      <c r="A288" s="512">
        <v>2</v>
      </c>
      <c r="B288" s="511" t="s">
        <v>715</v>
      </c>
      <c r="C288" s="547">
        <f t="shared" si="33"/>
        <v>0.36182217615477685</v>
      </c>
      <c r="D288" s="547">
        <f t="shared" si="33"/>
        <v>0.34619850248968476</v>
      </c>
      <c r="E288" s="574">
        <f t="shared" si="34"/>
        <v>-0.015623673665092097</v>
      </c>
    </row>
    <row r="289" spans="1:5" ht="12.75">
      <c r="A289" s="512">
        <v>3</v>
      </c>
      <c r="B289" s="511" t="s">
        <v>861</v>
      </c>
      <c r="C289" s="547">
        <f t="shared" si="33"/>
        <v>0.26571762257529846</v>
      </c>
      <c r="D289" s="547">
        <f t="shared" si="33"/>
        <v>0.24653683403152804</v>
      </c>
      <c r="E289" s="574">
        <f t="shared" si="34"/>
        <v>-0.019180788543770422</v>
      </c>
    </row>
    <row r="290" spans="1:5" ht="12.75">
      <c r="A290" s="512">
        <v>4</v>
      </c>
      <c r="B290" s="511" t="s">
        <v>229</v>
      </c>
      <c r="C290" s="547">
        <f t="shared" si="33"/>
        <v>0.2950694060704999</v>
      </c>
      <c r="D290" s="547">
        <f t="shared" si="33"/>
        <v>0.24535743937166024</v>
      </c>
      <c r="E290" s="574">
        <f t="shared" si="34"/>
        <v>-0.04971196669883968</v>
      </c>
    </row>
    <row r="291" spans="1:5" ht="12.75">
      <c r="A291" s="512">
        <v>5</v>
      </c>
      <c r="B291" s="511" t="s">
        <v>828</v>
      </c>
      <c r="C291" s="547">
        <f t="shared" si="33"/>
        <v>0.17888245487054338</v>
      </c>
      <c r="D291" s="547">
        <f t="shared" si="33"/>
        <v>0.25107448656783754</v>
      </c>
      <c r="E291" s="574">
        <f t="shared" si="34"/>
        <v>0.07219203169729416</v>
      </c>
    </row>
    <row r="292" spans="1:5" ht="12.75">
      <c r="A292" s="512">
        <v>6</v>
      </c>
      <c r="B292" s="511" t="s">
        <v>533</v>
      </c>
      <c r="C292" s="547">
        <f t="shared" si="33"/>
        <v>0.2576417037300532</v>
      </c>
      <c r="D292" s="547">
        <f t="shared" si="33"/>
        <v>0.22865530483867574</v>
      </c>
      <c r="E292" s="574">
        <f t="shared" si="34"/>
        <v>-0.02898639889137744</v>
      </c>
    </row>
    <row r="293" spans="1:5" ht="12.75">
      <c r="A293" s="512">
        <v>7</v>
      </c>
      <c r="B293" s="511" t="s">
        <v>843</v>
      </c>
      <c r="C293" s="547">
        <f t="shared" si="33"/>
        <v>0.17896936222038476</v>
      </c>
      <c r="D293" s="547">
        <f t="shared" si="33"/>
        <v>0.10140406677103912</v>
      </c>
      <c r="E293" s="574">
        <f t="shared" si="34"/>
        <v>-0.07756529544934564</v>
      </c>
    </row>
    <row r="294" spans="1:5" ht="29.25" customHeight="1">
      <c r="A294" s="512"/>
      <c r="B294" s="516" t="s">
        <v>932</v>
      </c>
      <c r="C294" s="575">
        <f t="shared" si="33"/>
        <v>0.3414901152888986</v>
      </c>
      <c r="D294" s="575">
        <f t="shared" si="33"/>
        <v>0.3241094331318022</v>
      </c>
      <c r="E294" s="576">
        <f t="shared" si="34"/>
        <v>-0.017380682157096428</v>
      </c>
    </row>
    <row r="295" spans="1:5" ht="12.75">
      <c r="A295" s="512"/>
      <c r="B295" s="516" t="s">
        <v>933</v>
      </c>
      <c r="C295" s="575">
        <f t="shared" si="33"/>
        <v>0.47349872571622814</v>
      </c>
      <c r="D295" s="575">
        <f t="shared" si="33"/>
        <v>0.45296474244557816</v>
      </c>
      <c r="E295" s="576">
        <f t="shared" si="34"/>
        <v>-0.02053398327064998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934</v>
      </c>
      <c r="B297" s="501" t="s">
        <v>935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936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734</v>
      </c>
      <c r="C301" s="514">
        <f>+C48+C47+C50+C51+C52+C59+C58+C61+C62+C63</f>
        <v>415309859</v>
      </c>
      <c r="D301" s="514">
        <f>+D48+D47+D50+D51+D52+D59+D58+D61+D62+D63</f>
        <v>443540500</v>
      </c>
      <c r="E301" s="514">
        <f>D301-C301</f>
        <v>28230641</v>
      </c>
    </row>
    <row r="302" spans="1:5" ht="25.5">
      <c r="A302" s="512">
        <v>2</v>
      </c>
      <c r="B302" s="511" t="s">
        <v>937</v>
      </c>
      <c r="C302" s="546">
        <f>C265</f>
        <v>2569490</v>
      </c>
      <c r="D302" s="546">
        <f>D265</f>
        <v>2383181</v>
      </c>
      <c r="E302" s="514">
        <f>D302-C302</f>
        <v>-186309</v>
      </c>
    </row>
    <row r="303" spans="1:5" ht="12.75">
      <c r="A303" s="512"/>
      <c r="B303" s="516" t="s">
        <v>938</v>
      </c>
      <c r="C303" s="517">
        <f>+C301+C302</f>
        <v>417879349</v>
      </c>
      <c r="D303" s="517">
        <f>+D301+D302</f>
        <v>445923681</v>
      </c>
      <c r="E303" s="517">
        <f>D303-C303</f>
        <v>28044332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939</v>
      </c>
      <c r="C305" s="513">
        <v>12626619</v>
      </c>
      <c r="D305" s="578">
        <v>14172242</v>
      </c>
      <c r="E305" s="579">
        <f>D305-C305</f>
        <v>1545623</v>
      </c>
    </row>
    <row r="306" spans="1:5" ht="12.75">
      <c r="A306" s="512">
        <v>4</v>
      </c>
      <c r="B306" s="516" t="s">
        <v>940</v>
      </c>
      <c r="C306" s="580">
        <f>+C303+C305+C194+C190-C191</f>
        <v>454983418</v>
      </c>
      <c r="D306" s="580">
        <f>+D303+D305</f>
        <v>460095923</v>
      </c>
      <c r="E306" s="580">
        <f>D306-C306</f>
        <v>5112505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941</v>
      </c>
      <c r="C308" s="513">
        <v>430505970</v>
      </c>
      <c r="D308" s="513">
        <v>460095923</v>
      </c>
      <c r="E308" s="514">
        <f>D308-C308</f>
        <v>29589953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942</v>
      </c>
      <c r="C310" s="581">
        <f>C306-C308</f>
        <v>24477448</v>
      </c>
      <c r="D310" s="582">
        <f>D306-D308</f>
        <v>0</v>
      </c>
      <c r="E310" s="580">
        <f>D310-C310</f>
        <v>-24477448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943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944</v>
      </c>
      <c r="C314" s="514">
        <f>+C14+C15+C16+C19+C25+C26+C27+C30</f>
        <v>895354473</v>
      </c>
      <c r="D314" s="514">
        <f>+D14+D15+D16+D19+D25+D26+D27+D30</f>
        <v>1002343396</v>
      </c>
      <c r="E314" s="514">
        <f>D314-C314</f>
        <v>106988923</v>
      </c>
    </row>
    <row r="315" spans="1:5" ht="12.75">
      <c r="A315" s="512">
        <v>2</v>
      </c>
      <c r="B315" s="583" t="s">
        <v>945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946</v>
      </c>
      <c r="C316" s="581">
        <f>C314+C315</f>
        <v>895354473</v>
      </c>
      <c r="D316" s="581">
        <f>D314+D315</f>
        <v>1002343396</v>
      </c>
      <c r="E316" s="517">
        <f>D316-C316</f>
        <v>106988923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947</v>
      </c>
      <c r="C318" s="513">
        <v>895354474</v>
      </c>
      <c r="D318" s="513">
        <v>1002343396</v>
      </c>
      <c r="E318" s="514">
        <f>D318-C318</f>
        <v>106988922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942</v>
      </c>
      <c r="C320" s="581">
        <f>C316-C318</f>
        <v>-1</v>
      </c>
      <c r="D320" s="581">
        <f>D316-D318</f>
        <v>0</v>
      </c>
      <c r="E320" s="517">
        <f>D320-C320</f>
        <v>1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948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949</v>
      </c>
      <c r="C324" s="513">
        <f>+C193+C194</f>
        <v>25255558</v>
      </c>
      <c r="D324" s="513">
        <f>+D193+D194</f>
        <v>28962186</v>
      </c>
      <c r="E324" s="514">
        <f>D324-C324</f>
        <v>3706628</v>
      </c>
    </row>
    <row r="325" spans="1:5" ht="12.75">
      <c r="A325" s="512">
        <v>2</v>
      </c>
      <c r="B325" s="511" t="s">
        <v>950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951</v>
      </c>
      <c r="C326" s="581">
        <f>C324+C325</f>
        <v>25255558</v>
      </c>
      <c r="D326" s="581">
        <f>D324+D325</f>
        <v>28962186</v>
      </c>
      <c r="E326" s="517">
        <f>D326-C326</f>
        <v>3706628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952</v>
      </c>
      <c r="C328" s="513">
        <v>25255558</v>
      </c>
      <c r="D328" s="513">
        <v>28962186</v>
      </c>
      <c r="E328" s="514">
        <f>D328-C328</f>
        <v>3706628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953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FILING&amp;RDANBURY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706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954</v>
      </c>
      <c r="B5" s="696"/>
      <c r="C5" s="697"/>
      <c r="D5" s="585"/>
    </row>
    <row r="6" spans="1:4" s="338" customFormat="1" ht="15.75" customHeight="1">
      <c r="A6" s="695" t="s">
        <v>955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736</v>
      </c>
      <c r="C14" s="513">
        <v>196757326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715</v>
      </c>
      <c r="C15" s="515">
        <v>249602920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861</v>
      </c>
      <c r="C16" s="515">
        <v>51990180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41879240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828</v>
      </c>
      <c r="C18" s="515">
        <v>10110940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392783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843</v>
      </c>
      <c r="C20" s="515">
        <v>6683450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862</v>
      </c>
      <c r="C21" s="517">
        <f>SUM(C15+C16+C19)</f>
        <v>301985883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802</v>
      </c>
      <c r="C22" s="517">
        <f>SUM(C14+C21)</f>
        <v>498743209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736</v>
      </c>
      <c r="C25" s="513">
        <v>275093595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715</v>
      </c>
      <c r="C26" s="515">
        <v>177971128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861</v>
      </c>
      <c r="C27" s="515">
        <v>49917547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39619838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828</v>
      </c>
      <c r="C29" s="515">
        <v>10297709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617917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843</v>
      </c>
      <c r="C31" s="518">
        <v>20881628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864</v>
      </c>
      <c r="C32" s="517">
        <f>SUM(C26+C27+C30)</f>
        <v>228506592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808</v>
      </c>
      <c r="C33" s="517">
        <f>SUM(C25+C32)</f>
        <v>503600187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958</v>
      </c>
      <c r="C36" s="514">
        <f>SUM(C14+C25)</f>
        <v>471850921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959</v>
      </c>
      <c r="C37" s="518">
        <f>SUM(C21+C32)</f>
        <v>530492475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733</v>
      </c>
      <c r="C38" s="517">
        <f>SUM(+C36+C37)</f>
        <v>1002343396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736</v>
      </c>
      <c r="C41" s="513">
        <v>114566154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715</v>
      </c>
      <c r="C42" s="515">
        <v>86419238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861</v>
      </c>
      <c r="C43" s="515">
        <v>14289651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13231023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828</v>
      </c>
      <c r="C45" s="515">
        <v>1058628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152328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843</v>
      </c>
      <c r="C47" s="515">
        <v>677729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874</v>
      </c>
      <c r="C48" s="517">
        <f>SUM(C42+C43+C46)</f>
        <v>100861217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803</v>
      </c>
      <c r="C49" s="517">
        <f>SUM(C41+C48)</f>
        <v>215427371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736</v>
      </c>
      <c r="C52" s="513">
        <v>154051987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715</v>
      </c>
      <c r="C53" s="515">
        <v>61613338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861</v>
      </c>
      <c r="C54" s="515">
        <v>12306514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9721022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828</v>
      </c>
      <c r="C56" s="515">
        <v>2585492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141290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843</v>
      </c>
      <c r="C58" s="515">
        <v>2117482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876</v>
      </c>
      <c r="C59" s="517">
        <f>SUM(C53+C54+C57)</f>
        <v>74061142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809</v>
      </c>
      <c r="C60" s="517">
        <f>SUM(C52+C59)</f>
        <v>228113129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960</v>
      </c>
      <c r="C63" s="514">
        <f>SUM(C41+C52)</f>
        <v>268618141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961</v>
      </c>
      <c r="C64" s="518">
        <f>SUM(C48+C59)</f>
        <v>174922359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734</v>
      </c>
      <c r="C65" s="517">
        <f>SUM(+C63+C64)</f>
        <v>443540500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736</v>
      </c>
      <c r="C70" s="530">
        <v>9049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715</v>
      </c>
      <c r="C71" s="530">
        <v>8566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861</v>
      </c>
      <c r="C72" s="530">
        <v>2857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2312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828</v>
      </c>
      <c r="C74" s="530">
        <v>545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25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843</v>
      </c>
      <c r="C76" s="545">
        <v>322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891</v>
      </c>
      <c r="C77" s="532">
        <f>SUM(C71+C72+C75)</f>
        <v>11448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805</v>
      </c>
      <c r="C78" s="596">
        <f>SUM(C70+C77)</f>
        <v>20497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736</v>
      </c>
      <c r="C81" s="541">
        <v>1.1226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715</v>
      </c>
      <c r="C82" s="541">
        <v>1.3711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861</v>
      </c>
      <c r="C83" s="541">
        <f>((C73*C84)+(C74*C85))/(C73+C74)</f>
        <v>0.9273791739586978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0.9414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828</v>
      </c>
      <c r="C85" s="541">
        <v>0.8679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0.8139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843</v>
      </c>
      <c r="C87" s="541">
        <v>1.0332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897</v>
      </c>
      <c r="C88" s="543">
        <f>((C71*C82)+(C73*C84)+(C74*C85)+(C75*C86))/(C71+C73+C74+C75)</f>
        <v>1.2591467854647098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806</v>
      </c>
      <c r="C89" s="543">
        <f>((C70*C81)+(C71*C82)+(C73*C84)+(C74*C85)+(C75*C86))/(C70+C71+C73+C74+C75)</f>
        <v>1.19886421427526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898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899</v>
      </c>
      <c r="C92" s="513">
        <v>419231815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900</v>
      </c>
      <c r="C93" s="546">
        <v>258865186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832</v>
      </c>
      <c r="C95" s="513">
        <f>+C92-C93</f>
        <v>160366629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750</v>
      </c>
      <c r="C96" s="597">
        <f>(+C92-C93)/C92</f>
        <v>0.3825249498299646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847</v>
      </c>
      <c r="C98" s="513">
        <v>25103550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833</v>
      </c>
      <c r="C99" s="513">
        <v>14621048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964</v>
      </c>
      <c r="C101" s="513">
        <v>2383181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902</v>
      </c>
      <c r="C103" s="513">
        <v>12266705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903</v>
      </c>
      <c r="C104" s="513">
        <v>16695481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904</v>
      </c>
      <c r="C105" s="578">
        <f>+C103+C104</f>
        <v>28962186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905</v>
      </c>
      <c r="C107" s="513">
        <v>7344217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790</v>
      </c>
      <c r="C108" s="513">
        <v>442588744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734</v>
      </c>
      <c r="C114" s="514">
        <f>+C65</f>
        <v>443540500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937</v>
      </c>
      <c r="C115" s="546">
        <f>+C101</f>
        <v>2383181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938</v>
      </c>
      <c r="C116" s="517">
        <f>+C114+C115</f>
        <v>445923681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939</v>
      </c>
      <c r="C118" s="578">
        <v>14172242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940</v>
      </c>
      <c r="C119" s="580">
        <f>+C116+C118</f>
        <v>460095923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941</v>
      </c>
      <c r="C121" s="513">
        <v>460095923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942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944</v>
      </c>
      <c r="C127" s="514">
        <f>+C38</f>
        <v>1002343396</v>
      </c>
      <c r="D127" s="588"/>
      <c r="AR127" s="507"/>
    </row>
    <row r="128" spans="1:44" s="506" customFormat="1" ht="12.75">
      <c r="A128" s="512">
        <v>2</v>
      </c>
      <c r="B128" s="583" t="s">
        <v>945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946</v>
      </c>
      <c r="C129" s="581">
        <f>C127+C128</f>
        <v>1002343396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947</v>
      </c>
      <c r="C131" s="513">
        <v>1002343396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942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948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949</v>
      </c>
      <c r="C137" s="513">
        <f>C105</f>
        <v>28962186</v>
      </c>
      <c r="D137" s="588"/>
      <c r="AR137" s="507"/>
    </row>
    <row r="138" spans="1:44" s="506" customFormat="1" ht="12.75">
      <c r="A138" s="512">
        <v>2</v>
      </c>
      <c r="B138" s="511" t="s">
        <v>965</v>
      </c>
      <c r="C138" s="513">
        <v>0</v>
      </c>
      <c r="D138" s="588"/>
      <c r="AR138" s="507"/>
    </row>
    <row r="139" spans="1:44" s="506" customFormat="1" ht="12.75">
      <c r="A139" s="512"/>
      <c r="B139" s="516" t="s">
        <v>951</v>
      </c>
      <c r="C139" s="581">
        <f>C137+C138</f>
        <v>28962186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966</v>
      </c>
      <c r="C141" s="513">
        <v>28962186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953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FILING&amp;RDANBURY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4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967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710</v>
      </c>
      <c r="D8" s="35" t="s">
        <v>710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712</v>
      </c>
      <c r="D9" s="607" t="s">
        <v>713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968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969</v>
      </c>
      <c r="C12" s="49">
        <v>2153</v>
      </c>
      <c r="D12" s="49">
        <v>2630</v>
      </c>
      <c r="E12" s="49">
        <f>+D12-C12</f>
        <v>477</v>
      </c>
      <c r="F12" s="70">
        <f>IF(C12=0,0,+E12/C12)</f>
        <v>0.2215513237343242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970</v>
      </c>
      <c r="C13" s="49">
        <v>2096</v>
      </c>
      <c r="D13" s="49">
        <v>2555</v>
      </c>
      <c r="E13" s="49">
        <f>+D13-C13</f>
        <v>459</v>
      </c>
      <c r="F13" s="70">
        <f>IF(C13=0,0,+E13/C13)</f>
        <v>0.21898854961832062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971</v>
      </c>
      <c r="C15" s="51">
        <v>9657765</v>
      </c>
      <c r="D15" s="51">
        <v>12266705</v>
      </c>
      <c r="E15" s="51">
        <f>+D15-C15</f>
        <v>2608940</v>
      </c>
      <c r="F15" s="70">
        <f>IF(C15=0,0,+E15/C15)</f>
        <v>0.27013910568335425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972</v>
      </c>
      <c r="C16" s="27">
        <f>IF(C13=0,0,+C15/+C13)</f>
        <v>4607.712309160305</v>
      </c>
      <c r="D16" s="27">
        <f>IF(D13=0,0,+D15/+D13)</f>
        <v>4801.058708414873</v>
      </c>
      <c r="E16" s="27">
        <f>+D16-C16</f>
        <v>193.3463992545676</v>
      </c>
      <c r="F16" s="28">
        <f>IF(C16=0,0,+E16/C16)</f>
        <v>0.04196147378172627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973</v>
      </c>
      <c r="C18" s="210">
        <v>0.429822</v>
      </c>
      <c r="D18" s="210">
        <v>0.422692</v>
      </c>
      <c r="E18" s="210">
        <f>+D18-C18</f>
        <v>-0.00712999999999997</v>
      </c>
      <c r="F18" s="70">
        <f>IF(C18=0,0,+E18/C18)</f>
        <v>-0.016588262117806837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974</v>
      </c>
      <c r="C19" s="27">
        <f>+C15*C18</f>
        <v>4151119.86783</v>
      </c>
      <c r="D19" s="27">
        <f>+D15*D18</f>
        <v>5185038.06986</v>
      </c>
      <c r="E19" s="27">
        <f>+D19-C19</f>
        <v>1033918.2020300003</v>
      </c>
      <c r="F19" s="28">
        <f>IF(C19=0,0,+E19/C19)</f>
        <v>0.249069705272202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975</v>
      </c>
      <c r="C20" s="27">
        <f>IF(C13=0,0,+C19/C13)</f>
        <v>1980.4961201479007</v>
      </c>
      <c r="D20" s="27">
        <f>IF(D13=0,0,+D19/D13)</f>
        <v>2029.3691075772995</v>
      </c>
      <c r="E20" s="27">
        <f>+D20-C20</f>
        <v>48.87298742939879</v>
      </c>
      <c r="F20" s="28">
        <f>IF(C20=0,0,+E20/C20)</f>
        <v>0.024677143737978656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976</v>
      </c>
      <c r="C22" s="51">
        <v>4278247</v>
      </c>
      <c r="D22" s="51">
        <v>4283588</v>
      </c>
      <c r="E22" s="51">
        <f>+D22-C22</f>
        <v>5341</v>
      </c>
      <c r="F22" s="70">
        <f>IF(C22=0,0,+E22/C22)</f>
        <v>0.0012484085187227385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977</v>
      </c>
      <c r="C23" s="49">
        <v>1193730</v>
      </c>
      <c r="D23" s="49">
        <v>1940289</v>
      </c>
      <c r="E23" s="49">
        <f>+D23-C23</f>
        <v>746559</v>
      </c>
      <c r="F23" s="70">
        <f>IF(C23=0,0,+E23/C23)</f>
        <v>0.6254002161292754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4185788</v>
      </c>
      <c r="D24" s="49">
        <v>6042828</v>
      </c>
      <c r="E24" s="49">
        <f>+D24-C24</f>
        <v>1857040</v>
      </c>
      <c r="F24" s="70">
        <f>IF(C24=0,0,+E24/C24)</f>
        <v>0.44365362029801797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971</v>
      </c>
      <c r="C25" s="27">
        <f>+C22+C23+C24</f>
        <v>9657765</v>
      </c>
      <c r="D25" s="27">
        <f>+D22+D23+D24</f>
        <v>12266705</v>
      </c>
      <c r="E25" s="27">
        <f>+E22+E23+E24</f>
        <v>2608940</v>
      </c>
      <c r="F25" s="28">
        <f>IF(C25=0,0,+E25/C25)</f>
        <v>0.27013910568335425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1302</v>
      </c>
      <c r="D27" s="49">
        <v>1257</v>
      </c>
      <c r="E27" s="49">
        <f>+D27-C27</f>
        <v>-45</v>
      </c>
      <c r="F27" s="70">
        <f>IF(C27=0,0,+E27/C27)</f>
        <v>-0.03456221198156682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169</v>
      </c>
      <c r="D28" s="49">
        <v>281</v>
      </c>
      <c r="E28" s="49">
        <f>+D28-C28</f>
        <v>112</v>
      </c>
      <c r="F28" s="70">
        <f>IF(C28=0,0,+E28/C28)</f>
        <v>0.6627218934911243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869</v>
      </c>
      <c r="D29" s="49">
        <v>1374</v>
      </c>
      <c r="E29" s="49">
        <f>+D29-C29</f>
        <v>505</v>
      </c>
      <c r="F29" s="70">
        <f>IF(C29=0,0,+E29/C29)</f>
        <v>0.5811277330264673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4083</v>
      </c>
      <c r="D30" s="49">
        <v>7933</v>
      </c>
      <c r="E30" s="49">
        <f>+D30-C30</f>
        <v>3850</v>
      </c>
      <c r="F30" s="70">
        <f>IF(C30=0,0,+E30/C30)</f>
        <v>0.9429341170707813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5173987</v>
      </c>
      <c r="D33" s="51">
        <v>4834323</v>
      </c>
      <c r="E33" s="51">
        <f>+D33-C33</f>
        <v>-339664</v>
      </c>
      <c r="F33" s="70">
        <f>IF(C33=0,0,+E33/C33)</f>
        <v>-0.06564840615177425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8282169</v>
      </c>
      <c r="D34" s="49">
        <v>9732723</v>
      </c>
      <c r="E34" s="49">
        <f>+D34-C34</f>
        <v>1450554</v>
      </c>
      <c r="F34" s="70">
        <f>IF(C34=0,0,+E34/C34)</f>
        <v>0.1751418016222562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2141637</v>
      </c>
      <c r="D35" s="49">
        <v>2128435</v>
      </c>
      <c r="E35" s="49">
        <f>+D35-C35</f>
        <v>-13202</v>
      </c>
      <c r="F35" s="70">
        <f>IF(C35=0,0,+E35/C35)</f>
        <v>-0.006164443367386723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15597793</v>
      </c>
      <c r="D36" s="27">
        <f>+D33+D34+D35</f>
        <v>16695481</v>
      </c>
      <c r="E36" s="27">
        <f>+E33+E34+E35</f>
        <v>1097688</v>
      </c>
      <c r="F36" s="28">
        <f>IF(C36=0,0,+E36/C36)</f>
        <v>0.07037457158201804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9657765</v>
      </c>
      <c r="D39" s="51">
        <f>+D25</f>
        <v>12266705</v>
      </c>
      <c r="E39" s="51">
        <f>+D39-C39</f>
        <v>2608940</v>
      </c>
      <c r="F39" s="70">
        <f>IF(C39=0,0,+E39/C39)</f>
        <v>0.27013910568335425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15597793</v>
      </c>
      <c r="D40" s="49">
        <f>+D36</f>
        <v>16695481</v>
      </c>
      <c r="E40" s="49">
        <f>+D40-C40</f>
        <v>1097688</v>
      </c>
      <c r="F40" s="70">
        <f>IF(C40=0,0,+E40/C40)</f>
        <v>0.07037457158201804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25255558</v>
      </c>
      <c r="D41" s="27">
        <f>+D39+D40</f>
        <v>28962186</v>
      </c>
      <c r="E41" s="27">
        <f>+E39+E40</f>
        <v>3706628</v>
      </c>
      <c r="F41" s="28">
        <f>IF(C41=0,0,+E41/C41)</f>
        <v>0.1467648428120258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9452234</v>
      </c>
      <c r="D43" s="51">
        <f t="shared" si="0"/>
        <v>9117911</v>
      </c>
      <c r="E43" s="51">
        <f>+D43-C43</f>
        <v>-334323</v>
      </c>
      <c r="F43" s="70">
        <f>IF(C43=0,0,+E43/C43)</f>
        <v>-0.03536973375817822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9475899</v>
      </c>
      <c r="D44" s="49">
        <f t="shared" si="0"/>
        <v>11673012</v>
      </c>
      <c r="E44" s="49">
        <f>+D44-C44</f>
        <v>2197113</v>
      </c>
      <c r="F44" s="70">
        <f>IF(C44=0,0,+E44/C44)</f>
        <v>0.23186327756342695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6327425</v>
      </c>
      <c r="D45" s="49">
        <f t="shared" si="0"/>
        <v>8171263</v>
      </c>
      <c r="E45" s="49">
        <f>+D45-C45</f>
        <v>1843838</v>
      </c>
      <c r="F45" s="70">
        <f>IF(C45=0,0,+E45/C45)</f>
        <v>0.291404165201484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25255558</v>
      </c>
      <c r="D46" s="27">
        <f>+D43+D44+D45</f>
        <v>28962186</v>
      </c>
      <c r="E46" s="27">
        <f>+E43+E44+E45</f>
        <v>3706628</v>
      </c>
      <c r="F46" s="28">
        <f>IF(C46=0,0,+E46/C46)</f>
        <v>0.1467648428120258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FILING&amp;RDANBURY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712</v>
      </c>
      <c r="D9" s="35" t="s">
        <v>713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388804592</v>
      </c>
      <c r="D15" s="51">
        <v>419231815</v>
      </c>
      <c r="E15" s="51">
        <f>+D15-C15</f>
        <v>30427223</v>
      </c>
      <c r="F15" s="70">
        <f>+E15/C15</f>
        <v>0.07825839412925452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145049079</v>
      </c>
      <c r="D17" s="51">
        <v>160366629</v>
      </c>
      <c r="E17" s="51">
        <f>+D17-C17</f>
        <v>15317550</v>
      </c>
      <c r="F17" s="70">
        <f>+E17/C17</f>
        <v>0.10560253195402916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243755513</v>
      </c>
      <c r="D19" s="27">
        <f>+D15-D17</f>
        <v>258865186</v>
      </c>
      <c r="E19" s="27">
        <f>+D19-C19</f>
        <v>15109673</v>
      </c>
      <c r="F19" s="28">
        <f>+E19/C19</f>
        <v>0.06198700006428162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0.37306421267781736</v>
      </c>
      <c r="D21" s="628">
        <f>+D17/D15</f>
        <v>0.3825249498299646</v>
      </c>
      <c r="E21" s="628">
        <f>+D21-C21</f>
        <v>0.009460737152147236</v>
      </c>
      <c r="F21" s="28">
        <f>+E21/C21</f>
        <v>0.02535954087967596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FILING&amp;R&amp;12DANBURY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4" width="18.28125" style="0" customWidth="1"/>
    <col min="5" max="5" width="21.1406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432872109</v>
      </c>
      <c r="D10" s="641">
        <v>454308285</v>
      </c>
      <c r="E10" s="641">
        <v>498743209</v>
      </c>
    </row>
    <row r="11" spans="1:5" ht="25.5" customHeight="1">
      <c r="A11" s="639">
        <v>2</v>
      </c>
      <c r="B11" s="640" t="s">
        <v>39</v>
      </c>
      <c r="C11" s="641">
        <v>373432837</v>
      </c>
      <c r="D11" s="641">
        <v>441046188</v>
      </c>
      <c r="E11" s="641">
        <v>503600187</v>
      </c>
    </row>
    <row r="12" spans="1:5" ht="25.5" customHeight="1">
      <c r="A12" s="639">
        <v>3</v>
      </c>
      <c r="B12" s="640" t="s">
        <v>186</v>
      </c>
      <c r="C12" s="641">
        <f>+C11+C10</f>
        <v>806304946</v>
      </c>
      <c r="D12" s="641">
        <f>+D11+D10</f>
        <v>895354473</v>
      </c>
      <c r="E12" s="641">
        <f>+E11+E10</f>
        <v>1002343396</v>
      </c>
    </row>
    <row r="13" spans="1:5" ht="25.5" customHeight="1">
      <c r="A13" s="639">
        <v>4</v>
      </c>
      <c r="B13" s="640" t="s">
        <v>599</v>
      </c>
      <c r="C13" s="641">
        <v>393491107</v>
      </c>
      <c r="D13" s="641">
        <v>427936480</v>
      </c>
      <c r="E13" s="641">
        <v>457712742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378387622</v>
      </c>
      <c r="D16" s="641">
        <v>415921169</v>
      </c>
      <c r="E16" s="641">
        <v>442588744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88139</v>
      </c>
      <c r="D19" s="644">
        <v>87644</v>
      </c>
      <c r="E19" s="644">
        <v>91794</v>
      </c>
    </row>
    <row r="20" spans="1:5" ht="25.5" customHeight="1">
      <c r="A20" s="639">
        <v>2</v>
      </c>
      <c r="B20" s="640" t="s">
        <v>488</v>
      </c>
      <c r="C20" s="645">
        <v>20752</v>
      </c>
      <c r="D20" s="645">
        <v>20459</v>
      </c>
      <c r="E20" s="645">
        <v>20497</v>
      </c>
    </row>
    <row r="21" spans="1:5" ht="25.5" customHeight="1">
      <c r="A21" s="639">
        <v>3</v>
      </c>
      <c r="B21" s="640" t="s">
        <v>42</v>
      </c>
      <c r="C21" s="646">
        <f>IF(C20=0,0,+C19/C20)</f>
        <v>4.247253276792598</v>
      </c>
      <c r="D21" s="646">
        <f>IF(D20=0,0,+D19/D20)</f>
        <v>4.283884842856445</v>
      </c>
      <c r="E21" s="646">
        <f>IF(E20=0,0,+E19/E20)</f>
        <v>4.478411474849978</v>
      </c>
    </row>
    <row r="22" spans="1:5" ht="25.5" customHeight="1">
      <c r="A22" s="639">
        <v>4</v>
      </c>
      <c r="B22" s="640" t="s">
        <v>43</v>
      </c>
      <c r="C22" s="645">
        <f>IF(C10=0,0,C19*(C12/C10))</f>
        <v>164175.30757449195</v>
      </c>
      <c r="D22" s="645">
        <f>IF(D10=0,0,D19*(D12/D10))</f>
        <v>172729.5099441385</v>
      </c>
      <c r="E22" s="645">
        <f>IF(E10=0,0,E19*(E12/E10))</f>
        <v>184481.9298430267</v>
      </c>
    </row>
    <row r="23" spans="1:5" ht="25.5" customHeight="1">
      <c r="A23" s="639">
        <v>0</v>
      </c>
      <c r="B23" s="640" t="s">
        <v>44</v>
      </c>
      <c r="C23" s="645">
        <f>IF(C10=0,0,C20*(C12/C10))</f>
        <v>38654.46604551738</v>
      </c>
      <c r="D23" s="645">
        <f>IF(D10=0,0,D20*(D12/D10))</f>
        <v>40320.76404485338</v>
      </c>
      <c r="E23" s="645">
        <f>IF(E10=0,0,E20*(E12/E10))</f>
        <v>41193.60868893957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1.175999007324595</v>
      </c>
      <c r="D26" s="647">
        <v>1.2112842856444597</v>
      </c>
      <c r="E26" s="647">
        <v>1.19886421427526</v>
      </c>
    </row>
    <row r="27" spans="1:5" ht="25.5" customHeight="1">
      <c r="A27" s="639">
        <v>2</v>
      </c>
      <c r="B27" s="640" t="s">
        <v>46</v>
      </c>
      <c r="C27" s="645">
        <f>C19*C26</f>
        <v>103651.37650658247</v>
      </c>
      <c r="D27" s="645">
        <f>D19*D26</f>
        <v>106161.79993102302</v>
      </c>
      <c r="E27" s="645">
        <f>E19*E26</f>
        <v>110048.54168518321</v>
      </c>
    </row>
    <row r="28" spans="1:5" ht="25.5" customHeight="1">
      <c r="A28" s="639">
        <v>3</v>
      </c>
      <c r="B28" s="640" t="s">
        <v>47</v>
      </c>
      <c r="C28" s="645">
        <f>C20*C26</f>
        <v>24404.331399999995</v>
      </c>
      <c r="D28" s="645">
        <f>D20*D26</f>
        <v>24781.6652</v>
      </c>
      <c r="E28" s="645">
        <f>E20*E26</f>
        <v>24573.119800000004</v>
      </c>
    </row>
    <row r="29" spans="1:5" ht="25.5" customHeight="1">
      <c r="A29" s="639">
        <v>4</v>
      </c>
      <c r="B29" s="640" t="s">
        <v>48</v>
      </c>
      <c r="C29" s="645">
        <f>C22*C26</f>
        <v>193069.99873481257</v>
      </c>
      <c r="D29" s="645">
        <f>D22*D26</f>
        <v>209224.54106240338</v>
      </c>
      <c r="E29" s="645">
        <f>E22*E26</f>
        <v>221168.78386924384</v>
      </c>
    </row>
    <row r="30" spans="1:5" ht="25.5" customHeight="1">
      <c r="A30" s="639">
        <v>5</v>
      </c>
      <c r="B30" s="640" t="s">
        <v>49</v>
      </c>
      <c r="C30" s="645">
        <f>C23*C26</f>
        <v>45457.6136981907</v>
      </c>
      <c r="D30" s="645">
        <f>D23*D26</f>
        <v>48839.90787270904</v>
      </c>
      <c r="E30" s="645">
        <f>E23*E26</f>
        <v>49385.54331402805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9148.106354735135</v>
      </c>
      <c r="D33" s="641">
        <f>IF(D19=0,0,D12/D19)</f>
        <v>10215.810243713204</v>
      </c>
      <c r="E33" s="641">
        <f>IF(E19=0,0,E12/E19)</f>
        <v>10919.487068871604</v>
      </c>
    </row>
    <row r="34" spans="1:5" ht="25.5" customHeight="1">
      <c r="A34" s="639">
        <v>2</v>
      </c>
      <c r="B34" s="640" t="s">
        <v>52</v>
      </c>
      <c r="C34" s="641">
        <f>IF(C20=0,0,C12/C20)</f>
        <v>38854.32469159599</v>
      </c>
      <c r="D34" s="641">
        <f>IF(D20=0,0,D12/D20)</f>
        <v>43763.35466054059</v>
      </c>
      <c r="E34" s="641">
        <f>IF(E20=0,0,E12/E20)</f>
        <v>48901.956188710545</v>
      </c>
    </row>
    <row r="35" spans="1:5" ht="25.5" customHeight="1">
      <c r="A35" s="639">
        <v>3</v>
      </c>
      <c r="B35" s="640" t="s">
        <v>53</v>
      </c>
      <c r="C35" s="641">
        <f>IF(C22=0,0,C12/C22)</f>
        <v>4911.243705964443</v>
      </c>
      <c r="D35" s="641">
        <f>IF(D22=0,0,D12/D22)</f>
        <v>5183.564020355072</v>
      </c>
      <c r="E35" s="641">
        <f>IF(E22=0,0,E12/E22)</f>
        <v>5433.287676754471</v>
      </c>
    </row>
    <row r="36" spans="1:5" ht="25.5" customHeight="1">
      <c r="A36" s="639">
        <v>4</v>
      </c>
      <c r="B36" s="640" t="s">
        <v>54</v>
      </c>
      <c r="C36" s="641">
        <f>IF(C23=0,0,C12/C23)</f>
        <v>20859.295923284506</v>
      </c>
      <c r="D36" s="641">
        <f>IF(D23=0,0,D12/D23)</f>
        <v>22205.79133877511</v>
      </c>
      <c r="E36" s="641">
        <f>IF(E23=0,0,E12/E23)</f>
        <v>24332.497877738202</v>
      </c>
    </row>
    <row r="37" spans="1:5" ht="25.5" customHeight="1">
      <c r="A37" s="639">
        <v>5</v>
      </c>
      <c r="B37" s="640" t="s">
        <v>55</v>
      </c>
      <c r="C37" s="641">
        <f>IF(C29=0,0,C12/C29)</f>
        <v>4176.231166331979</v>
      </c>
      <c r="D37" s="641">
        <f>IF(D29=0,0,D12/D29)</f>
        <v>4279.395086511153</v>
      </c>
      <c r="E37" s="641">
        <f>IF(E29=0,0,E12/E29)</f>
        <v>4532.029242393405</v>
      </c>
    </row>
    <row r="38" spans="1:5" ht="25.5" customHeight="1">
      <c r="A38" s="639">
        <v>6</v>
      </c>
      <c r="B38" s="640" t="s">
        <v>56</v>
      </c>
      <c r="C38" s="641">
        <f>IF(C30=0,0,C12/C30)</f>
        <v>17737.511505846876</v>
      </c>
      <c r="D38" s="641">
        <f>IF(D30=0,0,D12/D30)</f>
        <v>18332.43574769947</v>
      </c>
      <c r="E38" s="641">
        <f>IF(E30=0,0,E12/E30)</f>
        <v>20296.29176349028</v>
      </c>
    </row>
    <row r="39" spans="1:5" ht="25.5" customHeight="1">
      <c r="A39" s="639">
        <v>7</v>
      </c>
      <c r="B39" s="640" t="s">
        <v>57</v>
      </c>
      <c r="C39" s="641">
        <f>IF(C22=0,0,C10/C22)</f>
        <v>2636.6456405363588</v>
      </c>
      <c r="D39" s="641">
        <f>IF(D22=0,0,D10/D22)</f>
        <v>2630.1717937307026</v>
      </c>
      <c r="E39" s="641">
        <f>IF(E22=0,0,E10/E22)</f>
        <v>2703.480007089985</v>
      </c>
    </row>
    <row r="40" spans="1:5" ht="25.5" customHeight="1">
      <c r="A40" s="639">
        <v>8</v>
      </c>
      <c r="B40" s="640" t="s">
        <v>58</v>
      </c>
      <c r="C40" s="641">
        <f>IF(C23=0,0,C10/C23)</f>
        <v>11198.501836508969</v>
      </c>
      <c r="D40" s="641">
        <f>IF(D23=0,0,D10/D23)</f>
        <v>11267.353081271505</v>
      </c>
      <c r="E40" s="641">
        <f>IF(E23=0,0,E10/E23)</f>
        <v>12107.29588577929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4464.438069413086</v>
      </c>
      <c r="D43" s="641">
        <f>IF(D19=0,0,D13/D19)</f>
        <v>4882.667153484551</v>
      </c>
      <c r="E43" s="641">
        <f>IF(E19=0,0,E13/E19)</f>
        <v>4986.303483887836</v>
      </c>
    </row>
    <row r="44" spans="1:5" ht="25.5" customHeight="1">
      <c r="A44" s="639">
        <v>2</v>
      </c>
      <c r="B44" s="640" t="s">
        <v>61</v>
      </c>
      <c r="C44" s="641">
        <f>IF(C20=0,0,C13/C20)</f>
        <v>18961.599219352353</v>
      </c>
      <c r="D44" s="641">
        <f>IF(D20=0,0,D13/D20)</f>
        <v>20916.78381152549</v>
      </c>
      <c r="E44" s="641">
        <f>IF(E20=0,0,E13/E20)</f>
        <v>22330.718739327705</v>
      </c>
    </row>
    <row r="45" spans="1:5" ht="25.5" customHeight="1">
      <c r="A45" s="639">
        <v>3</v>
      </c>
      <c r="B45" s="640" t="s">
        <v>62</v>
      </c>
      <c r="C45" s="641">
        <f>IF(C22=0,0,C13/C22)</f>
        <v>2396.7739900317206</v>
      </c>
      <c r="D45" s="641">
        <f>IF(D22=0,0,D13/D22)</f>
        <v>2477.494900196247</v>
      </c>
      <c r="E45" s="641">
        <f>IF(E22=0,0,E13/E22)</f>
        <v>2481.0708690518463</v>
      </c>
    </row>
    <row r="46" spans="1:5" ht="25.5" customHeight="1">
      <c r="A46" s="639">
        <v>4</v>
      </c>
      <c r="B46" s="640" t="s">
        <v>63</v>
      </c>
      <c r="C46" s="641">
        <f>IF(C23=0,0,C13/C23)</f>
        <v>10179.706182893497</v>
      </c>
      <c r="D46" s="641">
        <f>IF(D23=0,0,D13/D23)</f>
        <v>10613.30285120484</v>
      </c>
      <c r="E46" s="641">
        <f>IF(E23=0,0,E13/E23)</f>
        <v>11111.256249877795</v>
      </c>
    </row>
    <row r="47" spans="1:5" ht="25.5" customHeight="1">
      <c r="A47" s="639">
        <v>5</v>
      </c>
      <c r="B47" s="640" t="s">
        <v>64</v>
      </c>
      <c r="C47" s="641">
        <f>IF(C29=0,0,C13/C29)</f>
        <v>2038.074841138171</v>
      </c>
      <c r="D47" s="641">
        <f>IF(D29=0,0,D13/D29)</f>
        <v>2045.3455308207058</v>
      </c>
      <c r="E47" s="641">
        <f>IF(E29=0,0,E13/E29)</f>
        <v>2069.5178315516814</v>
      </c>
    </row>
    <row r="48" spans="1:5" ht="25.5" customHeight="1">
      <c r="A48" s="639">
        <v>6</v>
      </c>
      <c r="B48" s="640" t="s">
        <v>65</v>
      </c>
      <c r="C48" s="641">
        <f>IF(C30=0,0,C13/C30)</f>
        <v>8656.220047372652</v>
      </c>
      <c r="D48" s="641">
        <f>IF(D30=0,0,D13/D30)</f>
        <v>8762.02471788699</v>
      </c>
      <c r="E48" s="641">
        <f>IF(E30=0,0,E13/E30)</f>
        <v>9268.152404227694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4293.078228706929</v>
      </c>
      <c r="D51" s="641">
        <f>IF(D19=0,0,D16/D19)</f>
        <v>4745.574928118297</v>
      </c>
      <c r="E51" s="641">
        <f>IF(E19=0,0,E16/E19)</f>
        <v>4821.543281695971</v>
      </c>
    </row>
    <row r="52" spans="1:5" ht="25.5" customHeight="1">
      <c r="A52" s="639">
        <v>2</v>
      </c>
      <c r="B52" s="640" t="s">
        <v>68</v>
      </c>
      <c r="C52" s="641">
        <f>IF(C20=0,0,C16/C20)</f>
        <v>18233.79057440247</v>
      </c>
      <c r="D52" s="641">
        <f>IF(D20=0,0,D16/D20)</f>
        <v>20329.496505205534</v>
      </c>
      <c r="E52" s="641">
        <f>IF(E20=0,0,E16/E20)</f>
        <v>21592.854759233058</v>
      </c>
    </row>
    <row r="53" spans="1:5" ht="25.5" customHeight="1">
      <c r="A53" s="639">
        <v>3</v>
      </c>
      <c r="B53" s="640" t="s">
        <v>69</v>
      </c>
      <c r="C53" s="641">
        <f>IF(C22=0,0,C16/C22)</f>
        <v>2304.77790838499</v>
      </c>
      <c r="D53" s="641">
        <f>IF(D22=0,0,D16/D22)</f>
        <v>2407.933474335166</v>
      </c>
      <c r="E53" s="641">
        <f>IF(E22=0,0,E16/E22)</f>
        <v>2399.089950850975</v>
      </c>
    </row>
    <row r="54" spans="1:5" ht="25.5" customHeight="1">
      <c r="A54" s="639">
        <v>4</v>
      </c>
      <c r="B54" s="640" t="s">
        <v>70</v>
      </c>
      <c r="C54" s="641">
        <f>IF(C23=0,0,C16/C23)</f>
        <v>9788.975523667343</v>
      </c>
      <c r="D54" s="641">
        <f>IF(D23=0,0,D16/D23)</f>
        <v>10315.309713311075</v>
      </c>
      <c r="E54" s="641">
        <f>IF(E23=0,0,E16/E23)</f>
        <v>10744.111965088277</v>
      </c>
    </row>
    <row r="55" spans="1:5" ht="25.5" customHeight="1">
      <c r="A55" s="639">
        <v>5</v>
      </c>
      <c r="B55" s="640" t="s">
        <v>71</v>
      </c>
      <c r="C55" s="641">
        <f>IF(C29=0,0,C16/C29)</f>
        <v>1959.846814521021</v>
      </c>
      <c r="D55" s="641">
        <f>IF(D29=0,0,D16/D29)</f>
        <v>1987.9177026176255</v>
      </c>
      <c r="E55" s="641">
        <f>IF(E29=0,0,E16/E29)</f>
        <v>2001.1356768216478</v>
      </c>
    </row>
    <row r="56" spans="1:5" ht="25.5" customHeight="1">
      <c r="A56" s="639">
        <v>6</v>
      </c>
      <c r="B56" s="640" t="s">
        <v>72</v>
      </c>
      <c r="C56" s="641">
        <f>IF(C30=0,0,C16/C30)</f>
        <v>8323.965804985944</v>
      </c>
      <c r="D56" s="641">
        <f>IF(D30=0,0,D16/D30)</f>
        <v>8516.01051508965</v>
      </c>
      <c r="E56" s="641">
        <f>IF(E30=0,0,E16/E30)</f>
        <v>8961.908977809744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43543790</v>
      </c>
      <c r="D59" s="649">
        <v>47873276</v>
      </c>
      <c r="E59" s="649">
        <v>52331167</v>
      </c>
    </row>
    <row r="60" spans="1:5" ht="25.5" customHeight="1">
      <c r="A60" s="639">
        <v>2</v>
      </c>
      <c r="B60" s="640" t="s">
        <v>75</v>
      </c>
      <c r="C60" s="649">
        <v>12906405</v>
      </c>
      <c r="D60" s="649">
        <v>12534452</v>
      </c>
      <c r="E60" s="649">
        <v>14967226</v>
      </c>
    </row>
    <row r="61" spans="1:5" ht="25.5" customHeight="1">
      <c r="A61" s="650">
        <v>3</v>
      </c>
      <c r="B61" s="651" t="s">
        <v>76</v>
      </c>
      <c r="C61" s="652">
        <f>C59+C60</f>
        <v>56450195</v>
      </c>
      <c r="D61" s="652">
        <f>D59+D60</f>
        <v>60407728</v>
      </c>
      <c r="E61" s="652">
        <f>E59+E60</f>
        <v>67298393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5643871</v>
      </c>
      <c r="D64" s="641">
        <v>5838996</v>
      </c>
      <c r="E64" s="649">
        <v>5994805</v>
      </c>
      <c r="F64" s="653"/>
    </row>
    <row r="65" spans="1:6" ht="25.5" customHeight="1">
      <c r="A65" s="639">
        <v>2</v>
      </c>
      <c r="B65" s="640" t="s">
        <v>79</v>
      </c>
      <c r="C65" s="649">
        <v>1672847</v>
      </c>
      <c r="D65" s="649">
        <v>1528799</v>
      </c>
      <c r="E65" s="649">
        <v>1714573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7316718</v>
      </c>
      <c r="D66" s="654">
        <f>D64+D65</f>
        <v>7367795</v>
      </c>
      <c r="E66" s="654">
        <f>E64+E65</f>
        <v>7709378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107456467</v>
      </c>
      <c r="D69" s="649">
        <v>117695891</v>
      </c>
      <c r="E69" s="649">
        <v>123640954</v>
      </c>
    </row>
    <row r="70" spans="1:5" ht="25.5" customHeight="1">
      <c r="A70" s="639">
        <v>2</v>
      </c>
      <c r="B70" s="640" t="s">
        <v>83</v>
      </c>
      <c r="C70" s="649">
        <v>31849272</v>
      </c>
      <c r="D70" s="649">
        <v>30815804</v>
      </c>
      <c r="E70" s="649">
        <v>35362523</v>
      </c>
    </row>
    <row r="71" spans="1:5" ht="25.5" customHeight="1">
      <c r="A71" s="650">
        <v>3</v>
      </c>
      <c r="B71" s="651" t="s">
        <v>84</v>
      </c>
      <c r="C71" s="652">
        <f>C69+C70</f>
        <v>139305739</v>
      </c>
      <c r="D71" s="652">
        <f>D69+D70</f>
        <v>148511695</v>
      </c>
      <c r="E71" s="652">
        <f>E69+E70</f>
        <v>159003477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156644128</v>
      </c>
      <c r="D75" s="641">
        <f t="shared" si="0"/>
        <v>171408163</v>
      </c>
      <c r="E75" s="641">
        <f t="shared" si="0"/>
        <v>181966926</v>
      </c>
    </row>
    <row r="76" spans="1:5" ht="25.5" customHeight="1">
      <c r="A76" s="639">
        <v>2</v>
      </c>
      <c r="B76" s="640" t="s">
        <v>87</v>
      </c>
      <c r="C76" s="641">
        <f t="shared" si="0"/>
        <v>46428524</v>
      </c>
      <c r="D76" s="641">
        <f t="shared" si="0"/>
        <v>44879055</v>
      </c>
      <c r="E76" s="641">
        <f t="shared" si="0"/>
        <v>52044322</v>
      </c>
    </row>
    <row r="77" spans="1:5" ht="25.5" customHeight="1">
      <c r="A77" s="650">
        <v>3</v>
      </c>
      <c r="B77" s="651" t="s">
        <v>85</v>
      </c>
      <c r="C77" s="654">
        <f>C75+C76</f>
        <v>203072652</v>
      </c>
      <c r="D77" s="654">
        <f>D75+D76</f>
        <v>216287218</v>
      </c>
      <c r="E77" s="654">
        <f>E75+E76</f>
        <v>234011248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493.8</v>
      </c>
      <c r="D80" s="646">
        <v>518.4</v>
      </c>
      <c r="E80" s="646">
        <v>551.4</v>
      </c>
    </row>
    <row r="81" spans="1:5" ht="25.5" customHeight="1">
      <c r="A81" s="639">
        <v>2</v>
      </c>
      <c r="B81" s="640" t="s">
        <v>694</v>
      </c>
      <c r="C81" s="646">
        <v>76.7</v>
      </c>
      <c r="D81" s="646">
        <v>81.7</v>
      </c>
      <c r="E81" s="646">
        <v>79.6</v>
      </c>
    </row>
    <row r="82" spans="1:5" ht="25.5" customHeight="1">
      <c r="A82" s="639">
        <v>3</v>
      </c>
      <c r="B82" s="640" t="s">
        <v>89</v>
      </c>
      <c r="C82" s="646">
        <v>1775.4</v>
      </c>
      <c r="D82" s="646">
        <v>1848</v>
      </c>
      <c r="E82" s="646">
        <v>1817</v>
      </c>
    </row>
    <row r="83" spans="1:5" ht="25.5" customHeight="1">
      <c r="A83" s="650">
        <v>4</v>
      </c>
      <c r="B83" s="651" t="s">
        <v>88</v>
      </c>
      <c r="C83" s="656">
        <f>C80+C81+C82</f>
        <v>2345.9</v>
      </c>
      <c r="D83" s="656">
        <f>D80+D81+D82</f>
        <v>2448.1</v>
      </c>
      <c r="E83" s="656">
        <f>E80+E81+E82</f>
        <v>2448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88181.02470635885</v>
      </c>
      <c r="D86" s="649">
        <f>IF(D80=0,0,D59/D80)</f>
        <v>92348.14043209876</v>
      </c>
      <c r="E86" s="649">
        <f>IF(E80=0,0,E59/E80)</f>
        <v>94905.99746100834</v>
      </c>
    </row>
    <row r="87" spans="1:5" ht="25.5" customHeight="1">
      <c r="A87" s="639">
        <v>2</v>
      </c>
      <c r="B87" s="640" t="s">
        <v>92</v>
      </c>
      <c r="C87" s="649">
        <f>IF(C80=0,0,C60/C80)</f>
        <v>26136.90765492102</v>
      </c>
      <c r="D87" s="649">
        <f>IF(D80=0,0,D60/D80)</f>
        <v>24179.11265432099</v>
      </c>
      <c r="E87" s="649">
        <f>IF(E80=0,0,E60/E80)</f>
        <v>27144.044250997464</v>
      </c>
    </row>
    <row r="88" spans="1:5" ht="25.5" customHeight="1">
      <c r="A88" s="650">
        <v>3</v>
      </c>
      <c r="B88" s="651" t="s">
        <v>93</v>
      </c>
      <c r="C88" s="652">
        <f>+C86+C87</f>
        <v>114317.93236127986</v>
      </c>
      <c r="D88" s="652">
        <f>+D86+D87</f>
        <v>116527.25308641975</v>
      </c>
      <c r="E88" s="652">
        <f>+E86+E87</f>
        <v>122050.04171200581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73583.71577574968</v>
      </c>
      <c r="D91" s="641">
        <f>IF(D81=0,0,D64/D81)</f>
        <v>71468.73929008568</v>
      </c>
      <c r="E91" s="641">
        <f>IF(E81=0,0,E64/E81)</f>
        <v>75311.62060301508</v>
      </c>
    </row>
    <row r="92" spans="1:5" ht="25.5" customHeight="1">
      <c r="A92" s="639">
        <v>2</v>
      </c>
      <c r="B92" s="640" t="s">
        <v>96</v>
      </c>
      <c r="C92" s="641">
        <f>IF(C81=0,0,C65/C81)</f>
        <v>21810.260756192958</v>
      </c>
      <c r="D92" s="641">
        <f>IF(D81=0,0,D65/D81)</f>
        <v>18712.35006119951</v>
      </c>
      <c r="E92" s="641">
        <f>IF(E81=0,0,E65/E81)</f>
        <v>21539.86180904523</v>
      </c>
    </row>
    <row r="93" spans="1:5" ht="25.5" customHeight="1">
      <c r="A93" s="650">
        <v>3</v>
      </c>
      <c r="B93" s="651" t="s">
        <v>97</v>
      </c>
      <c r="C93" s="654">
        <f>+C91+C92</f>
        <v>95393.97653194264</v>
      </c>
      <c r="D93" s="654">
        <f>+D91+D92</f>
        <v>90181.08935128519</v>
      </c>
      <c r="E93" s="654">
        <f>+E91+E92</f>
        <v>96851.48241206032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60525.215162780216</v>
      </c>
      <c r="D96" s="649">
        <f>IF(D82=0,0,D69/D82)</f>
        <v>63688.2527056277</v>
      </c>
      <c r="E96" s="649">
        <f>IF(E82=0,0,E69/E82)</f>
        <v>68046.75509080902</v>
      </c>
    </row>
    <row r="97" spans="1:5" ht="25.5" customHeight="1">
      <c r="A97" s="639">
        <v>2</v>
      </c>
      <c r="B97" s="640" t="s">
        <v>101</v>
      </c>
      <c r="C97" s="649">
        <f>IF(C82=0,0,C70/C82)</f>
        <v>17939.209192294693</v>
      </c>
      <c r="D97" s="649">
        <f>IF(D82=0,0,D70/D82)</f>
        <v>16675.218614718615</v>
      </c>
      <c r="E97" s="649">
        <f>IF(E82=0,0,E70/E82)</f>
        <v>19462.037974683546</v>
      </c>
    </row>
    <row r="98" spans="1:5" ht="25.5" customHeight="1">
      <c r="A98" s="650">
        <v>3</v>
      </c>
      <c r="B98" s="651" t="s">
        <v>102</v>
      </c>
      <c r="C98" s="654">
        <f>+C96+C97</f>
        <v>78464.42435507491</v>
      </c>
      <c r="D98" s="654">
        <f>+D96+D97</f>
        <v>80363.47132034632</v>
      </c>
      <c r="E98" s="654">
        <f>+E96+E97</f>
        <v>87508.79306549256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66773.57432115606</v>
      </c>
      <c r="D101" s="641">
        <f>IF(D83=0,0,D75/D83)</f>
        <v>70016.8142641232</v>
      </c>
      <c r="E101" s="641">
        <f>IF(E83=0,0,E75/E83)</f>
        <v>74332.89460784313</v>
      </c>
    </row>
    <row r="102" spans="1:5" ht="25.5" customHeight="1">
      <c r="A102" s="639">
        <v>2</v>
      </c>
      <c r="B102" s="640" t="s">
        <v>106</v>
      </c>
      <c r="C102" s="658">
        <f>IF(C83=0,0,C76/C83)</f>
        <v>19791.348309817127</v>
      </c>
      <c r="D102" s="658">
        <f>IF(D83=0,0,D76/D83)</f>
        <v>18332.198439606225</v>
      </c>
      <c r="E102" s="658">
        <f>IF(E83=0,0,E76/E83)</f>
        <v>21259.93545751634</v>
      </c>
    </row>
    <row r="103" spans="1:5" ht="25.5" customHeight="1">
      <c r="A103" s="650">
        <v>3</v>
      </c>
      <c r="B103" s="651" t="s">
        <v>104</v>
      </c>
      <c r="C103" s="654">
        <f>+C101+C102</f>
        <v>86564.92263097319</v>
      </c>
      <c r="D103" s="654">
        <f>+D101+D102</f>
        <v>88349.01270372942</v>
      </c>
      <c r="E103" s="654">
        <f>+E101+E102</f>
        <v>95592.83006535948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2304.004492903255</v>
      </c>
      <c r="D108" s="641">
        <f>IF(D19=0,0,D77/D19)</f>
        <v>2467.7926384008033</v>
      </c>
      <c r="E108" s="641">
        <f>IF(E19=0,0,E77/E19)</f>
        <v>2549.3087565636097</v>
      </c>
    </row>
    <row r="109" spans="1:5" ht="25.5" customHeight="1">
      <c r="A109" s="639">
        <v>2</v>
      </c>
      <c r="B109" s="640" t="s">
        <v>110</v>
      </c>
      <c r="C109" s="641">
        <f>IF(C20=0,0,C77/C20)</f>
        <v>9785.69063222822</v>
      </c>
      <c r="D109" s="641">
        <f>IF(D20=0,0,D77/D20)</f>
        <v>10571.739478957916</v>
      </c>
      <c r="E109" s="641">
        <f>IF(E20=0,0,E77/E20)</f>
        <v>11416.85358833</v>
      </c>
    </row>
    <row r="110" spans="1:5" ht="25.5" customHeight="1">
      <c r="A110" s="639">
        <v>3</v>
      </c>
      <c r="B110" s="640" t="s">
        <v>111</v>
      </c>
      <c r="C110" s="641">
        <f>IF(C22=0,0,C77/C22)</f>
        <v>1236.9256680567448</v>
      </c>
      <c r="D110" s="641">
        <f>IF(D22=0,0,D77/D22)</f>
        <v>1252.1729383123259</v>
      </c>
      <c r="E110" s="641">
        <f>IF(E22=0,0,E77/E22)</f>
        <v>1268.477883980925</v>
      </c>
    </row>
    <row r="111" spans="1:5" ht="25.5" customHeight="1">
      <c r="A111" s="639">
        <v>4</v>
      </c>
      <c r="B111" s="640" t="s">
        <v>112</v>
      </c>
      <c r="C111" s="641">
        <f>IF(C23=0,0,C77/C23)</f>
        <v>5253.536596802884</v>
      </c>
      <c r="D111" s="641">
        <f>IF(D23=0,0,D77/D23)</f>
        <v>5364.16467107119</v>
      </c>
      <c r="E111" s="641">
        <f>IF(E23=0,0,E77/E23)</f>
        <v>5680.765911213594</v>
      </c>
    </row>
    <row r="112" spans="1:5" ht="25.5" customHeight="1">
      <c r="A112" s="639">
        <v>5</v>
      </c>
      <c r="B112" s="640" t="s">
        <v>113</v>
      </c>
      <c r="C112" s="641">
        <f>IF(C29=0,0,C77/C29)</f>
        <v>1051.8084287084207</v>
      </c>
      <c r="D112" s="641">
        <f>IF(D29=0,0,D77/D29)</f>
        <v>1033.7564460733604</v>
      </c>
      <c r="E112" s="641">
        <f>IF(E29=0,0,E77/E29)</f>
        <v>1058.0663505314055</v>
      </c>
    </row>
    <row r="113" spans="1:5" ht="25.5" customHeight="1">
      <c r="A113" s="639">
        <v>6</v>
      </c>
      <c r="B113" s="640" t="s">
        <v>114</v>
      </c>
      <c r="C113" s="641">
        <f>IF(C30=0,0,C77/C30)</f>
        <v>4467.296795389915</v>
      </c>
      <c r="D113" s="641">
        <f>IF(D30=0,0,D77/D30)</f>
        <v>4428.493570538814</v>
      </c>
      <c r="E113" s="641">
        <f>IF(E30=0,0,E77/E30)</f>
        <v>4738.456485372485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FILING&amp;R&amp;12DANBURY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895354474</v>
      </c>
      <c r="D12" s="51">
        <v>1002343396</v>
      </c>
      <c r="E12" s="51">
        <f aca="true" t="shared" si="0" ref="E12:E19">D12-C12</f>
        <v>106988922</v>
      </c>
      <c r="F12" s="70">
        <f aca="true" t="shared" si="1" ref="F12:F19">IF(C12=0,0,E12/C12)</f>
        <v>0.11949336838852943</v>
      </c>
    </row>
    <row r="13" spans="1:6" ht="22.5" customHeight="1">
      <c r="A13" s="25">
        <v>2</v>
      </c>
      <c r="B13" s="48" t="s">
        <v>187</v>
      </c>
      <c r="C13" s="51">
        <v>457760229</v>
      </c>
      <c r="D13" s="51">
        <v>532363949</v>
      </c>
      <c r="E13" s="51">
        <f t="shared" si="0"/>
        <v>74603720</v>
      </c>
      <c r="F13" s="70">
        <f t="shared" si="1"/>
        <v>0.16297553888195035</v>
      </c>
    </row>
    <row r="14" spans="1:6" ht="22.5" customHeight="1">
      <c r="A14" s="25">
        <v>3</v>
      </c>
      <c r="B14" s="48" t="s">
        <v>188</v>
      </c>
      <c r="C14" s="51">
        <v>9657765</v>
      </c>
      <c r="D14" s="51">
        <v>12266705</v>
      </c>
      <c r="E14" s="51">
        <f t="shared" si="0"/>
        <v>2608940</v>
      </c>
      <c r="F14" s="70">
        <f t="shared" si="1"/>
        <v>0.27013910568335425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427936480</v>
      </c>
      <c r="D16" s="27">
        <f>D12-D13-D14-D15</f>
        <v>457712742</v>
      </c>
      <c r="E16" s="27">
        <f t="shared" si="0"/>
        <v>29776262</v>
      </c>
      <c r="F16" s="28">
        <f t="shared" si="1"/>
        <v>0.06958103221300507</v>
      </c>
    </row>
    <row r="17" spans="1:7" ht="22.5" customHeight="1">
      <c r="A17" s="25">
        <v>5</v>
      </c>
      <c r="B17" s="48" t="s">
        <v>191</v>
      </c>
      <c r="C17" s="51">
        <v>10028673</v>
      </c>
      <c r="D17" s="51">
        <v>9727398</v>
      </c>
      <c r="E17" s="51">
        <f t="shared" si="0"/>
        <v>-301275</v>
      </c>
      <c r="F17" s="70">
        <f t="shared" si="1"/>
        <v>-0.030041362401585933</v>
      </c>
      <c r="G17" s="64"/>
    </row>
    <row r="18" spans="1:7" ht="22.5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437965153</v>
      </c>
      <c r="D19" s="27">
        <f>SUM(D16:D18)</f>
        <v>467440140</v>
      </c>
      <c r="E19" s="27">
        <f t="shared" si="0"/>
        <v>29474987</v>
      </c>
      <c r="F19" s="28">
        <f t="shared" si="1"/>
        <v>0.0672998452002413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171408163</v>
      </c>
      <c r="D22" s="51">
        <v>181966926</v>
      </c>
      <c r="E22" s="51">
        <f aca="true" t="shared" si="2" ref="E22:E31">D22-C22</f>
        <v>10558763</v>
      </c>
      <c r="F22" s="70">
        <f aca="true" t="shared" si="3" ref="F22:F31">IF(C22=0,0,E22/C22)</f>
        <v>0.06160011760933463</v>
      </c>
    </row>
    <row r="23" spans="1:6" ht="22.5" customHeight="1">
      <c r="A23" s="25">
        <v>2</v>
      </c>
      <c r="B23" s="48" t="s">
        <v>196</v>
      </c>
      <c r="C23" s="51">
        <v>44879055</v>
      </c>
      <c r="D23" s="51">
        <v>52044322</v>
      </c>
      <c r="E23" s="51">
        <f t="shared" si="2"/>
        <v>7165267</v>
      </c>
      <c r="F23" s="70">
        <f t="shared" si="3"/>
        <v>0.15965726105418218</v>
      </c>
    </row>
    <row r="24" spans="1:7" ht="22.5" customHeight="1">
      <c r="A24" s="25">
        <v>3</v>
      </c>
      <c r="B24" s="48" t="s">
        <v>197</v>
      </c>
      <c r="C24" s="51">
        <v>36821249</v>
      </c>
      <c r="D24" s="51">
        <v>38638408</v>
      </c>
      <c r="E24" s="51">
        <f t="shared" si="2"/>
        <v>1817159</v>
      </c>
      <c r="F24" s="70">
        <f t="shared" si="3"/>
        <v>0.04935082457414739</v>
      </c>
      <c r="G24" s="64"/>
    </row>
    <row r="25" spans="1:6" ht="22.5" customHeight="1">
      <c r="A25" s="25">
        <v>4</v>
      </c>
      <c r="B25" s="48" t="s">
        <v>198</v>
      </c>
      <c r="C25" s="51">
        <v>56477469</v>
      </c>
      <c r="D25" s="51">
        <v>62523555</v>
      </c>
      <c r="E25" s="51">
        <f t="shared" si="2"/>
        <v>6046086</v>
      </c>
      <c r="F25" s="70">
        <f t="shared" si="3"/>
        <v>0.10705306216891554</v>
      </c>
    </row>
    <row r="26" spans="1:6" ht="22.5" customHeight="1">
      <c r="A26" s="25">
        <v>5</v>
      </c>
      <c r="B26" s="48" t="s">
        <v>199</v>
      </c>
      <c r="C26" s="51">
        <v>20324444</v>
      </c>
      <c r="D26" s="51">
        <v>23125624</v>
      </c>
      <c r="E26" s="51">
        <f t="shared" si="2"/>
        <v>2801180</v>
      </c>
      <c r="F26" s="70">
        <f t="shared" si="3"/>
        <v>0.1378232044133655</v>
      </c>
    </row>
    <row r="27" spans="1:6" ht="22.5" customHeight="1">
      <c r="A27" s="25">
        <v>6</v>
      </c>
      <c r="B27" s="48" t="s">
        <v>200</v>
      </c>
      <c r="C27" s="51">
        <v>15597793</v>
      </c>
      <c r="D27" s="51">
        <v>16695481</v>
      </c>
      <c r="E27" s="51">
        <f t="shared" si="2"/>
        <v>1097688</v>
      </c>
      <c r="F27" s="70">
        <f t="shared" si="3"/>
        <v>0.07037457158201804</v>
      </c>
    </row>
    <row r="28" spans="1:6" ht="22.5" customHeight="1">
      <c r="A28" s="25">
        <v>7</v>
      </c>
      <c r="B28" s="48" t="s">
        <v>201</v>
      </c>
      <c r="C28" s="51">
        <v>5680738</v>
      </c>
      <c r="D28" s="51">
        <v>4667920</v>
      </c>
      <c r="E28" s="51">
        <f t="shared" si="2"/>
        <v>-1012818</v>
      </c>
      <c r="F28" s="70">
        <f t="shared" si="3"/>
        <v>-0.17828986304244274</v>
      </c>
    </row>
    <row r="29" spans="1:6" ht="22.5" customHeight="1">
      <c r="A29" s="25">
        <v>8</v>
      </c>
      <c r="B29" s="48" t="s">
        <v>202</v>
      </c>
      <c r="C29" s="51">
        <v>8982578</v>
      </c>
      <c r="D29" s="51">
        <v>5917298</v>
      </c>
      <c r="E29" s="51">
        <f t="shared" si="2"/>
        <v>-3065280</v>
      </c>
      <c r="F29" s="70">
        <f t="shared" si="3"/>
        <v>-0.34124724550123586</v>
      </c>
    </row>
    <row r="30" spans="1:6" ht="22.5" customHeight="1">
      <c r="A30" s="25">
        <v>9</v>
      </c>
      <c r="B30" s="48" t="s">
        <v>203</v>
      </c>
      <c r="C30" s="51">
        <v>55749680</v>
      </c>
      <c r="D30" s="51">
        <v>57009210</v>
      </c>
      <c r="E30" s="51">
        <f t="shared" si="2"/>
        <v>1259530</v>
      </c>
      <c r="F30" s="70">
        <f t="shared" si="3"/>
        <v>0.022592596047188072</v>
      </c>
    </row>
    <row r="31" spans="1:6" ht="22.5" customHeight="1">
      <c r="A31" s="29"/>
      <c r="B31" s="71" t="s">
        <v>204</v>
      </c>
      <c r="C31" s="27">
        <f>SUM(C22:C30)</f>
        <v>415921169</v>
      </c>
      <c r="D31" s="27">
        <f>SUM(D22:D30)</f>
        <v>442588744</v>
      </c>
      <c r="E31" s="27">
        <f t="shared" si="2"/>
        <v>26667575</v>
      </c>
      <c r="F31" s="28">
        <f t="shared" si="3"/>
        <v>0.06411689759412077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22043984</v>
      </c>
      <c r="D33" s="27">
        <f>+D19-D31</f>
        <v>24851396</v>
      </c>
      <c r="E33" s="27">
        <f>D33-C33</f>
        <v>2807412</v>
      </c>
      <c r="F33" s="28">
        <f>IF(C33=0,0,E33/C33)</f>
        <v>0.12735501894757317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-20514055</v>
      </c>
      <c r="D36" s="51">
        <v>13449795</v>
      </c>
      <c r="E36" s="51">
        <f>D36-C36</f>
        <v>33963850</v>
      </c>
      <c r="F36" s="70">
        <f>IF(C36=0,0,E36/C36)</f>
        <v>-1.6556380491326557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-8808260</v>
      </c>
      <c r="D38" s="51">
        <v>213448</v>
      </c>
      <c r="E38" s="51">
        <f>D38-C38</f>
        <v>9021708</v>
      </c>
      <c r="F38" s="70">
        <f>IF(C38=0,0,E38/C38)</f>
        <v>-1.0242327088437444</v>
      </c>
    </row>
    <row r="39" spans="1:6" ht="22.5" customHeight="1">
      <c r="A39" s="20"/>
      <c r="B39" s="71" t="s">
        <v>210</v>
      </c>
      <c r="C39" s="27">
        <f>SUM(C36:C38)</f>
        <v>-29322315</v>
      </c>
      <c r="D39" s="27">
        <f>SUM(D36:D38)</f>
        <v>13663243</v>
      </c>
      <c r="E39" s="27">
        <f>D39-C39</f>
        <v>42985558</v>
      </c>
      <c r="F39" s="28">
        <f>IF(C39=0,0,E39/C39)</f>
        <v>-1.46596740400613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-7278331</v>
      </c>
      <c r="D41" s="27">
        <f>D33+D39</f>
        <v>38514639</v>
      </c>
      <c r="E41" s="27">
        <f>D41-C41</f>
        <v>45792970</v>
      </c>
      <c r="F41" s="28">
        <f>IF(C41=0,0,E41/C41)</f>
        <v>-6.291685552635625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-7278331</v>
      </c>
      <c r="D48" s="27">
        <f>D41+D46</f>
        <v>38514639</v>
      </c>
      <c r="E48" s="27">
        <f>D48-C48</f>
        <v>45792970</v>
      </c>
      <c r="F48" s="28">
        <f>IF(C48=0,0,E48/C48)</f>
        <v>-6.291685552635625</v>
      </c>
    </row>
    <row r="49" spans="1:6" ht="22.5" customHeight="1">
      <c r="A49" s="44"/>
      <c r="B49" s="48" t="s">
        <v>217</v>
      </c>
      <c r="C49" s="51">
        <v>0</v>
      </c>
      <c r="D49" s="51">
        <v>2425000</v>
      </c>
      <c r="E49" s="51">
        <f>D49-C49</f>
        <v>2425000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FILING&amp;RDANBURY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22.28125" style="75" customWidth="1"/>
    <col min="5" max="5" width="20.00390625" style="75" bestFit="1" customWidth="1"/>
    <col min="6" max="6" width="17.851562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219610512</v>
      </c>
      <c r="D14" s="97">
        <v>235751310</v>
      </c>
      <c r="E14" s="97">
        <f aca="true" t="shared" si="0" ref="E14:E25">D14-C14</f>
        <v>16140798</v>
      </c>
      <c r="F14" s="98">
        <f aca="true" t="shared" si="1" ref="F14:F25">IF(C14=0,0,E14/C14)</f>
        <v>0.07349738340394198</v>
      </c>
    </row>
    <row r="15" spans="1:6" ht="18" customHeight="1">
      <c r="A15" s="99">
        <v>2</v>
      </c>
      <c r="B15" s="100" t="s">
        <v>228</v>
      </c>
      <c r="C15" s="97">
        <v>6851803</v>
      </c>
      <c r="D15" s="97">
        <v>13851610</v>
      </c>
      <c r="E15" s="97">
        <f t="shared" si="0"/>
        <v>6999807</v>
      </c>
      <c r="F15" s="98">
        <f t="shared" si="1"/>
        <v>1.0216007377912062</v>
      </c>
    </row>
    <row r="16" spans="1:6" ht="18" customHeight="1">
      <c r="A16" s="99">
        <v>3</v>
      </c>
      <c r="B16" s="100" t="s">
        <v>229</v>
      </c>
      <c r="C16" s="97">
        <v>22357574</v>
      </c>
      <c r="D16" s="97">
        <v>29093781</v>
      </c>
      <c r="E16" s="97">
        <f t="shared" si="0"/>
        <v>6736207</v>
      </c>
      <c r="F16" s="98">
        <f t="shared" si="1"/>
        <v>0.301294183349231</v>
      </c>
    </row>
    <row r="17" spans="1:6" ht="18" customHeight="1">
      <c r="A17" s="99">
        <v>4</v>
      </c>
      <c r="B17" s="100" t="s">
        <v>230</v>
      </c>
      <c r="C17" s="97">
        <v>9354437</v>
      </c>
      <c r="D17" s="97">
        <v>12785459</v>
      </c>
      <c r="E17" s="97">
        <f t="shared" si="0"/>
        <v>3431022</v>
      </c>
      <c r="F17" s="98">
        <f t="shared" si="1"/>
        <v>0.36678017073609026</v>
      </c>
    </row>
    <row r="18" spans="1:6" ht="18" customHeight="1">
      <c r="A18" s="99">
        <v>5</v>
      </c>
      <c r="B18" s="100" t="s">
        <v>231</v>
      </c>
      <c r="C18" s="97">
        <v>254600</v>
      </c>
      <c r="D18" s="97">
        <v>392783</v>
      </c>
      <c r="E18" s="97">
        <f t="shared" si="0"/>
        <v>138183</v>
      </c>
      <c r="F18" s="98">
        <f t="shared" si="1"/>
        <v>0.542745483110762</v>
      </c>
    </row>
    <row r="19" spans="1:6" ht="18" customHeight="1">
      <c r="A19" s="99">
        <v>6</v>
      </c>
      <c r="B19" s="100" t="s">
        <v>232</v>
      </c>
      <c r="C19" s="97">
        <v>97475199</v>
      </c>
      <c r="D19" s="97">
        <v>106864426</v>
      </c>
      <c r="E19" s="97">
        <f t="shared" si="0"/>
        <v>9389227</v>
      </c>
      <c r="F19" s="98">
        <f t="shared" si="1"/>
        <v>0.09632426603201907</v>
      </c>
    </row>
    <row r="20" spans="1:6" ht="18" customHeight="1">
      <c r="A20" s="99">
        <v>7</v>
      </c>
      <c r="B20" s="100" t="s">
        <v>233</v>
      </c>
      <c r="C20" s="97">
        <v>78071738</v>
      </c>
      <c r="D20" s="97">
        <v>80006057</v>
      </c>
      <c r="E20" s="97">
        <f t="shared" si="0"/>
        <v>1934319</v>
      </c>
      <c r="F20" s="98">
        <f t="shared" si="1"/>
        <v>0.024776174446122873</v>
      </c>
    </row>
    <row r="21" spans="1:6" ht="18" customHeight="1">
      <c r="A21" s="99">
        <v>8</v>
      </c>
      <c r="B21" s="100" t="s">
        <v>234</v>
      </c>
      <c r="C21" s="97">
        <v>3819148</v>
      </c>
      <c r="D21" s="97">
        <v>3203393</v>
      </c>
      <c r="E21" s="97">
        <f t="shared" si="0"/>
        <v>-615755</v>
      </c>
      <c r="F21" s="98">
        <f t="shared" si="1"/>
        <v>-0.1612283682119677</v>
      </c>
    </row>
    <row r="22" spans="1:6" ht="18" customHeight="1">
      <c r="A22" s="99">
        <v>9</v>
      </c>
      <c r="B22" s="100" t="s">
        <v>235</v>
      </c>
      <c r="C22" s="97">
        <v>7642339</v>
      </c>
      <c r="D22" s="97">
        <v>6683450</v>
      </c>
      <c r="E22" s="97">
        <f t="shared" si="0"/>
        <v>-958889</v>
      </c>
      <c r="F22" s="98">
        <f t="shared" si="1"/>
        <v>-0.12547061835388354</v>
      </c>
    </row>
    <row r="23" spans="1:6" ht="18" customHeight="1">
      <c r="A23" s="99">
        <v>10</v>
      </c>
      <c r="B23" s="100" t="s">
        <v>236</v>
      </c>
      <c r="C23" s="97">
        <v>8870935</v>
      </c>
      <c r="D23" s="97">
        <v>10110940</v>
      </c>
      <c r="E23" s="97">
        <f t="shared" si="0"/>
        <v>1240005</v>
      </c>
      <c r="F23" s="98">
        <f t="shared" si="1"/>
        <v>0.13978289774414984</v>
      </c>
    </row>
    <row r="24" spans="1:6" ht="18" customHeight="1">
      <c r="A24" s="99">
        <v>11</v>
      </c>
      <c r="B24" s="100" t="s">
        <v>237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238</v>
      </c>
      <c r="C25" s="103">
        <f>SUM(C14:C24)</f>
        <v>454308285</v>
      </c>
      <c r="D25" s="103">
        <f>SUM(D14:D24)</f>
        <v>498743209</v>
      </c>
      <c r="E25" s="103">
        <f t="shared" si="0"/>
        <v>44434924</v>
      </c>
      <c r="F25" s="104">
        <f t="shared" si="1"/>
        <v>0.09780786630382494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147643095</v>
      </c>
      <c r="D27" s="97">
        <v>168732326</v>
      </c>
      <c r="E27" s="97">
        <f aca="true" t="shared" si="2" ref="E27:E38">D27-C27</f>
        <v>21089231</v>
      </c>
      <c r="F27" s="98">
        <f aca="true" t="shared" si="3" ref="F27:F38">IF(C27=0,0,E27/C27)</f>
        <v>0.14283926383418066</v>
      </c>
    </row>
    <row r="28" spans="1:6" ht="18" customHeight="1">
      <c r="A28" s="99">
        <v>2</v>
      </c>
      <c r="B28" s="100" t="s">
        <v>228</v>
      </c>
      <c r="C28" s="97">
        <v>4532818</v>
      </c>
      <c r="D28" s="97">
        <v>9238802</v>
      </c>
      <c r="E28" s="97">
        <f t="shared" si="2"/>
        <v>4705984</v>
      </c>
      <c r="F28" s="98">
        <f t="shared" si="3"/>
        <v>1.0382027251038979</v>
      </c>
    </row>
    <row r="29" spans="1:6" ht="18" customHeight="1">
      <c r="A29" s="99">
        <v>3</v>
      </c>
      <c r="B29" s="100" t="s">
        <v>229</v>
      </c>
      <c r="C29" s="97">
        <v>11084658</v>
      </c>
      <c r="D29" s="97">
        <v>15484988</v>
      </c>
      <c r="E29" s="97">
        <f t="shared" si="2"/>
        <v>4400330</v>
      </c>
      <c r="F29" s="98">
        <f t="shared" si="3"/>
        <v>0.39697480968740756</v>
      </c>
    </row>
    <row r="30" spans="1:6" ht="18" customHeight="1">
      <c r="A30" s="99">
        <v>4</v>
      </c>
      <c r="B30" s="100" t="s">
        <v>230</v>
      </c>
      <c r="C30" s="97">
        <v>19068180</v>
      </c>
      <c r="D30" s="97">
        <v>24134850</v>
      </c>
      <c r="E30" s="97">
        <f t="shared" si="2"/>
        <v>5066670</v>
      </c>
      <c r="F30" s="98">
        <f t="shared" si="3"/>
        <v>0.26571335072356145</v>
      </c>
    </row>
    <row r="31" spans="1:6" ht="18" customHeight="1">
      <c r="A31" s="99">
        <v>5</v>
      </c>
      <c r="B31" s="100" t="s">
        <v>231</v>
      </c>
      <c r="C31" s="97">
        <v>441361</v>
      </c>
      <c r="D31" s="97">
        <v>617917</v>
      </c>
      <c r="E31" s="97">
        <f t="shared" si="2"/>
        <v>176556</v>
      </c>
      <c r="F31" s="98">
        <f t="shared" si="3"/>
        <v>0.40002628234030646</v>
      </c>
    </row>
    <row r="32" spans="1:6" ht="18" customHeight="1">
      <c r="A32" s="99">
        <v>6</v>
      </c>
      <c r="B32" s="100" t="s">
        <v>232</v>
      </c>
      <c r="C32" s="97">
        <v>130959185</v>
      </c>
      <c r="D32" s="97">
        <v>143184851</v>
      </c>
      <c r="E32" s="97">
        <f t="shared" si="2"/>
        <v>12225666</v>
      </c>
      <c r="F32" s="98">
        <f t="shared" si="3"/>
        <v>0.09335478072805661</v>
      </c>
    </row>
    <row r="33" spans="1:6" ht="18" customHeight="1">
      <c r="A33" s="99">
        <v>7</v>
      </c>
      <c r="B33" s="100" t="s">
        <v>233</v>
      </c>
      <c r="C33" s="97">
        <v>94568256</v>
      </c>
      <c r="D33" s="97">
        <v>107016662</v>
      </c>
      <c r="E33" s="97">
        <f t="shared" si="2"/>
        <v>12448406</v>
      </c>
      <c r="F33" s="98">
        <f t="shared" si="3"/>
        <v>0.13163408660089915</v>
      </c>
    </row>
    <row r="34" spans="1:6" ht="18" customHeight="1">
      <c r="A34" s="99">
        <v>8</v>
      </c>
      <c r="B34" s="100" t="s">
        <v>234</v>
      </c>
      <c r="C34" s="97">
        <v>4236460</v>
      </c>
      <c r="D34" s="97">
        <v>4010454</v>
      </c>
      <c r="E34" s="97">
        <f t="shared" si="2"/>
        <v>-226006</v>
      </c>
      <c r="F34" s="98">
        <f t="shared" si="3"/>
        <v>-0.05334784230229956</v>
      </c>
    </row>
    <row r="35" spans="1:6" ht="18" customHeight="1">
      <c r="A35" s="99">
        <v>9</v>
      </c>
      <c r="B35" s="100" t="s">
        <v>235</v>
      </c>
      <c r="C35" s="97">
        <v>18319996</v>
      </c>
      <c r="D35" s="97">
        <v>20881628</v>
      </c>
      <c r="E35" s="97">
        <f t="shared" si="2"/>
        <v>2561632</v>
      </c>
      <c r="F35" s="98">
        <f t="shared" si="3"/>
        <v>0.1398271047657434</v>
      </c>
    </row>
    <row r="36" spans="1:6" ht="18" customHeight="1">
      <c r="A36" s="99">
        <v>10</v>
      </c>
      <c r="B36" s="100" t="s">
        <v>236</v>
      </c>
      <c r="C36" s="97">
        <v>10192179</v>
      </c>
      <c r="D36" s="97">
        <v>10297709</v>
      </c>
      <c r="E36" s="97">
        <f t="shared" si="2"/>
        <v>105530</v>
      </c>
      <c r="F36" s="98">
        <f t="shared" si="3"/>
        <v>0.010354017526576016</v>
      </c>
    </row>
    <row r="37" spans="1:6" ht="18" customHeight="1">
      <c r="A37" s="99">
        <v>11</v>
      </c>
      <c r="B37" s="100" t="s">
        <v>237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241</v>
      </c>
      <c r="C38" s="103">
        <f>SUM(C27:C37)</f>
        <v>441046188</v>
      </c>
      <c r="D38" s="103">
        <f>SUM(D27:D37)</f>
        <v>503600187</v>
      </c>
      <c r="E38" s="103">
        <f t="shared" si="2"/>
        <v>62553999</v>
      </c>
      <c r="F38" s="104">
        <f t="shared" si="3"/>
        <v>0.1418309481001568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367253607</v>
      </c>
      <c r="D41" s="103">
        <f t="shared" si="4"/>
        <v>404483636</v>
      </c>
      <c r="E41" s="107">
        <f aca="true" t="shared" si="5" ref="E41:E52">D41-C41</f>
        <v>37230029</v>
      </c>
      <c r="F41" s="108">
        <f aca="true" t="shared" si="6" ref="F41:F52">IF(C41=0,0,E41/C41)</f>
        <v>0.10137416839584641</v>
      </c>
    </row>
    <row r="42" spans="1:6" ht="18" customHeight="1">
      <c r="A42" s="105">
        <v>2</v>
      </c>
      <c r="B42" s="106" t="s">
        <v>228</v>
      </c>
      <c r="C42" s="103">
        <f t="shared" si="4"/>
        <v>11384621</v>
      </c>
      <c r="D42" s="103">
        <f t="shared" si="4"/>
        <v>23090412</v>
      </c>
      <c r="E42" s="107">
        <f t="shared" si="5"/>
        <v>11705791</v>
      </c>
      <c r="F42" s="108">
        <f t="shared" si="6"/>
        <v>1.0282108644635601</v>
      </c>
    </row>
    <row r="43" spans="1:6" ht="18" customHeight="1">
      <c r="A43" s="105">
        <v>3</v>
      </c>
      <c r="B43" s="106" t="s">
        <v>229</v>
      </c>
      <c r="C43" s="103">
        <f t="shared" si="4"/>
        <v>33442232</v>
      </c>
      <c r="D43" s="103">
        <f t="shared" si="4"/>
        <v>44578769</v>
      </c>
      <c r="E43" s="107">
        <f t="shared" si="5"/>
        <v>11136537</v>
      </c>
      <c r="F43" s="108">
        <f t="shared" si="6"/>
        <v>0.33300818557804396</v>
      </c>
    </row>
    <row r="44" spans="1:6" ht="18" customHeight="1">
      <c r="A44" s="105">
        <v>4</v>
      </c>
      <c r="B44" s="106" t="s">
        <v>230</v>
      </c>
      <c r="C44" s="103">
        <f t="shared" si="4"/>
        <v>28422617</v>
      </c>
      <c r="D44" s="103">
        <f t="shared" si="4"/>
        <v>36920309</v>
      </c>
      <c r="E44" s="107">
        <f t="shared" si="5"/>
        <v>8497692</v>
      </c>
      <c r="F44" s="108">
        <f t="shared" si="6"/>
        <v>0.2989764102299236</v>
      </c>
    </row>
    <row r="45" spans="1:6" ht="18" customHeight="1">
      <c r="A45" s="105">
        <v>5</v>
      </c>
      <c r="B45" s="106" t="s">
        <v>231</v>
      </c>
      <c r="C45" s="103">
        <f t="shared" si="4"/>
        <v>695961</v>
      </c>
      <c r="D45" s="103">
        <f t="shared" si="4"/>
        <v>1010700</v>
      </c>
      <c r="E45" s="107">
        <f t="shared" si="5"/>
        <v>314739</v>
      </c>
      <c r="F45" s="108">
        <f t="shared" si="6"/>
        <v>0.45223654773758876</v>
      </c>
    </row>
    <row r="46" spans="1:6" ht="18" customHeight="1">
      <c r="A46" s="105">
        <v>6</v>
      </c>
      <c r="B46" s="106" t="s">
        <v>232</v>
      </c>
      <c r="C46" s="103">
        <f t="shared" si="4"/>
        <v>228434384</v>
      </c>
      <c r="D46" s="103">
        <f t="shared" si="4"/>
        <v>250049277</v>
      </c>
      <c r="E46" s="107">
        <f t="shared" si="5"/>
        <v>21614893</v>
      </c>
      <c r="F46" s="108">
        <f t="shared" si="6"/>
        <v>0.0946218893211803</v>
      </c>
    </row>
    <row r="47" spans="1:6" ht="18" customHeight="1">
      <c r="A47" s="105">
        <v>7</v>
      </c>
      <c r="B47" s="106" t="s">
        <v>233</v>
      </c>
      <c r="C47" s="103">
        <f t="shared" si="4"/>
        <v>172639994</v>
      </c>
      <c r="D47" s="103">
        <f t="shared" si="4"/>
        <v>187022719</v>
      </c>
      <c r="E47" s="107">
        <f t="shared" si="5"/>
        <v>14382725</v>
      </c>
      <c r="F47" s="108">
        <f t="shared" si="6"/>
        <v>0.0833105045172789</v>
      </c>
    </row>
    <row r="48" spans="1:6" ht="18" customHeight="1">
      <c r="A48" s="105">
        <v>8</v>
      </c>
      <c r="B48" s="106" t="s">
        <v>234</v>
      </c>
      <c r="C48" s="103">
        <f t="shared" si="4"/>
        <v>8055608</v>
      </c>
      <c r="D48" s="103">
        <f t="shared" si="4"/>
        <v>7213847</v>
      </c>
      <c r="E48" s="107">
        <f t="shared" si="5"/>
        <v>-841761</v>
      </c>
      <c r="F48" s="108">
        <f t="shared" si="6"/>
        <v>-0.10449378867492062</v>
      </c>
    </row>
    <row r="49" spans="1:6" ht="18" customHeight="1">
      <c r="A49" s="105">
        <v>9</v>
      </c>
      <c r="B49" s="106" t="s">
        <v>235</v>
      </c>
      <c r="C49" s="103">
        <f t="shared" si="4"/>
        <v>25962335</v>
      </c>
      <c r="D49" s="103">
        <f t="shared" si="4"/>
        <v>27565078</v>
      </c>
      <c r="E49" s="107">
        <f t="shared" si="5"/>
        <v>1602743</v>
      </c>
      <c r="F49" s="108">
        <f t="shared" si="6"/>
        <v>0.06173339185400697</v>
      </c>
    </row>
    <row r="50" spans="1:6" ht="18" customHeight="1">
      <c r="A50" s="105">
        <v>10</v>
      </c>
      <c r="B50" s="106" t="s">
        <v>236</v>
      </c>
      <c r="C50" s="103">
        <f t="shared" si="4"/>
        <v>19063114</v>
      </c>
      <c r="D50" s="103">
        <f t="shared" si="4"/>
        <v>20408649</v>
      </c>
      <c r="E50" s="107">
        <f t="shared" si="5"/>
        <v>1345535</v>
      </c>
      <c r="F50" s="108">
        <f t="shared" si="6"/>
        <v>0.07058316915064348</v>
      </c>
    </row>
    <row r="51" spans="1:6" ht="18" customHeight="1" thickBot="1">
      <c r="A51" s="105">
        <v>11</v>
      </c>
      <c r="B51" s="106" t="s">
        <v>237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243</v>
      </c>
      <c r="C52" s="111">
        <f>SUM(C41:C51)</f>
        <v>895354473</v>
      </c>
      <c r="D52" s="112">
        <f>SUM(D41:D51)</f>
        <v>1002343396</v>
      </c>
      <c r="E52" s="111">
        <f t="shared" si="5"/>
        <v>106988923</v>
      </c>
      <c r="F52" s="113">
        <f t="shared" si="6"/>
        <v>0.11949336963886481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78961698</v>
      </c>
      <c r="D57" s="97">
        <v>81519835</v>
      </c>
      <c r="E57" s="97">
        <f aca="true" t="shared" si="7" ref="E57:E68">D57-C57</f>
        <v>2558137</v>
      </c>
      <c r="F57" s="98">
        <f aca="true" t="shared" si="8" ref="F57:F68">IF(C57=0,0,E57/C57)</f>
        <v>0.03239718831780948</v>
      </c>
    </row>
    <row r="58" spans="1:6" ht="18" customHeight="1">
      <c r="A58" s="99">
        <v>2</v>
      </c>
      <c r="B58" s="100" t="s">
        <v>228</v>
      </c>
      <c r="C58" s="97">
        <v>2985480</v>
      </c>
      <c r="D58" s="97">
        <v>4899403</v>
      </c>
      <c r="E58" s="97">
        <f t="shared" si="7"/>
        <v>1913923</v>
      </c>
      <c r="F58" s="98">
        <f t="shared" si="8"/>
        <v>0.6410771467234749</v>
      </c>
    </row>
    <row r="59" spans="1:6" ht="18" customHeight="1">
      <c r="A59" s="99">
        <v>3</v>
      </c>
      <c r="B59" s="100" t="s">
        <v>229</v>
      </c>
      <c r="C59" s="97">
        <v>8992983</v>
      </c>
      <c r="D59" s="97">
        <v>9863299</v>
      </c>
      <c r="E59" s="97">
        <f t="shared" si="7"/>
        <v>870316</v>
      </c>
      <c r="F59" s="98">
        <f t="shared" si="8"/>
        <v>0.09677723175947292</v>
      </c>
    </row>
    <row r="60" spans="1:6" ht="18" customHeight="1">
      <c r="A60" s="99">
        <v>4</v>
      </c>
      <c r="B60" s="100" t="s">
        <v>230</v>
      </c>
      <c r="C60" s="97">
        <v>2914478</v>
      </c>
      <c r="D60" s="97">
        <v>3367724</v>
      </c>
      <c r="E60" s="97">
        <f t="shared" si="7"/>
        <v>453246</v>
      </c>
      <c r="F60" s="98">
        <f t="shared" si="8"/>
        <v>0.15551532727301423</v>
      </c>
    </row>
    <row r="61" spans="1:6" ht="18" customHeight="1">
      <c r="A61" s="99">
        <v>5</v>
      </c>
      <c r="B61" s="100" t="s">
        <v>231</v>
      </c>
      <c r="C61" s="97">
        <v>70102</v>
      </c>
      <c r="D61" s="97">
        <v>152328</v>
      </c>
      <c r="E61" s="97">
        <f t="shared" si="7"/>
        <v>82226</v>
      </c>
      <c r="F61" s="98">
        <f t="shared" si="8"/>
        <v>1.17294799007161</v>
      </c>
    </row>
    <row r="62" spans="1:6" ht="18" customHeight="1">
      <c r="A62" s="99">
        <v>6</v>
      </c>
      <c r="B62" s="100" t="s">
        <v>232</v>
      </c>
      <c r="C62" s="97">
        <v>67286100</v>
      </c>
      <c r="D62" s="97">
        <v>70320610</v>
      </c>
      <c r="E62" s="97">
        <f t="shared" si="7"/>
        <v>3034510</v>
      </c>
      <c r="F62" s="98">
        <f t="shared" si="8"/>
        <v>0.04509861620750794</v>
      </c>
    </row>
    <row r="63" spans="1:6" ht="18" customHeight="1">
      <c r="A63" s="99">
        <v>7</v>
      </c>
      <c r="B63" s="100" t="s">
        <v>233</v>
      </c>
      <c r="C63" s="97">
        <v>39426748</v>
      </c>
      <c r="D63" s="97">
        <v>41363560</v>
      </c>
      <c r="E63" s="97">
        <f t="shared" si="7"/>
        <v>1936812</v>
      </c>
      <c r="F63" s="98">
        <f t="shared" si="8"/>
        <v>0.049124315299856836</v>
      </c>
    </row>
    <row r="64" spans="1:6" ht="18" customHeight="1">
      <c r="A64" s="99">
        <v>8</v>
      </c>
      <c r="B64" s="100" t="s">
        <v>234</v>
      </c>
      <c r="C64" s="97">
        <v>2921678</v>
      </c>
      <c r="D64" s="97">
        <v>2204255</v>
      </c>
      <c r="E64" s="97">
        <f t="shared" si="7"/>
        <v>-717423</v>
      </c>
      <c r="F64" s="98">
        <f t="shared" si="8"/>
        <v>-0.24555170008467736</v>
      </c>
    </row>
    <row r="65" spans="1:6" ht="18" customHeight="1">
      <c r="A65" s="99">
        <v>9</v>
      </c>
      <c r="B65" s="100" t="s">
        <v>235</v>
      </c>
      <c r="C65" s="97">
        <v>1367744</v>
      </c>
      <c r="D65" s="97">
        <v>677729</v>
      </c>
      <c r="E65" s="97">
        <f t="shared" si="7"/>
        <v>-690015</v>
      </c>
      <c r="F65" s="98">
        <f t="shared" si="8"/>
        <v>-0.5044913375602452</v>
      </c>
    </row>
    <row r="66" spans="1:6" ht="18" customHeight="1">
      <c r="A66" s="99">
        <v>10</v>
      </c>
      <c r="B66" s="100" t="s">
        <v>236</v>
      </c>
      <c r="C66" s="97">
        <v>1548040</v>
      </c>
      <c r="D66" s="97">
        <v>1058628</v>
      </c>
      <c r="E66" s="97">
        <f t="shared" si="7"/>
        <v>-489412</v>
      </c>
      <c r="F66" s="98">
        <f t="shared" si="8"/>
        <v>-0.31614945350249346</v>
      </c>
    </row>
    <row r="67" spans="1:6" ht="18" customHeight="1">
      <c r="A67" s="99">
        <v>11</v>
      </c>
      <c r="B67" s="100" t="s">
        <v>237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246</v>
      </c>
      <c r="C68" s="103">
        <f>SUM(C57:C67)</f>
        <v>206475051</v>
      </c>
      <c r="D68" s="103">
        <f>SUM(D57:D67)</f>
        <v>215427371</v>
      </c>
      <c r="E68" s="103">
        <f t="shared" si="7"/>
        <v>8952320</v>
      </c>
      <c r="F68" s="104">
        <f t="shared" si="8"/>
        <v>0.043357877654671216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53085571</v>
      </c>
      <c r="D70" s="97">
        <v>58345514</v>
      </c>
      <c r="E70" s="97">
        <f aca="true" t="shared" si="9" ref="E70:E81">D70-C70</f>
        <v>5259943</v>
      </c>
      <c r="F70" s="98">
        <f aca="true" t="shared" si="10" ref="F70:F81">IF(C70=0,0,E70/C70)</f>
        <v>0.09908423138181936</v>
      </c>
    </row>
    <row r="71" spans="1:6" ht="18" customHeight="1">
      <c r="A71" s="99">
        <v>2</v>
      </c>
      <c r="B71" s="100" t="s">
        <v>228</v>
      </c>
      <c r="C71" s="97">
        <v>1975049</v>
      </c>
      <c r="D71" s="97">
        <v>3267824</v>
      </c>
      <c r="E71" s="97">
        <f t="shared" si="9"/>
        <v>1292775</v>
      </c>
      <c r="F71" s="98">
        <f t="shared" si="10"/>
        <v>0.6545533807009345</v>
      </c>
    </row>
    <row r="72" spans="1:6" ht="18" customHeight="1">
      <c r="A72" s="99">
        <v>3</v>
      </c>
      <c r="B72" s="100" t="s">
        <v>229</v>
      </c>
      <c r="C72" s="97">
        <v>2956279</v>
      </c>
      <c r="D72" s="97">
        <v>3363838</v>
      </c>
      <c r="E72" s="97">
        <f t="shared" si="9"/>
        <v>407559</v>
      </c>
      <c r="F72" s="98">
        <f t="shared" si="10"/>
        <v>0.13786215712387093</v>
      </c>
    </row>
    <row r="73" spans="1:6" ht="18" customHeight="1">
      <c r="A73" s="99">
        <v>4</v>
      </c>
      <c r="B73" s="100" t="s">
        <v>230</v>
      </c>
      <c r="C73" s="97">
        <v>5940901</v>
      </c>
      <c r="D73" s="97">
        <v>6357184</v>
      </c>
      <c r="E73" s="97">
        <f t="shared" si="9"/>
        <v>416283</v>
      </c>
      <c r="F73" s="98">
        <f t="shared" si="10"/>
        <v>0.07007068456451303</v>
      </c>
    </row>
    <row r="74" spans="1:6" ht="18" customHeight="1">
      <c r="A74" s="99">
        <v>5</v>
      </c>
      <c r="B74" s="100" t="s">
        <v>231</v>
      </c>
      <c r="C74" s="97">
        <v>113713</v>
      </c>
      <c r="D74" s="97">
        <v>141290</v>
      </c>
      <c r="E74" s="97">
        <f t="shared" si="9"/>
        <v>27577</v>
      </c>
      <c r="F74" s="98">
        <f t="shared" si="10"/>
        <v>0.2425140485256743</v>
      </c>
    </row>
    <row r="75" spans="1:6" ht="18" customHeight="1">
      <c r="A75" s="99">
        <v>6</v>
      </c>
      <c r="B75" s="100" t="s">
        <v>232</v>
      </c>
      <c r="C75" s="97">
        <v>82934380</v>
      </c>
      <c r="D75" s="97">
        <v>87182001</v>
      </c>
      <c r="E75" s="97">
        <f t="shared" si="9"/>
        <v>4247621</v>
      </c>
      <c r="F75" s="98">
        <f t="shared" si="10"/>
        <v>0.05121664863232835</v>
      </c>
    </row>
    <row r="76" spans="1:6" ht="18" customHeight="1">
      <c r="A76" s="99">
        <v>7</v>
      </c>
      <c r="B76" s="100" t="s">
        <v>233</v>
      </c>
      <c r="C76" s="97">
        <v>53485450</v>
      </c>
      <c r="D76" s="97">
        <v>62018020</v>
      </c>
      <c r="E76" s="97">
        <f t="shared" si="9"/>
        <v>8532570</v>
      </c>
      <c r="F76" s="98">
        <f t="shared" si="10"/>
        <v>0.1595306760997617</v>
      </c>
    </row>
    <row r="77" spans="1:6" ht="18" customHeight="1">
      <c r="A77" s="99">
        <v>8</v>
      </c>
      <c r="B77" s="100" t="s">
        <v>234</v>
      </c>
      <c r="C77" s="97">
        <v>3241545</v>
      </c>
      <c r="D77" s="97">
        <v>2734484</v>
      </c>
      <c r="E77" s="97">
        <f t="shared" si="9"/>
        <v>-507061</v>
      </c>
      <c r="F77" s="98">
        <f t="shared" si="10"/>
        <v>-0.15642571674926617</v>
      </c>
    </row>
    <row r="78" spans="1:6" ht="18" customHeight="1">
      <c r="A78" s="99">
        <v>9</v>
      </c>
      <c r="B78" s="100" t="s">
        <v>235</v>
      </c>
      <c r="C78" s="97">
        <v>3278718</v>
      </c>
      <c r="D78" s="97">
        <v>2117482</v>
      </c>
      <c r="E78" s="97">
        <f t="shared" si="9"/>
        <v>-1161236</v>
      </c>
      <c r="F78" s="98">
        <f t="shared" si="10"/>
        <v>-0.35417379597757415</v>
      </c>
    </row>
    <row r="79" spans="1:6" ht="18" customHeight="1">
      <c r="A79" s="99">
        <v>10</v>
      </c>
      <c r="B79" s="100" t="s">
        <v>236</v>
      </c>
      <c r="C79" s="97">
        <v>1823202</v>
      </c>
      <c r="D79" s="97">
        <v>2585492</v>
      </c>
      <c r="E79" s="97">
        <f t="shared" si="9"/>
        <v>762290</v>
      </c>
      <c r="F79" s="98">
        <f t="shared" si="10"/>
        <v>0.4181050700909718</v>
      </c>
    </row>
    <row r="80" spans="1:6" ht="18" customHeight="1">
      <c r="A80" s="99">
        <v>11</v>
      </c>
      <c r="B80" s="100" t="s">
        <v>237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248</v>
      </c>
      <c r="C81" s="103">
        <f>SUM(C70:C80)</f>
        <v>208834808</v>
      </c>
      <c r="D81" s="103">
        <f>SUM(D70:D80)</f>
        <v>228113129</v>
      </c>
      <c r="E81" s="103">
        <f t="shared" si="9"/>
        <v>19278321</v>
      </c>
      <c r="F81" s="104">
        <f t="shared" si="10"/>
        <v>0.09231373440389305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132047269</v>
      </c>
      <c r="D84" s="103">
        <f t="shared" si="11"/>
        <v>139865349</v>
      </c>
      <c r="E84" s="103">
        <f aca="true" t="shared" si="12" ref="E84:E95">D84-C84</f>
        <v>7818080</v>
      </c>
      <c r="F84" s="104">
        <f aca="true" t="shared" si="13" ref="F84:F95">IF(C84=0,0,E84/C84)</f>
        <v>0.05920667696656415</v>
      </c>
    </row>
    <row r="85" spans="1:6" ht="18" customHeight="1">
      <c r="A85" s="114">
        <v>2</v>
      </c>
      <c r="B85" s="106" t="s">
        <v>228</v>
      </c>
      <c r="C85" s="103">
        <f t="shared" si="11"/>
        <v>4960529</v>
      </c>
      <c r="D85" s="103">
        <f t="shared" si="11"/>
        <v>8167227</v>
      </c>
      <c r="E85" s="103">
        <f t="shared" si="12"/>
        <v>3206698</v>
      </c>
      <c r="F85" s="104">
        <f t="shared" si="13"/>
        <v>0.646442748343977</v>
      </c>
    </row>
    <row r="86" spans="1:6" ht="18" customHeight="1">
      <c r="A86" s="114">
        <v>3</v>
      </c>
      <c r="B86" s="106" t="s">
        <v>229</v>
      </c>
      <c r="C86" s="103">
        <f t="shared" si="11"/>
        <v>11949262</v>
      </c>
      <c r="D86" s="103">
        <f t="shared" si="11"/>
        <v>13227137</v>
      </c>
      <c r="E86" s="103">
        <f t="shared" si="12"/>
        <v>1277875</v>
      </c>
      <c r="F86" s="104">
        <f t="shared" si="13"/>
        <v>0.10694175087967776</v>
      </c>
    </row>
    <row r="87" spans="1:6" ht="18" customHeight="1">
      <c r="A87" s="114">
        <v>4</v>
      </c>
      <c r="B87" s="106" t="s">
        <v>230</v>
      </c>
      <c r="C87" s="103">
        <f t="shared" si="11"/>
        <v>8855379</v>
      </c>
      <c r="D87" s="103">
        <f t="shared" si="11"/>
        <v>9724908</v>
      </c>
      <c r="E87" s="103">
        <f t="shared" si="12"/>
        <v>869529</v>
      </c>
      <c r="F87" s="104">
        <f t="shared" si="13"/>
        <v>0.09819218353048469</v>
      </c>
    </row>
    <row r="88" spans="1:6" ht="18" customHeight="1">
      <c r="A88" s="114">
        <v>5</v>
      </c>
      <c r="B88" s="106" t="s">
        <v>231</v>
      </c>
      <c r="C88" s="103">
        <f t="shared" si="11"/>
        <v>183815</v>
      </c>
      <c r="D88" s="103">
        <f t="shared" si="11"/>
        <v>293618</v>
      </c>
      <c r="E88" s="103">
        <f t="shared" si="12"/>
        <v>109803</v>
      </c>
      <c r="F88" s="104">
        <f t="shared" si="13"/>
        <v>0.5973560373201316</v>
      </c>
    </row>
    <row r="89" spans="1:6" ht="18" customHeight="1">
      <c r="A89" s="114">
        <v>6</v>
      </c>
      <c r="B89" s="106" t="s">
        <v>232</v>
      </c>
      <c r="C89" s="103">
        <f t="shared" si="11"/>
        <v>150220480</v>
      </c>
      <c r="D89" s="103">
        <f t="shared" si="11"/>
        <v>157502611</v>
      </c>
      <c r="E89" s="103">
        <f t="shared" si="12"/>
        <v>7282131</v>
      </c>
      <c r="F89" s="104">
        <f t="shared" si="13"/>
        <v>0.048476286322610605</v>
      </c>
    </row>
    <row r="90" spans="1:6" ht="18" customHeight="1">
      <c r="A90" s="114">
        <v>7</v>
      </c>
      <c r="B90" s="106" t="s">
        <v>233</v>
      </c>
      <c r="C90" s="103">
        <f t="shared" si="11"/>
        <v>92912198</v>
      </c>
      <c r="D90" s="103">
        <f t="shared" si="11"/>
        <v>103381580</v>
      </c>
      <c r="E90" s="103">
        <f t="shared" si="12"/>
        <v>10469382</v>
      </c>
      <c r="F90" s="104">
        <f t="shared" si="13"/>
        <v>0.11268038239715306</v>
      </c>
    </row>
    <row r="91" spans="1:6" ht="18" customHeight="1">
      <c r="A91" s="114">
        <v>8</v>
      </c>
      <c r="B91" s="106" t="s">
        <v>234</v>
      </c>
      <c r="C91" s="103">
        <f t="shared" si="11"/>
        <v>6163223</v>
      </c>
      <c r="D91" s="103">
        <f t="shared" si="11"/>
        <v>4938739</v>
      </c>
      <c r="E91" s="103">
        <f t="shared" si="12"/>
        <v>-1224484</v>
      </c>
      <c r="F91" s="104">
        <f t="shared" si="13"/>
        <v>-0.1986759200502724</v>
      </c>
    </row>
    <row r="92" spans="1:6" ht="18" customHeight="1">
      <c r="A92" s="114">
        <v>9</v>
      </c>
      <c r="B92" s="106" t="s">
        <v>235</v>
      </c>
      <c r="C92" s="103">
        <f t="shared" si="11"/>
        <v>4646462</v>
      </c>
      <c r="D92" s="103">
        <f t="shared" si="11"/>
        <v>2795211</v>
      </c>
      <c r="E92" s="103">
        <f t="shared" si="12"/>
        <v>-1851251</v>
      </c>
      <c r="F92" s="104">
        <f t="shared" si="13"/>
        <v>-0.39842163779667195</v>
      </c>
    </row>
    <row r="93" spans="1:6" ht="18" customHeight="1">
      <c r="A93" s="114">
        <v>10</v>
      </c>
      <c r="B93" s="106" t="s">
        <v>236</v>
      </c>
      <c r="C93" s="103">
        <f t="shared" si="11"/>
        <v>3371242</v>
      </c>
      <c r="D93" s="103">
        <f t="shared" si="11"/>
        <v>3644120</v>
      </c>
      <c r="E93" s="103">
        <f t="shared" si="12"/>
        <v>272878</v>
      </c>
      <c r="F93" s="104">
        <f t="shared" si="13"/>
        <v>0.08094286912657116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249</v>
      </c>
      <c r="C95" s="112">
        <f>SUM(C84:C94)</f>
        <v>415309859</v>
      </c>
      <c r="D95" s="112">
        <f>SUM(D84:D94)</f>
        <v>443540500</v>
      </c>
      <c r="E95" s="112">
        <f t="shared" si="12"/>
        <v>28230641</v>
      </c>
      <c r="F95" s="113">
        <f t="shared" si="13"/>
        <v>0.06797488763684756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8127</v>
      </c>
      <c r="D100" s="117">
        <v>8118</v>
      </c>
      <c r="E100" s="117">
        <f aca="true" t="shared" si="14" ref="E100:E111">D100-C100</f>
        <v>-9</v>
      </c>
      <c r="F100" s="98">
        <f aca="true" t="shared" si="15" ref="F100:F111">IF(C100=0,0,E100/C100)</f>
        <v>-0.0011074197120708748</v>
      </c>
    </row>
    <row r="101" spans="1:6" ht="18" customHeight="1">
      <c r="A101" s="99">
        <v>2</v>
      </c>
      <c r="B101" s="100" t="s">
        <v>228</v>
      </c>
      <c r="C101" s="117">
        <v>255</v>
      </c>
      <c r="D101" s="117">
        <v>448</v>
      </c>
      <c r="E101" s="117">
        <f t="shared" si="14"/>
        <v>193</v>
      </c>
      <c r="F101" s="98">
        <f t="shared" si="15"/>
        <v>0.7568627450980392</v>
      </c>
    </row>
    <row r="102" spans="1:6" ht="18" customHeight="1">
      <c r="A102" s="99">
        <v>3</v>
      </c>
      <c r="B102" s="100" t="s">
        <v>229</v>
      </c>
      <c r="C102" s="117">
        <v>1451</v>
      </c>
      <c r="D102" s="117">
        <v>1386</v>
      </c>
      <c r="E102" s="117">
        <f t="shared" si="14"/>
        <v>-65</v>
      </c>
      <c r="F102" s="98">
        <f t="shared" si="15"/>
        <v>-0.044796691936595454</v>
      </c>
    </row>
    <row r="103" spans="1:6" ht="18" customHeight="1">
      <c r="A103" s="99">
        <v>4</v>
      </c>
      <c r="B103" s="100" t="s">
        <v>230</v>
      </c>
      <c r="C103" s="117">
        <v>819</v>
      </c>
      <c r="D103" s="117">
        <v>926</v>
      </c>
      <c r="E103" s="117">
        <f t="shared" si="14"/>
        <v>107</v>
      </c>
      <c r="F103" s="98">
        <f t="shared" si="15"/>
        <v>0.13064713064713065</v>
      </c>
    </row>
    <row r="104" spans="1:6" ht="18" customHeight="1">
      <c r="A104" s="99">
        <v>5</v>
      </c>
      <c r="B104" s="100" t="s">
        <v>231</v>
      </c>
      <c r="C104" s="117">
        <v>14</v>
      </c>
      <c r="D104" s="117">
        <v>25</v>
      </c>
      <c r="E104" s="117">
        <f t="shared" si="14"/>
        <v>11</v>
      </c>
      <c r="F104" s="98">
        <f t="shared" si="15"/>
        <v>0.7857142857142857</v>
      </c>
    </row>
    <row r="105" spans="1:6" ht="18" customHeight="1">
      <c r="A105" s="99">
        <v>6</v>
      </c>
      <c r="B105" s="100" t="s">
        <v>232</v>
      </c>
      <c r="C105" s="117">
        <v>4527</v>
      </c>
      <c r="D105" s="117">
        <v>4702</v>
      </c>
      <c r="E105" s="117">
        <f t="shared" si="14"/>
        <v>175</v>
      </c>
      <c r="F105" s="98">
        <f t="shared" si="15"/>
        <v>0.03865694720565496</v>
      </c>
    </row>
    <row r="106" spans="1:6" ht="18" customHeight="1">
      <c r="A106" s="99">
        <v>7</v>
      </c>
      <c r="B106" s="100" t="s">
        <v>233</v>
      </c>
      <c r="C106" s="117">
        <v>4296</v>
      </c>
      <c r="D106" s="117">
        <v>3920</v>
      </c>
      <c r="E106" s="117">
        <f t="shared" si="14"/>
        <v>-376</v>
      </c>
      <c r="F106" s="98">
        <f t="shared" si="15"/>
        <v>-0.08752327746741155</v>
      </c>
    </row>
    <row r="107" spans="1:6" ht="18" customHeight="1">
      <c r="A107" s="99">
        <v>8</v>
      </c>
      <c r="B107" s="100" t="s">
        <v>234</v>
      </c>
      <c r="C107" s="117">
        <v>143</v>
      </c>
      <c r="D107" s="117">
        <v>105</v>
      </c>
      <c r="E107" s="117">
        <f t="shared" si="14"/>
        <v>-38</v>
      </c>
      <c r="F107" s="98">
        <f t="shared" si="15"/>
        <v>-0.26573426573426573</v>
      </c>
    </row>
    <row r="108" spans="1:6" ht="18" customHeight="1">
      <c r="A108" s="99">
        <v>9</v>
      </c>
      <c r="B108" s="100" t="s">
        <v>235</v>
      </c>
      <c r="C108" s="117">
        <v>345</v>
      </c>
      <c r="D108" s="117">
        <v>322</v>
      </c>
      <c r="E108" s="117">
        <f t="shared" si="14"/>
        <v>-23</v>
      </c>
      <c r="F108" s="98">
        <f t="shared" si="15"/>
        <v>-0.06666666666666667</v>
      </c>
    </row>
    <row r="109" spans="1:6" ht="18" customHeight="1">
      <c r="A109" s="99">
        <v>10</v>
      </c>
      <c r="B109" s="100" t="s">
        <v>236</v>
      </c>
      <c r="C109" s="117">
        <v>486</v>
      </c>
      <c r="D109" s="117">
        <v>545</v>
      </c>
      <c r="E109" s="117">
        <f t="shared" si="14"/>
        <v>59</v>
      </c>
      <c r="F109" s="98">
        <f t="shared" si="15"/>
        <v>0.12139917695473251</v>
      </c>
    </row>
    <row r="110" spans="1:6" ht="18" customHeight="1">
      <c r="A110" s="99">
        <v>11</v>
      </c>
      <c r="B110" s="100" t="s">
        <v>237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253</v>
      </c>
      <c r="C111" s="118">
        <f>SUM(C100:C110)</f>
        <v>20463</v>
      </c>
      <c r="D111" s="118">
        <f>SUM(D100:D110)</f>
        <v>20497</v>
      </c>
      <c r="E111" s="118">
        <f t="shared" si="14"/>
        <v>34</v>
      </c>
      <c r="F111" s="104">
        <f t="shared" si="15"/>
        <v>0.0016615354542344719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41776</v>
      </c>
      <c r="D113" s="117">
        <v>44115</v>
      </c>
      <c r="E113" s="117">
        <f aca="true" t="shared" si="16" ref="E113:E124">D113-C113</f>
        <v>2339</v>
      </c>
      <c r="F113" s="98">
        <f aca="true" t="shared" si="17" ref="F113:F124">IF(C113=0,0,E113/C113)</f>
        <v>0.05598908464189965</v>
      </c>
    </row>
    <row r="114" spans="1:6" ht="18" customHeight="1">
      <c r="A114" s="99">
        <v>2</v>
      </c>
      <c r="B114" s="100" t="s">
        <v>228</v>
      </c>
      <c r="C114" s="117">
        <v>1192</v>
      </c>
      <c r="D114" s="117">
        <v>2296</v>
      </c>
      <c r="E114" s="117">
        <f t="shared" si="16"/>
        <v>1104</v>
      </c>
      <c r="F114" s="98">
        <f t="shared" si="17"/>
        <v>0.9261744966442953</v>
      </c>
    </row>
    <row r="115" spans="1:6" ht="18" customHeight="1">
      <c r="A115" s="99">
        <v>3</v>
      </c>
      <c r="B115" s="100" t="s">
        <v>229</v>
      </c>
      <c r="C115" s="117">
        <v>6290</v>
      </c>
      <c r="D115" s="117">
        <v>6734</v>
      </c>
      <c r="E115" s="117">
        <f t="shared" si="16"/>
        <v>444</v>
      </c>
      <c r="F115" s="98">
        <f t="shared" si="17"/>
        <v>0.07058823529411765</v>
      </c>
    </row>
    <row r="116" spans="1:6" ht="18" customHeight="1">
      <c r="A116" s="99">
        <v>4</v>
      </c>
      <c r="B116" s="100" t="s">
        <v>230</v>
      </c>
      <c r="C116" s="117">
        <v>2596</v>
      </c>
      <c r="D116" s="117">
        <v>2921</v>
      </c>
      <c r="E116" s="117">
        <f t="shared" si="16"/>
        <v>325</v>
      </c>
      <c r="F116" s="98">
        <f t="shared" si="17"/>
        <v>0.12519260400616333</v>
      </c>
    </row>
    <row r="117" spans="1:6" ht="18" customHeight="1">
      <c r="A117" s="99">
        <v>5</v>
      </c>
      <c r="B117" s="100" t="s">
        <v>231</v>
      </c>
      <c r="C117" s="117">
        <v>51</v>
      </c>
      <c r="D117" s="117">
        <v>102</v>
      </c>
      <c r="E117" s="117">
        <f t="shared" si="16"/>
        <v>51</v>
      </c>
      <c r="F117" s="98">
        <f t="shared" si="17"/>
        <v>1</v>
      </c>
    </row>
    <row r="118" spans="1:6" ht="18" customHeight="1">
      <c r="A118" s="99">
        <v>6</v>
      </c>
      <c r="B118" s="100" t="s">
        <v>232</v>
      </c>
      <c r="C118" s="117">
        <v>16524</v>
      </c>
      <c r="D118" s="117">
        <v>17793</v>
      </c>
      <c r="E118" s="117">
        <f t="shared" si="16"/>
        <v>1269</v>
      </c>
      <c r="F118" s="98">
        <f t="shared" si="17"/>
        <v>0.07679738562091504</v>
      </c>
    </row>
    <row r="119" spans="1:6" ht="18" customHeight="1">
      <c r="A119" s="99">
        <v>7</v>
      </c>
      <c r="B119" s="100" t="s">
        <v>233</v>
      </c>
      <c r="C119" s="117">
        <v>15241</v>
      </c>
      <c r="D119" s="117">
        <v>13913</v>
      </c>
      <c r="E119" s="117">
        <f t="shared" si="16"/>
        <v>-1328</v>
      </c>
      <c r="F119" s="98">
        <f t="shared" si="17"/>
        <v>-0.0871333901974936</v>
      </c>
    </row>
    <row r="120" spans="1:6" ht="18" customHeight="1">
      <c r="A120" s="99">
        <v>8</v>
      </c>
      <c r="B120" s="100" t="s">
        <v>234</v>
      </c>
      <c r="C120" s="117">
        <v>490</v>
      </c>
      <c r="D120" s="117">
        <v>279</v>
      </c>
      <c r="E120" s="117">
        <f t="shared" si="16"/>
        <v>-211</v>
      </c>
      <c r="F120" s="98">
        <f t="shared" si="17"/>
        <v>-0.4306122448979592</v>
      </c>
    </row>
    <row r="121" spans="1:6" ht="18" customHeight="1">
      <c r="A121" s="99">
        <v>9</v>
      </c>
      <c r="B121" s="100" t="s">
        <v>235</v>
      </c>
      <c r="C121" s="117">
        <v>1298</v>
      </c>
      <c r="D121" s="117">
        <v>1041</v>
      </c>
      <c r="E121" s="117">
        <f t="shared" si="16"/>
        <v>-257</v>
      </c>
      <c r="F121" s="98">
        <f t="shared" si="17"/>
        <v>-0.19799691833590138</v>
      </c>
    </row>
    <row r="122" spans="1:6" ht="18" customHeight="1">
      <c r="A122" s="99">
        <v>10</v>
      </c>
      <c r="B122" s="100" t="s">
        <v>236</v>
      </c>
      <c r="C122" s="117">
        <v>2186</v>
      </c>
      <c r="D122" s="117">
        <v>2600</v>
      </c>
      <c r="E122" s="117">
        <f t="shared" si="16"/>
        <v>414</v>
      </c>
      <c r="F122" s="98">
        <f t="shared" si="17"/>
        <v>0.18938700823421775</v>
      </c>
    </row>
    <row r="123" spans="1:6" ht="18" customHeight="1">
      <c r="A123" s="99">
        <v>11</v>
      </c>
      <c r="B123" s="100" t="s">
        <v>237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255</v>
      </c>
      <c r="C124" s="118">
        <f>SUM(C113:C123)</f>
        <v>87644</v>
      </c>
      <c r="D124" s="118">
        <f>SUM(D113:D123)</f>
        <v>91794</v>
      </c>
      <c r="E124" s="118">
        <f t="shared" si="16"/>
        <v>4150</v>
      </c>
      <c r="F124" s="104">
        <f t="shared" si="17"/>
        <v>0.04735064579434987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52658</v>
      </c>
      <c r="D126" s="117">
        <v>51777</v>
      </c>
      <c r="E126" s="117">
        <f aca="true" t="shared" si="18" ref="E126:E137">D126-C126</f>
        <v>-881</v>
      </c>
      <c r="F126" s="98">
        <f aca="true" t="shared" si="19" ref="F126:F137">IF(C126=0,0,E126/C126)</f>
        <v>-0.016730601238178433</v>
      </c>
    </row>
    <row r="127" spans="1:6" ht="18" customHeight="1">
      <c r="A127" s="99">
        <v>2</v>
      </c>
      <c r="B127" s="100" t="s">
        <v>228</v>
      </c>
      <c r="C127" s="117">
        <v>1647</v>
      </c>
      <c r="D127" s="117">
        <v>3125</v>
      </c>
      <c r="E127" s="117">
        <f t="shared" si="18"/>
        <v>1478</v>
      </c>
      <c r="F127" s="98">
        <f t="shared" si="19"/>
        <v>0.8973891924711597</v>
      </c>
    </row>
    <row r="128" spans="1:6" ht="18" customHeight="1">
      <c r="A128" s="99">
        <v>3</v>
      </c>
      <c r="B128" s="100" t="s">
        <v>229</v>
      </c>
      <c r="C128" s="117">
        <v>6510</v>
      </c>
      <c r="D128" s="117">
        <v>6326</v>
      </c>
      <c r="E128" s="117">
        <f t="shared" si="18"/>
        <v>-184</v>
      </c>
      <c r="F128" s="98">
        <f t="shared" si="19"/>
        <v>-0.0282642089093702</v>
      </c>
    </row>
    <row r="129" spans="1:6" ht="18" customHeight="1">
      <c r="A129" s="99">
        <v>4</v>
      </c>
      <c r="B129" s="100" t="s">
        <v>230</v>
      </c>
      <c r="C129" s="117">
        <v>17741</v>
      </c>
      <c r="D129" s="117">
        <v>19664</v>
      </c>
      <c r="E129" s="117">
        <f t="shared" si="18"/>
        <v>1923</v>
      </c>
      <c r="F129" s="98">
        <f t="shared" si="19"/>
        <v>0.1083929879939124</v>
      </c>
    </row>
    <row r="130" spans="1:6" ht="18" customHeight="1">
      <c r="A130" s="99">
        <v>5</v>
      </c>
      <c r="B130" s="100" t="s">
        <v>231</v>
      </c>
      <c r="C130" s="117">
        <v>203</v>
      </c>
      <c r="D130" s="117">
        <v>242</v>
      </c>
      <c r="E130" s="117">
        <f t="shared" si="18"/>
        <v>39</v>
      </c>
      <c r="F130" s="98">
        <f t="shared" si="19"/>
        <v>0.1921182266009852</v>
      </c>
    </row>
    <row r="131" spans="1:6" ht="18" customHeight="1">
      <c r="A131" s="99">
        <v>6</v>
      </c>
      <c r="B131" s="100" t="s">
        <v>232</v>
      </c>
      <c r="C131" s="117">
        <v>50168</v>
      </c>
      <c r="D131" s="117">
        <v>48838</v>
      </c>
      <c r="E131" s="117">
        <f t="shared" si="18"/>
        <v>-1330</v>
      </c>
      <c r="F131" s="98">
        <f t="shared" si="19"/>
        <v>-0.026510923297719664</v>
      </c>
    </row>
    <row r="132" spans="1:6" ht="18" customHeight="1">
      <c r="A132" s="99">
        <v>7</v>
      </c>
      <c r="B132" s="100" t="s">
        <v>233</v>
      </c>
      <c r="C132" s="117">
        <v>38162</v>
      </c>
      <c r="D132" s="117">
        <v>37649</v>
      </c>
      <c r="E132" s="117">
        <f t="shared" si="18"/>
        <v>-513</v>
      </c>
      <c r="F132" s="98">
        <f t="shared" si="19"/>
        <v>-0.013442691682825848</v>
      </c>
    </row>
    <row r="133" spans="1:6" ht="18" customHeight="1">
      <c r="A133" s="99">
        <v>8</v>
      </c>
      <c r="B133" s="100" t="s">
        <v>234</v>
      </c>
      <c r="C133" s="117">
        <v>1901</v>
      </c>
      <c r="D133" s="117">
        <v>1542</v>
      </c>
      <c r="E133" s="117">
        <f t="shared" si="18"/>
        <v>-359</v>
      </c>
      <c r="F133" s="98">
        <f t="shared" si="19"/>
        <v>-0.18884797475013151</v>
      </c>
    </row>
    <row r="134" spans="1:6" ht="18" customHeight="1">
      <c r="A134" s="99">
        <v>9</v>
      </c>
      <c r="B134" s="100" t="s">
        <v>235</v>
      </c>
      <c r="C134" s="117">
        <v>12993</v>
      </c>
      <c r="D134" s="117">
        <v>13183</v>
      </c>
      <c r="E134" s="117">
        <f t="shared" si="18"/>
        <v>190</v>
      </c>
      <c r="F134" s="98">
        <f t="shared" si="19"/>
        <v>0.014623258677749558</v>
      </c>
    </row>
    <row r="135" spans="1:6" ht="18" customHeight="1">
      <c r="A135" s="99">
        <v>10</v>
      </c>
      <c r="B135" s="100" t="s">
        <v>236</v>
      </c>
      <c r="C135" s="117">
        <v>5261</v>
      </c>
      <c r="D135" s="117">
        <v>5892</v>
      </c>
      <c r="E135" s="117">
        <f t="shared" si="18"/>
        <v>631</v>
      </c>
      <c r="F135" s="98">
        <f t="shared" si="19"/>
        <v>0.11993917506177533</v>
      </c>
    </row>
    <row r="136" spans="1:6" ht="18" customHeight="1">
      <c r="A136" s="99">
        <v>11</v>
      </c>
      <c r="B136" s="100" t="s">
        <v>237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258</v>
      </c>
      <c r="C137" s="118">
        <f>SUM(C126:C136)</f>
        <v>187244</v>
      </c>
      <c r="D137" s="118">
        <f>SUM(D126:D136)</f>
        <v>188238</v>
      </c>
      <c r="E137" s="118">
        <f t="shared" si="18"/>
        <v>994</v>
      </c>
      <c r="F137" s="104">
        <f t="shared" si="19"/>
        <v>0.0053085813163572665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15664362</v>
      </c>
      <c r="D142" s="97">
        <v>17170608</v>
      </c>
      <c r="E142" s="97">
        <f aca="true" t="shared" si="20" ref="E142:E153">D142-C142</f>
        <v>1506246</v>
      </c>
      <c r="F142" s="98">
        <f aca="true" t="shared" si="21" ref="F142:F153">IF(C142=0,0,E142/C142)</f>
        <v>0.09615750708519122</v>
      </c>
    </row>
    <row r="143" spans="1:6" ht="18" customHeight="1">
      <c r="A143" s="99">
        <v>2</v>
      </c>
      <c r="B143" s="100" t="s">
        <v>228</v>
      </c>
      <c r="C143" s="97">
        <v>566507</v>
      </c>
      <c r="D143" s="97">
        <v>1215866</v>
      </c>
      <c r="E143" s="97">
        <f t="shared" si="20"/>
        <v>649359</v>
      </c>
      <c r="F143" s="98">
        <f t="shared" si="21"/>
        <v>1.146250620027643</v>
      </c>
    </row>
    <row r="144" spans="1:6" ht="18" customHeight="1">
      <c r="A144" s="99">
        <v>3</v>
      </c>
      <c r="B144" s="100" t="s">
        <v>229</v>
      </c>
      <c r="C144" s="97">
        <v>3846417</v>
      </c>
      <c r="D144" s="97">
        <v>5045658</v>
      </c>
      <c r="E144" s="97">
        <f t="shared" si="20"/>
        <v>1199241</v>
      </c>
      <c r="F144" s="98">
        <f t="shared" si="21"/>
        <v>0.3117813279215436</v>
      </c>
    </row>
    <row r="145" spans="1:6" ht="18" customHeight="1">
      <c r="A145" s="99">
        <v>4</v>
      </c>
      <c r="B145" s="100" t="s">
        <v>230</v>
      </c>
      <c r="C145" s="97">
        <v>9204541</v>
      </c>
      <c r="D145" s="97">
        <v>11723566</v>
      </c>
      <c r="E145" s="97">
        <f t="shared" si="20"/>
        <v>2519025</v>
      </c>
      <c r="F145" s="98">
        <f t="shared" si="21"/>
        <v>0.2736719842955776</v>
      </c>
    </row>
    <row r="146" spans="1:6" ht="18" customHeight="1">
      <c r="A146" s="99">
        <v>5</v>
      </c>
      <c r="B146" s="100" t="s">
        <v>231</v>
      </c>
      <c r="C146" s="97">
        <v>195875</v>
      </c>
      <c r="D146" s="97">
        <v>252365</v>
      </c>
      <c r="E146" s="97">
        <f t="shared" si="20"/>
        <v>56490</v>
      </c>
      <c r="F146" s="98">
        <f t="shared" si="21"/>
        <v>0.2883982131461391</v>
      </c>
    </row>
    <row r="147" spans="1:6" ht="18" customHeight="1">
      <c r="A147" s="99">
        <v>6</v>
      </c>
      <c r="B147" s="100" t="s">
        <v>232</v>
      </c>
      <c r="C147" s="97">
        <v>26696106</v>
      </c>
      <c r="D147" s="97">
        <v>28938269</v>
      </c>
      <c r="E147" s="97">
        <f t="shared" si="20"/>
        <v>2242163</v>
      </c>
      <c r="F147" s="98">
        <f t="shared" si="21"/>
        <v>0.08398839141558698</v>
      </c>
    </row>
    <row r="148" spans="1:6" ht="18" customHeight="1">
      <c r="A148" s="99">
        <v>7</v>
      </c>
      <c r="B148" s="100" t="s">
        <v>233</v>
      </c>
      <c r="C148" s="97">
        <v>19708792</v>
      </c>
      <c r="D148" s="97">
        <v>20916565</v>
      </c>
      <c r="E148" s="97">
        <f t="shared" si="20"/>
        <v>1207773</v>
      </c>
      <c r="F148" s="98">
        <f t="shared" si="21"/>
        <v>0.06128092477712485</v>
      </c>
    </row>
    <row r="149" spans="1:6" ht="18" customHeight="1">
      <c r="A149" s="99">
        <v>8</v>
      </c>
      <c r="B149" s="100" t="s">
        <v>234</v>
      </c>
      <c r="C149" s="97">
        <v>2197385</v>
      </c>
      <c r="D149" s="97">
        <v>1906124</v>
      </c>
      <c r="E149" s="97">
        <f t="shared" si="20"/>
        <v>-291261</v>
      </c>
      <c r="F149" s="98">
        <f t="shared" si="21"/>
        <v>-0.1325489160979983</v>
      </c>
    </row>
    <row r="150" spans="1:6" ht="18" customHeight="1">
      <c r="A150" s="99">
        <v>9</v>
      </c>
      <c r="B150" s="100" t="s">
        <v>235</v>
      </c>
      <c r="C150" s="97">
        <v>9519121</v>
      </c>
      <c r="D150" s="97">
        <v>10844087</v>
      </c>
      <c r="E150" s="97">
        <f t="shared" si="20"/>
        <v>1324966</v>
      </c>
      <c r="F150" s="98">
        <f t="shared" si="21"/>
        <v>0.1391899525176747</v>
      </c>
    </row>
    <row r="151" spans="1:6" ht="18" customHeight="1">
      <c r="A151" s="99">
        <v>10</v>
      </c>
      <c r="B151" s="100" t="s">
        <v>236</v>
      </c>
      <c r="C151" s="97">
        <v>3657894</v>
      </c>
      <c r="D151" s="97">
        <v>4235982</v>
      </c>
      <c r="E151" s="97">
        <f t="shared" si="20"/>
        <v>578088</v>
      </c>
      <c r="F151" s="98">
        <f t="shared" si="21"/>
        <v>0.15803847787825454</v>
      </c>
    </row>
    <row r="152" spans="1:6" ht="18" customHeight="1">
      <c r="A152" s="99">
        <v>11</v>
      </c>
      <c r="B152" s="100" t="s">
        <v>237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262</v>
      </c>
      <c r="C153" s="103">
        <f>SUM(C142:C152)</f>
        <v>91257000</v>
      </c>
      <c r="D153" s="103">
        <f>SUM(D142:D152)</f>
        <v>102249090</v>
      </c>
      <c r="E153" s="103">
        <f t="shared" si="20"/>
        <v>10992090</v>
      </c>
      <c r="F153" s="104">
        <f t="shared" si="21"/>
        <v>0.12045202011900456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3793855</v>
      </c>
      <c r="D155" s="97">
        <v>3598350</v>
      </c>
      <c r="E155" s="97">
        <f aca="true" t="shared" si="22" ref="E155:E166">D155-C155</f>
        <v>-195505</v>
      </c>
      <c r="F155" s="98">
        <f aca="true" t="shared" si="23" ref="F155:F166">IF(C155=0,0,E155/C155)</f>
        <v>-0.051532016906286615</v>
      </c>
    </row>
    <row r="156" spans="1:6" ht="18" customHeight="1">
      <c r="A156" s="99">
        <v>2</v>
      </c>
      <c r="B156" s="100" t="s">
        <v>228</v>
      </c>
      <c r="C156" s="97">
        <v>109087</v>
      </c>
      <c r="D156" s="97">
        <v>292886</v>
      </c>
      <c r="E156" s="97">
        <f t="shared" si="22"/>
        <v>183799</v>
      </c>
      <c r="F156" s="98">
        <f t="shared" si="23"/>
        <v>1.6848845416960774</v>
      </c>
    </row>
    <row r="157" spans="1:6" ht="18" customHeight="1">
      <c r="A157" s="99">
        <v>3</v>
      </c>
      <c r="B157" s="100" t="s">
        <v>229</v>
      </c>
      <c r="C157" s="97">
        <v>871085</v>
      </c>
      <c r="D157" s="97">
        <v>1301767</v>
      </c>
      <c r="E157" s="97">
        <f t="shared" si="22"/>
        <v>430682</v>
      </c>
      <c r="F157" s="98">
        <f t="shared" si="23"/>
        <v>0.4944201771354116</v>
      </c>
    </row>
    <row r="158" spans="1:6" ht="18" customHeight="1">
      <c r="A158" s="99">
        <v>4</v>
      </c>
      <c r="B158" s="100" t="s">
        <v>230</v>
      </c>
      <c r="C158" s="97">
        <v>2124155</v>
      </c>
      <c r="D158" s="97">
        <v>2870842</v>
      </c>
      <c r="E158" s="97">
        <f t="shared" si="22"/>
        <v>746687</v>
      </c>
      <c r="F158" s="98">
        <f t="shared" si="23"/>
        <v>0.35152189929642613</v>
      </c>
    </row>
    <row r="159" spans="1:6" ht="18" customHeight="1">
      <c r="A159" s="99">
        <v>5</v>
      </c>
      <c r="B159" s="100" t="s">
        <v>231</v>
      </c>
      <c r="C159" s="97">
        <v>32398</v>
      </c>
      <c r="D159" s="97">
        <v>37265</v>
      </c>
      <c r="E159" s="97">
        <f t="shared" si="22"/>
        <v>4867</v>
      </c>
      <c r="F159" s="98">
        <f t="shared" si="23"/>
        <v>0.15022532255077473</v>
      </c>
    </row>
    <row r="160" spans="1:6" ht="18" customHeight="1">
      <c r="A160" s="99">
        <v>6</v>
      </c>
      <c r="B160" s="100" t="s">
        <v>232</v>
      </c>
      <c r="C160" s="97">
        <v>18020351</v>
      </c>
      <c r="D160" s="97">
        <v>19150902</v>
      </c>
      <c r="E160" s="97">
        <f t="shared" si="22"/>
        <v>1130551</v>
      </c>
      <c r="F160" s="98">
        <f t="shared" si="23"/>
        <v>0.06273745722267007</v>
      </c>
    </row>
    <row r="161" spans="1:6" ht="18" customHeight="1">
      <c r="A161" s="99">
        <v>7</v>
      </c>
      <c r="B161" s="100" t="s">
        <v>233</v>
      </c>
      <c r="C161" s="97">
        <v>12637566</v>
      </c>
      <c r="D161" s="97">
        <v>12719217</v>
      </c>
      <c r="E161" s="97">
        <f t="shared" si="22"/>
        <v>81651</v>
      </c>
      <c r="F161" s="98">
        <f t="shared" si="23"/>
        <v>0.006460975159298872</v>
      </c>
    </row>
    <row r="162" spans="1:6" ht="18" customHeight="1">
      <c r="A162" s="99">
        <v>8</v>
      </c>
      <c r="B162" s="100" t="s">
        <v>234</v>
      </c>
      <c r="C162" s="97">
        <v>1679688</v>
      </c>
      <c r="D162" s="97">
        <v>1306954</v>
      </c>
      <c r="E162" s="97">
        <f t="shared" si="22"/>
        <v>-372734</v>
      </c>
      <c r="F162" s="98">
        <f t="shared" si="23"/>
        <v>-0.22190668743242792</v>
      </c>
    </row>
    <row r="163" spans="1:6" ht="18" customHeight="1">
      <c r="A163" s="99">
        <v>9</v>
      </c>
      <c r="B163" s="100" t="s">
        <v>235</v>
      </c>
      <c r="C163" s="97">
        <v>2094736</v>
      </c>
      <c r="D163" s="97">
        <v>2392099</v>
      </c>
      <c r="E163" s="97">
        <f t="shared" si="22"/>
        <v>297363</v>
      </c>
      <c r="F163" s="98">
        <f t="shared" si="23"/>
        <v>0.14195726812352488</v>
      </c>
    </row>
    <row r="164" spans="1:6" ht="18" customHeight="1">
      <c r="A164" s="99">
        <v>10</v>
      </c>
      <c r="B164" s="100" t="s">
        <v>236</v>
      </c>
      <c r="C164" s="97">
        <v>809781</v>
      </c>
      <c r="D164" s="97">
        <v>57913</v>
      </c>
      <c r="E164" s="97">
        <f t="shared" si="22"/>
        <v>-751868</v>
      </c>
      <c r="F164" s="98">
        <f t="shared" si="23"/>
        <v>-0.9284831330940093</v>
      </c>
    </row>
    <row r="165" spans="1:6" ht="18" customHeight="1">
      <c r="A165" s="99">
        <v>11</v>
      </c>
      <c r="B165" s="100" t="s">
        <v>237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264</v>
      </c>
      <c r="C166" s="103">
        <f>SUM(C155:C165)</f>
        <v>42172702</v>
      </c>
      <c r="D166" s="103">
        <f>SUM(D155:D165)</f>
        <v>43728195</v>
      </c>
      <c r="E166" s="103">
        <f t="shared" si="22"/>
        <v>1555493</v>
      </c>
      <c r="F166" s="104">
        <f t="shared" si="23"/>
        <v>0.0368838828491473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7741</v>
      </c>
      <c r="D168" s="117">
        <v>7762</v>
      </c>
      <c r="E168" s="117">
        <f aca="true" t="shared" si="24" ref="E168:E179">D168-C168</f>
        <v>21</v>
      </c>
      <c r="F168" s="98">
        <f aca="true" t="shared" si="25" ref="F168:F179">IF(C168=0,0,E168/C168)</f>
        <v>0.0027128278000258365</v>
      </c>
    </row>
    <row r="169" spans="1:6" ht="18" customHeight="1">
      <c r="A169" s="99">
        <v>2</v>
      </c>
      <c r="B169" s="100" t="s">
        <v>228</v>
      </c>
      <c r="C169" s="117">
        <v>291</v>
      </c>
      <c r="D169" s="117">
        <v>548</v>
      </c>
      <c r="E169" s="117">
        <f t="shared" si="24"/>
        <v>257</v>
      </c>
      <c r="F169" s="98">
        <f t="shared" si="25"/>
        <v>0.8831615120274914</v>
      </c>
    </row>
    <row r="170" spans="1:6" ht="18" customHeight="1">
      <c r="A170" s="99">
        <v>3</v>
      </c>
      <c r="B170" s="100" t="s">
        <v>229</v>
      </c>
      <c r="C170" s="117">
        <v>2356</v>
      </c>
      <c r="D170" s="117">
        <v>2340</v>
      </c>
      <c r="E170" s="117">
        <f t="shared" si="24"/>
        <v>-16</v>
      </c>
      <c r="F170" s="98">
        <f t="shared" si="25"/>
        <v>-0.006791171477079796</v>
      </c>
    </row>
    <row r="171" spans="1:6" ht="18" customHeight="1">
      <c r="A171" s="99">
        <v>4</v>
      </c>
      <c r="B171" s="100" t="s">
        <v>230</v>
      </c>
      <c r="C171" s="117">
        <v>8056</v>
      </c>
      <c r="D171" s="117">
        <v>9421</v>
      </c>
      <c r="E171" s="117">
        <f t="shared" si="24"/>
        <v>1365</v>
      </c>
      <c r="F171" s="98">
        <f t="shared" si="25"/>
        <v>0.16943892750744788</v>
      </c>
    </row>
    <row r="172" spans="1:6" ht="18" customHeight="1">
      <c r="A172" s="99">
        <v>5</v>
      </c>
      <c r="B172" s="100" t="s">
        <v>231</v>
      </c>
      <c r="C172" s="117">
        <v>126</v>
      </c>
      <c r="D172" s="117">
        <v>149</v>
      </c>
      <c r="E172" s="117">
        <f t="shared" si="24"/>
        <v>23</v>
      </c>
      <c r="F172" s="98">
        <f t="shared" si="25"/>
        <v>0.18253968253968253</v>
      </c>
    </row>
    <row r="173" spans="1:6" ht="18" customHeight="1">
      <c r="A173" s="99">
        <v>6</v>
      </c>
      <c r="B173" s="100" t="s">
        <v>232</v>
      </c>
      <c r="C173" s="117">
        <v>15089</v>
      </c>
      <c r="D173" s="117">
        <v>14600</v>
      </c>
      <c r="E173" s="117">
        <f t="shared" si="24"/>
        <v>-489</v>
      </c>
      <c r="F173" s="98">
        <f t="shared" si="25"/>
        <v>-0.03240771422890848</v>
      </c>
    </row>
    <row r="174" spans="1:6" ht="18" customHeight="1">
      <c r="A174" s="99">
        <v>7</v>
      </c>
      <c r="B174" s="100" t="s">
        <v>233</v>
      </c>
      <c r="C174" s="117">
        <v>10985</v>
      </c>
      <c r="D174" s="117">
        <v>10668</v>
      </c>
      <c r="E174" s="117">
        <f t="shared" si="24"/>
        <v>-317</v>
      </c>
      <c r="F174" s="98">
        <f t="shared" si="25"/>
        <v>-0.028857532999544834</v>
      </c>
    </row>
    <row r="175" spans="1:6" ht="18" customHeight="1">
      <c r="A175" s="99">
        <v>8</v>
      </c>
      <c r="B175" s="100" t="s">
        <v>234</v>
      </c>
      <c r="C175" s="117">
        <v>1612</v>
      </c>
      <c r="D175" s="117">
        <v>1260</v>
      </c>
      <c r="E175" s="117">
        <f t="shared" si="24"/>
        <v>-352</v>
      </c>
      <c r="F175" s="98">
        <f t="shared" si="25"/>
        <v>-0.21836228287841192</v>
      </c>
    </row>
    <row r="176" spans="1:6" ht="18" customHeight="1">
      <c r="A176" s="99">
        <v>9</v>
      </c>
      <c r="B176" s="100" t="s">
        <v>235</v>
      </c>
      <c r="C176" s="117">
        <v>5900</v>
      </c>
      <c r="D176" s="117">
        <v>6064</v>
      </c>
      <c r="E176" s="117">
        <f t="shared" si="24"/>
        <v>164</v>
      </c>
      <c r="F176" s="98">
        <f t="shared" si="25"/>
        <v>0.027796610169491524</v>
      </c>
    </row>
    <row r="177" spans="1:6" ht="18" customHeight="1">
      <c r="A177" s="99">
        <v>10</v>
      </c>
      <c r="B177" s="100" t="s">
        <v>236</v>
      </c>
      <c r="C177" s="117">
        <v>2309</v>
      </c>
      <c r="D177" s="117">
        <v>2885</v>
      </c>
      <c r="E177" s="117">
        <f t="shared" si="24"/>
        <v>576</v>
      </c>
      <c r="F177" s="98">
        <f t="shared" si="25"/>
        <v>0.2494586401039411</v>
      </c>
    </row>
    <row r="178" spans="1:6" ht="18" customHeight="1">
      <c r="A178" s="99">
        <v>11</v>
      </c>
      <c r="B178" s="100" t="s">
        <v>237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266</v>
      </c>
      <c r="C179" s="118">
        <f>SUM(C168:C178)</f>
        <v>54465</v>
      </c>
      <c r="D179" s="118">
        <f>SUM(D168:D178)</f>
        <v>55697</v>
      </c>
      <c r="E179" s="118">
        <f t="shared" si="24"/>
        <v>1232</v>
      </c>
      <c r="F179" s="104">
        <f t="shared" si="25"/>
        <v>0.022620031212705408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64" r:id="rId1"/>
  <headerFooter alignWithMargins="0">
    <oddHeader>&amp;LOFFICE OF HEALTH CARE ACCESS&amp;CTWELVE MONTHS ACTUAL FILING&amp;RDANBURY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47873276</v>
      </c>
      <c r="D15" s="146">
        <v>52331167</v>
      </c>
      <c r="E15" s="146">
        <f>+D15-C15</f>
        <v>4457891</v>
      </c>
      <c r="F15" s="150">
        <f>IF(C15=0,0,E15/C15)</f>
        <v>0.09311856995121871</v>
      </c>
    </row>
    <row r="16" spans="1:6" ht="15" customHeight="1">
      <c r="A16" s="141">
        <v>2</v>
      </c>
      <c r="B16" s="149" t="s">
        <v>273</v>
      </c>
      <c r="C16" s="146">
        <v>5838996</v>
      </c>
      <c r="D16" s="146">
        <v>5994805</v>
      </c>
      <c r="E16" s="146">
        <f>+D16-C16</f>
        <v>155809</v>
      </c>
      <c r="F16" s="150">
        <f>IF(C16=0,0,E16/C16)</f>
        <v>0.026684210778702366</v>
      </c>
    </row>
    <row r="17" spans="1:6" ht="15" customHeight="1">
      <c r="A17" s="141">
        <v>3</v>
      </c>
      <c r="B17" s="149" t="s">
        <v>274</v>
      </c>
      <c r="C17" s="146">
        <v>117695891</v>
      </c>
      <c r="D17" s="146">
        <v>123640954</v>
      </c>
      <c r="E17" s="146">
        <f>+D17-C17</f>
        <v>5945063</v>
      </c>
      <c r="F17" s="150">
        <f>IF(C17=0,0,E17/C17)</f>
        <v>0.050512069278612286</v>
      </c>
    </row>
    <row r="18" spans="1:7" ht="15.75" customHeight="1">
      <c r="A18" s="141"/>
      <c r="B18" s="151" t="s">
        <v>275</v>
      </c>
      <c r="C18" s="147">
        <f>SUM(C15:C17)</f>
        <v>171408163</v>
      </c>
      <c r="D18" s="147">
        <f>SUM(D15:D17)</f>
        <v>181966926</v>
      </c>
      <c r="E18" s="147">
        <f>+D18-C18</f>
        <v>10558763</v>
      </c>
      <c r="F18" s="148">
        <f>IF(C18=0,0,E18/C18)</f>
        <v>0.06160011760933463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12534452</v>
      </c>
      <c r="D21" s="146">
        <v>14967226</v>
      </c>
      <c r="E21" s="146">
        <f>+D21-C21</f>
        <v>2432774</v>
      </c>
      <c r="F21" s="150">
        <f>IF(C21=0,0,E21/C21)</f>
        <v>0.19408698521483028</v>
      </c>
    </row>
    <row r="22" spans="1:6" ht="15" customHeight="1">
      <c r="A22" s="141">
        <v>2</v>
      </c>
      <c r="B22" s="149" t="s">
        <v>278</v>
      </c>
      <c r="C22" s="146">
        <v>1528799</v>
      </c>
      <c r="D22" s="146">
        <v>1714573</v>
      </c>
      <c r="E22" s="146">
        <f>+D22-C22</f>
        <v>185774</v>
      </c>
      <c r="F22" s="150">
        <f>IF(C22=0,0,E22/C22)</f>
        <v>0.12151630135812491</v>
      </c>
    </row>
    <row r="23" spans="1:6" ht="15" customHeight="1">
      <c r="A23" s="141">
        <v>3</v>
      </c>
      <c r="B23" s="149" t="s">
        <v>279</v>
      </c>
      <c r="C23" s="146">
        <v>30815804</v>
      </c>
      <c r="D23" s="146">
        <v>35362523</v>
      </c>
      <c r="E23" s="146">
        <f>+D23-C23</f>
        <v>4546719</v>
      </c>
      <c r="F23" s="150">
        <f>IF(C23=0,0,E23/C23)</f>
        <v>0.1475450389027656</v>
      </c>
    </row>
    <row r="24" spans="1:7" ht="15.75" customHeight="1">
      <c r="A24" s="141"/>
      <c r="B24" s="151" t="s">
        <v>280</v>
      </c>
      <c r="C24" s="147">
        <f>SUM(C21:C23)</f>
        <v>44879055</v>
      </c>
      <c r="D24" s="147">
        <f>SUM(D21:D23)</f>
        <v>52044322</v>
      </c>
      <c r="E24" s="147">
        <f>+D24-C24</f>
        <v>7165267</v>
      </c>
      <c r="F24" s="148">
        <f>IF(C24=0,0,E24/C24)</f>
        <v>0.15965726105418218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894176</v>
      </c>
      <c r="D27" s="146">
        <v>277783</v>
      </c>
      <c r="E27" s="146">
        <f>+D27-C27</f>
        <v>-616393</v>
      </c>
      <c r="F27" s="150">
        <f>IF(C27=0,0,E27/C27)</f>
        <v>-0.6893419192642164</v>
      </c>
    </row>
    <row r="28" spans="1:6" ht="15" customHeight="1">
      <c r="A28" s="141">
        <v>2</v>
      </c>
      <c r="B28" s="149" t="s">
        <v>283</v>
      </c>
      <c r="C28" s="146">
        <v>36821249</v>
      </c>
      <c r="D28" s="146">
        <v>38638408</v>
      </c>
      <c r="E28" s="146">
        <f>+D28-C28</f>
        <v>1817159</v>
      </c>
      <c r="F28" s="150">
        <f>IF(C28=0,0,E28/C28)</f>
        <v>0.04935082457414739</v>
      </c>
    </row>
    <row r="29" spans="1:6" ht="15" customHeight="1">
      <c r="A29" s="141">
        <v>3</v>
      </c>
      <c r="B29" s="149" t="s">
        <v>284</v>
      </c>
      <c r="C29" s="146">
        <v>545768</v>
      </c>
      <c r="D29" s="146">
        <v>418269</v>
      </c>
      <c r="E29" s="146">
        <f>+D29-C29</f>
        <v>-127499</v>
      </c>
      <c r="F29" s="150">
        <f>IF(C29=0,0,E29/C29)</f>
        <v>-0.233613916535964</v>
      </c>
    </row>
    <row r="30" spans="1:7" ht="15.75" customHeight="1">
      <c r="A30" s="141"/>
      <c r="B30" s="151" t="s">
        <v>285</v>
      </c>
      <c r="C30" s="147">
        <f>SUM(C27:C29)</f>
        <v>38261193</v>
      </c>
      <c r="D30" s="147">
        <f>SUM(D27:D29)</f>
        <v>39334460</v>
      </c>
      <c r="E30" s="147">
        <f>+D30-C30</f>
        <v>1073267</v>
      </c>
      <c r="F30" s="148">
        <f>IF(C30=0,0,E30/C30)</f>
        <v>0.02805105946382801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42947982</v>
      </c>
      <c r="D33" s="146">
        <v>45038934</v>
      </c>
      <c r="E33" s="146">
        <f>+D33-C33</f>
        <v>2090952</v>
      </c>
      <c r="F33" s="150">
        <f>IF(C33=0,0,E33/C33)</f>
        <v>0.04868568679198944</v>
      </c>
    </row>
    <row r="34" spans="1:6" ht="15" customHeight="1">
      <c r="A34" s="141">
        <v>2</v>
      </c>
      <c r="B34" s="149" t="s">
        <v>289</v>
      </c>
      <c r="C34" s="146">
        <v>13529487</v>
      </c>
      <c r="D34" s="146">
        <v>17484621</v>
      </c>
      <c r="E34" s="146">
        <f>+D34-C34</f>
        <v>3955134</v>
      </c>
      <c r="F34" s="150">
        <f>IF(C34=0,0,E34/C34)</f>
        <v>0.2923343656710709</v>
      </c>
    </row>
    <row r="35" spans="1:7" ht="15.75" customHeight="1">
      <c r="A35" s="141"/>
      <c r="B35" s="151" t="s">
        <v>290</v>
      </c>
      <c r="C35" s="147">
        <f>SUM(C33:C34)</f>
        <v>56477469</v>
      </c>
      <c r="D35" s="147">
        <f>SUM(D33:D34)</f>
        <v>62523555</v>
      </c>
      <c r="E35" s="147">
        <f>+D35-C35</f>
        <v>6046086</v>
      </c>
      <c r="F35" s="148">
        <f>IF(C35=0,0,E35/C35)</f>
        <v>0.10705306216891554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8021207</v>
      </c>
      <c r="D38" s="146">
        <v>8341864</v>
      </c>
      <c r="E38" s="146">
        <f>+D38-C38</f>
        <v>320657</v>
      </c>
      <c r="F38" s="150">
        <f>IF(C38=0,0,E38/C38)</f>
        <v>0.03997615321484659</v>
      </c>
    </row>
    <row r="39" spans="1:6" ht="15" customHeight="1">
      <c r="A39" s="141">
        <v>2</v>
      </c>
      <c r="B39" s="149" t="s">
        <v>294</v>
      </c>
      <c r="C39" s="146">
        <v>12221591</v>
      </c>
      <c r="D39" s="146">
        <v>14691042</v>
      </c>
      <c r="E39" s="146">
        <f>+D39-C39</f>
        <v>2469451</v>
      </c>
      <c r="F39" s="150">
        <f>IF(C39=0,0,E39/C39)</f>
        <v>0.2020564262050661</v>
      </c>
    </row>
    <row r="40" spans="1:6" ht="15" customHeight="1">
      <c r="A40" s="141">
        <v>3</v>
      </c>
      <c r="B40" s="149" t="s">
        <v>295</v>
      </c>
      <c r="C40" s="146">
        <v>81646</v>
      </c>
      <c r="D40" s="146">
        <v>92718</v>
      </c>
      <c r="E40" s="146">
        <f>+D40-C40</f>
        <v>11072</v>
      </c>
      <c r="F40" s="150">
        <f>IF(C40=0,0,E40/C40)</f>
        <v>0.1356098277931558</v>
      </c>
    </row>
    <row r="41" spans="1:7" ht="15.75" customHeight="1">
      <c r="A41" s="141"/>
      <c r="B41" s="151" t="s">
        <v>296</v>
      </c>
      <c r="C41" s="147">
        <f>SUM(C38:C40)</f>
        <v>20324444</v>
      </c>
      <c r="D41" s="147">
        <f>SUM(D38:D40)</f>
        <v>23125624</v>
      </c>
      <c r="E41" s="147">
        <f>+D41-C41</f>
        <v>2801180</v>
      </c>
      <c r="F41" s="148">
        <f>IF(C41=0,0,E41/C41)</f>
        <v>0.1378232044133655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15597793</v>
      </c>
      <c r="D44" s="146">
        <v>16695481</v>
      </c>
      <c r="E44" s="146">
        <f>+D44-C44</f>
        <v>1097688</v>
      </c>
      <c r="F44" s="150">
        <f>IF(C44=0,0,E44/C44)</f>
        <v>0.07037457158201804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5680738</v>
      </c>
      <c r="D47" s="146">
        <v>4667920</v>
      </c>
      <c r="E47" s="146">
        <f>+D47-C47</f>
        <v>-1012818</v>
      </c>
      <c r="F47" s="150">
        <f>IF(C47=0,0,E47/C47)</f>
        <v>-0.17828986304244274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8982578</v>
      </c>
      <c r="D50" s="146">
        <v>5917298</v>
      </c>
      <c r="E50" s="146">
        <f>+D50-C50</f>
        <v>-3065280</v>
      </c>
      <c r="F50" s="150">
        <f>IF(C50=0,0,E50/C50)</f>
        <v>-0.34124724550123586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339857</v>
      </c>
      <c r="D53" s="146">
        <v>436066</v>
      </c>
      <c r="E53" s="146">
        <f aca="true" t="shared" si="0" ref="E53:E59">+D53-C53</f>
        <v>96209</v>
      </c>
      <c r="F53" s="150">
        <f aca="true" t="shared" si="1" ref="F53:F59">IF(C53=0,0,E53/C53)</f>
        <v>0.28308670999861707</v>
      </c>
    </row>
    <row r="54" spans="1:6" ht="15" customHeight="1">
      <c r="A54" s="141">
        <v>2</v>
      </c>
      <c r="B54" s="149" t="s">
        <v>308</v>
      </c>
      <c r="C54" s="146">
        <v>94649</v>
      </c>
      <c r="D54" s="146">
        <v>93955</v>
      </c>
      <c r="E54" s="146">
        <f t="shared" si="0"/>
        <v>-694</v>
      </c>
      <c r="F54" s="150">
        <f t="shared" si="1"/>
        <v>-0.007332354277382751</v>
      </c>
    </row>
    <row r="55" spans="1:6" ht="15" customHeight="1">
      <c r="A55" s="141">
        <v>3</v>
      </c>
      <c r="B55" s="149" t="s">
        <v>309</v>
      </c>
      <c r="C55" s="146">
        <v>1349689</v>
      </c>
      <c r="D55" s="146">
        <v>1627169</v>
      </c>
      <c r="E55" s="146">
        <f t="shared" si="0"/>
        <v>277480</v>
      </c>
      <c r="F55" s="150">
        <f t="shared" si="1"/>
        <v>0.20558810214797632</v>
      </c>
    </row>
    <row r="56" spans="1:6" ht="15" customHeight="1">
      <c r="A56" s="141">
        <v>4</v>
      </c>
      <c r="B56" s="149" t="s">
        <v>310</v>
      </c>
      <c r="C56" s="146">
        <v>3969361</v>
      </c>
      <c r="D56" s="146">
        <v>3910615</v>
      </c>
      <c r="E56" s="146">
        <f t="shared" si="0"/>
        <v>-58746</v>
      </c>
      <c r="F56" s="150">
        <f t="shared" si="1"/>
        <v>-0.01479986325254871</v>
      </c>
    </row>
    <row r="57" spans="1:6" ht="15" customHeight="1">
      <c r="A57" s="141">
        <v>5</v>
      </c>
      <c r="B57" s="149" t="s">
        <v>311</v>
      </c>
      <c r="C57" s="146">
        <v>887911</v>
      </c>
      <c r="D57" s="146">
        <v>829381</v>
      </c>
      <c r="E57" s="146">
        <f t="shared" si="0"/>
        <v>-58530</v>
      </c>
      <c r="F57" s="150">
        <f t="shared" si="1"/>
        <v>-0.06591876888562029</v>
      </c>
    </row>
    <row r="58" spans="1:6" ht="15" customHeight="1">
      <c r="A58" s="141">
        <v>6</v>
      </c>
      <c r="B58" s="149" t="s">
        <v>312</v>
      </c>
      <c r="C58" s="146">
        <v>16127</v>
      </c>
      <c r="D58" s="146">
        <v>17561</v>
      </c>
      <c r="E58" s="146">
        <f t="shared" si="0"/>
        <v>1434</v>
      </c>
      <c r="F58" s="150">
        <f t="shared" si="1"/>
        <v>0.08891920381968128</v>
      </c>
    </row>
    <row r="59" spans="1:7" ht="15.75" customHeight="1">
      <c r="A59" s="141"/>
      <c r="B59" s="151" t="s">
        <v>313</v>
      </c>
      <c r="C59" s="147">
        <f>SUM(C53:C58)</f>
        <v>6657594</v>
      </c>
      <c r="D59" s="147">
        <f>SUM(D53:D58)</f>
        <v>6914747</v>
      </c>
      <c r="E59" s="147">
        <f t="shared" si="0"/>
        <v>257153</v>
      </c>
      <c r="F59" s="148">
        <f t="shared" si="1"/>
        <v>0.03862551546399495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284987</v>
      </c>
      <c r="D62" s="146">
        <v>472468</v>
      </c>
      <c r="E62" s="146">
        <f aca="true" t="shared" si="2" ref="E62:E78">+D62-C62</f>
        <v>187481</v>
      </c>
      <c r="F62" s="150">
        <f aca="true" t="shared" si="3" ref="F62:F78">IF(C62=0,0,E62/C62)</f>
        <v>0.6578580777368792</v>
      </c>
    </row>
    <row r="63" spans="1:6" ht="15" customHeight="1">
      <c r="A63" s="141">
        <v>2</v>
      </c>
      <c r="B63" s="149" t="s">
        <v>317</v>
      </c>
      <c r="C63" s="146">
        <v>1291709</v>
      </c>
      <c r="D63" s="146">
        <v>889278</v>
      </c>
      <c r="E63" s="146">
        <f t="shared" si="2"/>
        <v>-402431</v>
      </c>
      <c r="F63" s="150">
        <f t="shared" si="3"/>
        <v>-0.31154927309479147</v>
      </c>
    </row>
    <row r="64" spans="1:6" ht="15" customHeight="1">
      <c r="A64" s="141">
        <v>3</v>
      </c>
      <c r="B64" s="149" t="s">
        <v>318</v>
      </c>
      <c r="C64" s="146">
        <v>3390012</v>
      </c>
      <c r="D64" s="146">
        <v>3125847</v>
      </c>
      <c r="E64" s="146">
        <f t="shared" si="2"/>
        <v>-264165</v>
      </c>
      <c r="F64" s="150">
        <f t="shared" si="3"/>
        <v>-0.07792450292211354</v>
      </c>
    </row>
    <row r="65" spans="1:6" ht="15" customHeight="1">
      <c r="A65" s="141">
        <v>4</v>
      </c>
      <c r="B65" s="149" t="s">
        <v>319</v>
      </c>
      <c r="C65" s="146">
        <v>993040</v>
      </c>
      <c r="D65" s="146">
        <v>1056563</v>
      </c>
      <c r="E65" s="146">
        <f t="shared" si="2"/>
        <v>63523</v>
      </c>
      <c r="F65" s="150">
        <f t="shared" si="3"/>
        <v>0.06396821880286796</v>
      </c>
    </row>
    <row r="66" spans="1:6" ht="15" customHeight="1">
      <c r="A66" s="141">
        <v>5</v>
      </c>
      <c r="B66" s="149" t="s">
        <v>320</v>
      </c>
      <c r="C66" s="146">
        <v>3584108</v>
      </c>
      <c r="D66" s="146">
        <v>3960777</v>
      </c>
      <c r="E66" s="146">
        <f t="shared" si="2"/>
        <v>376669</v>
      </c>
      <c r="F66" s="150">
        <f t="shared" si="3"/>
        <v>0.10509421033071548</v>
      </c>
    </row>
    <row r="67" spans="1:6" ht="15" customHeight="1">
      <c r="A67" s="141">
        <v>6</v>
      </c>
      <c r="B67" s="149" t="s">
        <v>321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6" ht="15" customHeight="1">
      <c r="A68" s="141">
        <v>7</v>
      </c>
      <c r="B68" s="149" t="s">
        <v>322</v>
      </c>
      <c r="C68" s="146">
        <v>6592512</v>
      </c>
      <c r="D68" s="146">
        <v>7208401</v>
      </c>
      <c r="E68" s="146">
        <f t="shared" si="2"/>
        <v>615889</v>
      </c>
      <c r="F68" s="150">
        <f t="shared" si="3"/>
        <v>0.09342250723244797</v>
      </c>
    </row>
    <row r="69" spans="1:6" ht="15" customHeight="1">
      <c r="A69" s="141">
        <v>8</v>
      </c>
      <c r="B69" s="149" t="s">
        <v>323</v>
      </c>
      <c r="C69" s="146">
        <v>574830</v>
      </c>
      <c r="D69" s="146">
        <v>667920</v>
      </c>
      <c r="E69" s="146">
        <f t="shared" si="2"/>
        <v>93090</v>
      </c>
      <c r="F69" s="150">
        <f t="shared" si="3"/>
        <v>0.16194353113094306</v>
      </c>
    </row>
    <row r="70" spans="1:6" ht="15" customHeight="1">
      <c r="A70" s="141">
        <v>9</v>
      </c>
      <c r="B70" s="149" t="s">
        <v>324</v>
      </c>
      <c r="C70" s="146">
        <v>597123</v>
      </c>
      <c r="D70" s="146">
        <v>421397</v>
      </c>
      <c r="E70" s="146">
        <f t="shared" si="2"/>
        <v>-175726</v>
      </c>
      <c r="F70" s="150">
        <f t="shared" si="3"/>
        <v>-0.29428777655524907</v>
      </c>
    </row>
    <row r="71" spans="1:6" ht="15" customHeight="1">
      <c r="A71" s="141">
        <v>10</v>
      </c>
      <c r="B71" s="149" t="s">
        <v>325</v>
      </c>
      <c r="C71" s="146">
        <v>539600</v>
      </c>
      <c r="D71" s="146">
        <v>328109</v>
      </c>
      <c r="E71" s="146">
        <f t="shared" si="2"/>
        <v>-211491</v>
      </c>
      <c r="F71" s="150">
        <f t="shared" si="3"/>
        <v>-0.3919403261675315</v>
      </c>
    </row>
    <row r="72" spans="1:6" ht="15" customHeight="1">
      <c r="A72" s="141">
        <v>11</v>
      </c>
      <c r="B72" s="149" t="s">
        <v>326</v>
      </c>
      <c r="C72" s="146">
        <v>68871</v>
      </c>
      <c r="D72" s="146">
        <v>78688</v>
      </c>
      <c r="E72" s="146">
        <f t="shared" si="2"/>
        <v>9817</v>
      </c>
      <c r="F72" s="150">
        <f t="shared" si="3"/>
        <v>0.14254185361037303</v>
      </c>
    </row>
    <row r="73" spans="1:6" ht="15" customHeight="1">
      <c r="A73" s="141">
        <v>12</v>
      </c>
      <c r="B73" s="149" t="s">
        <v>327</v>
      </c>
      <c r="C73" s="146">
        <v>8429433</v>
      </c>
      <c r="D73" s="146">
        <v>9045513</v>
      </c>
      <c r="E73" s="146">
        <f t="shared" si="2"/>
        <v>616080</v>
      </c>
      <c r="F73" s="150">
        <f t="shared" si="3"/>
        <v>0.07308676633410574</v>
      </c>
    </row>
    <row r="74" spans="1:6" ht="15" customHeight="1">
      <c r="A74" s="141">
        <v>13</v>
      </c>
      <c r="B74" s="149" t="s">
        <v>328</v>
      </c>
      <c r="C74" s="146">
        <v>308753</v>
      </c>
      <c r="D74" s="146">
        <v>324412</v>
      </c>
      <c r="E74" s="146">
        <f t="shared" si="2"/>
        <v>15659</v>
      </c>
      <c r="F74" s="150">
        <f t="shared" si="3"/>
        <v>0.05071691611093657</v>
      </c>
    </row>
    <row r="75" spans="1:6" ht="15" customHeight="1">
      <c r="A75" s="141">
        <v>14</v>
      </c>
      <c r="B75" s="149" t="s">
        <v>329</v>
      </c>
      <c r="C75" s="146">
        <v>718426</v>
      </c>
      <c r="D75" s="146">
        <v>903136</v>
      </c>
      <c r="E75" s="146">
        <f t="shared" si="2"/>
        <v>184710</v>
      </c>
      <c r="F75" s="150">
        <f t="shared" si="3"/>
        <v>0.25710372397435505</v>
      </c>
    </row>
    <row r="76" spans="1:6" ht="15" customHeight="1">
      <c r="A76" s="141">
        <v>15</v>
      </c>
      <c r="B76" s="149" t="s">
        <v>330</v>
      </c>
      <c r="C76" s="146">
        <v>3085438</v>
      </c>
      <c r="D76" s="146">
        <v>833286</v>
      </c>
      <c r="E76" s="146">
        <f t="shared" si="2"/>
        <v>-2252152</v>
      </c>
      <c r="F76" s="150">
        <f t="shared" si="3"/>
        <v>-0.7299294297924638</v>
      </c>
    </row>
    <row r="77" spans="1:6" ht="15" customHeight="1">
      <c r="A77" s="141">
        <v>16</v>
      </c>
      <c r="B77" s="149" t="s">
        <v>331</v>
      </c>
      <c r="C77" s="146">
        <v>17193300</v>
      </c>
      <c r="D77" s="146">
        <v>20082616</v>
      </c>
      <c r="E77" s="146">
        <f t="shared" si="2"/>
        <v>2889316</v>
      </c>
      <c r="F77" s="150">
        <f t="shared" si="3"/>
        <v>0.16804894930001804</v>
      </c>
    </row>
    <row r="78" spans="1:7" ht="15.75" customHeight="1">
      <c r="A78" s="141"/>
      <c r="B78" s="151" t="s">
        <v>332</v>
      </c>
      <c r="C78" s="147">
        <f>SUM(C62:C77)</f>
        <v>47652142</v>
      </c>
      <c r="D78" s="147">
        <f>SUM(D62:D77)</f>
        <v>49398411</v>
      </c>
      <c r="E78" s="147">
        <f t="shared" si="2"/>
        <v>1746269</v>
      </c>
      <c r="F78" s="148">
        <f t="shared" si="3"/>
        <v>0.03664618056413917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415921169</v>
      </c>
      <c r="D83" s="147">
        <f>+D81+D78+D59+D50+D47+D44+D41+D35+D30+D24+D18</f>
        <v>442588744</v>
      </c>
      <c r="E83" s="147">
        <f>+D83-C83</f>
        <v>26667575</v>
      </c>
      <c r="F83" s="148">
        <f>IF(C83=0,0,E83/C83)</f>
        <v>0.06411689759412077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34596275</v>
      </c>
      <c r="D91" s="146">
        <v>40033821</v>
      </c>
      <c r="E91" s="146">
        <f aca="true" t="shared" si="4" ref="E91:E109">D91-C91</f>
        <v>5437546</v>
      </c>
      <c r="F91" s="150">
        <f aca="true" t="shared" si="5" ref="F91:F109">IF(C91=0,0,E91/C91)</f>
        <v>0.15717142958309818</v>
      </c>
      <c r="G91" s="155"/>
    </row>
    <row r="92" spans="1:7" ht="15" customHeight="1">
      <c r="A92" s="141">
        <v>2</v>
      </c>
      <c r="B92" s="161" t="s">
        <v>341</v>
      </c>
      <c r="C92" s="146">
        <v>1125954</v>
      </c>
      <c r="D92" s="146">
        <v>1092875</v>
      </c>
      <c r="E92" s="146">
        <f t="shared" si="4"/>
        <v>-33079</v>
      </c>
      <c r="F92" s="150">
        <f t="shared" si="5"/>
        <v>-0.029378642466743758</v>
      </c>
      <c r="G92" s="155"/>
    </row>
    <row r="93" spans="1:7" ht="15" customHeight="1">
      <c r="A93" s="141">
        <v>3</v>
      </c>
      <c r="B93" s="161" t="s">
        <v>342</v>
      </c>
      <c r="C93" s="146">
        <v>6003865</v>
      </c>
      <c r="D93" s="146">
        <v>5738570</v>
      </c>
      <c r="E93" s="146">
        <f t="shared" si="4"/>
        <v>-265295</v>
      </c>
      <c r="F93" s="150">
        <f t="shared" si="5"/>
        <v>-0.04418736930294069</v>
      </c>
      <c r="G93" s="155"/>
    </row>
    <row r="94" spans="1:7" ht="15" customHeight="1">
      <c r="A94" s="141">
        <v>4</v>
      </c>
      <c r="B94" s="161" t="s">
        <v>343</v>
      </c>
      <c r="C94" s="146">
        <v>3165749</v>
      </c>
      <c r="D94" s="146">
        <v>3193211</v>
      </c>
      <c r="E94" s="146">
        <f t="shared" si="4"/>
        <v>27462</v>
      </c>
      <c r="F94" s="150">
        <f t="shared" si="5"/>
        <v>0.008674724370125364</v>
      </c>
      <c r="G94" s="155"/>
    </row>
    <row r="95" spans="1:7" ht="15" customHeight="1">
      <c r="A95" s="141">
        <v>5</v>
      </c>
      <c r="B95" s="161" t="s">
        <v>344</v>
      </c>
      <c r="C95" s="146">
        <v>16010197</v>
      </c>
      <c r="D95" s="146">
        <v>19523561</v>
      </c>
      <c r="E95" s="146">
        <f t="shared" si="4"/>
        <v>3513364</v>
      </c>
      <c r="F95" s="150">
        <f t="shared" si="5"/>
        <v>0.21944539470688587</v>
      </c>
      <c r="G95" s="155"/>
    </row>
    <row r="96" spans="1:7" ht="15" customHeight="1">
      <c r="A96" s="141">
        <v>6</v>
      </c>
      <c r="B96" s="161" t="s">
        <v>345</v>
      </c>
      <c r="C96" s="146">
        <v>2011342</v>
      </c>
      <c r="D96" s="146">
        <v>1670305</v>
      </c>
      <c r="E96" s="146">
        <f t="shared" si="4"/>
        <v>-341037</v>
      </c>
      <c r="F96" s="150">
        <f t="shared" si="5"/>
        <v>-0.16955694257863654</v>
      </c>
      <c r="G96" s="155"/>
    </row>
    <row r="97" spans="1:7" ht="15" customHeight="1">
      <c r="A97" s="141">
        <v>7</v>
      </c>
      <c r="B97" s="161" t="s">
        <v>346</v>
      </c>
      <c r="C97" s="146">
        <v>4763026</v>
      </c>
      <c r="D97" s="146">
        <v>6067997</v>
      </c>
      <c r="E97" s="146">
        <f t="shared" si="4"/>
        <v>1304971</v>
      </c>
      <c r="F97" s="150">
        <f t="shared" si="5"/>
        <v>0.273979398810756</v>
      </c>
      <c r="G97" s="155"/>
    </row>
    <row r="98" spans="1:7" ht="15" customHeight="1">
      <c r="A98" s="141">
        <v>8</v>
      </c>
      <c r="B98" s="161" t="s">
        <v>347</v>
      </c>
      <c r="C98" s="146">
        <v>1103314</v>
      </c>
      <c r="D98" s="146">
        <v>386757</v>
      </c>
      <c r="E98" s="146">
        <f t="shared" si="4"/>
        <v>-716557</v>
      </c>
      <c r="F98" s="150">
        <f t="shared" si="5"/>
        <v>-0.649458812269218</v>
      </c>
      <c r="G98" s="155"/>
    </row>
    <row r="99" spans="1:7" ht="15" customHeight="1">
      <c r="A99" s="141">
        <v>9</v>
      </c>
      <c r="B99" s="161" t="s">
        <v>348</v>
      </c>
      <c r="C99" s="146">
        <v>1220056</v>
      </c>
      <c r="D99" s="146">
        <v>1299825</v>
      </c>
      <c r="E99" s="146">
        <f t="shared" si="4"/>
        <v>79769</v>
      </c>
      <c r="F99" s="150">
        <f t="shared" si="5"/>
        <v>0.06538142511491275</v>
      </c>
      <c r="G99" s="155"/>
    </row>
    <row r="100" spans="1:7" ht="15" customHeight="1">
      <c r="A100" s="141">
        <v>10</v>
      </c>
      <c r="B100" s="161" t="s">
        <v>349</v>
      </c>
      <c r="C100" s="146">
        <v>6068154</v>
      </c>
      <c r="D100" s="146">
        <v>6465466</v>
      </c>
      <c r="E100" s="146">
        <f t="shared" si="4"/>
        <v>397312</v>
      </c>
      <c r="F100" s="150">
        <f t="shared" si="5"/>
        <v>0.06547493685888657</v>
      </c>
      <c r="G100" s="155"/>
    </row>
    <row r="101" spans="1:7" ht="15" customHeight="1">
      <c r="A101" s="141">
        <v>11</v>
      </c>
      <c r="B101" s="161" t="s">
        <v>350</v>
      </c>
      <c r="C101" s="146">
        <v>5922256</v>
      </c>
      <c r="D101" s="146">
        <v>6293663</v>
      </c>
      <c r="E101" s="146">
        <f t="shared" si="4"/>
        <v>371407</v>
      </c>
      <c r="F101" s="150">
        <f t="shared" si="5"/>
        <v>0.06271376988769145</v>
      </c>
      <c r="G101" s="155"/>
    </row>
    <row r="102" spans="1:7" ht="15" customHeight="1">
      <c r="A102" s="141">
        <v>12</v>
      </c>
      <c r="B102" s="161" t="s">
        <v>351</v>
      </c>
      <c r="C102" s="146">
        <v>13661</v>
      </c>
      <c r="D102" s="146">
        <v>0</v>
      </c>
      <c r="E102" s="146">
        <f t="shared" si="4"/>
        <v>-13661</v>
      </c>
      <c r="F102" s="150">
        <f t="shared" si="5"/>
        <v>-1</v>
      </c>
      <c r="G102" s="155"/>
    </row>
    <row r="103" spans="1:7" ht="15" customHeight="1">
      <c r="A103" s="141">
        <v>13</v>
      </c>
      <c r="B103" s="161" t="s">
        <v>352</v>
      </c>
      <c r="C103" s="146">
        <v>9265691</v>
      </c>
      <c r="D103" s="146">
        <v>9821542</v>
      </c>
      <c r="E103" s="146">
        <f t="shared" si="4"/>
        <v>555851</v>
      </c>
      <c r="F103" s="150">
        <f t="shared" si="5"/>
        <v>0.059990237101582605</v>
      </c>
      <c r="G103" s="155"/>
    </row>
    <row r="104" spans="1:7" ht="15" customHeight="1">
      <c r="A104" s="141">
        <v>14</v>
      </c>
      <c r="B104" s="161" t="s">
        <v>353</v>
      </c>
      <c r="C104" s="146">
        <v>5360987</v>
      </c>
      <c r="D104" s="146">
        <v>4662004</v>
      </c>
      <c r="E104" s="146">
        <f t="shared" si="4"/>
        <v>-698983</v>
      </c>
      <c r="F104" s="150">
        <f t="shared" si="5"/>
        <v>-0.13038326711107487</v>
      </c>
      <c r="G104" s="155"/>
    </row>
    <row r="105" spans="1:7" ht="15" customHeight="1">
      <c r="A105" s="141">
        <v>15</v>
      </c>
      <c r="B105" s="161" t="s">
        <v>322</v>
      </c>
      <c r="C105" s="146">
        <v>1828456</v>
      </c>
      <c r="D105" s="146">
        <v>1901427</v>
      </c>
      <c r="E105" s="146">
        <f t="shared" si="4"/>
        <v>72971</v>
      </c>
      <c r="F105" s="150">
        <f t="shared" si="5"/>
        <v>0.03990853485126249</v>
      </c>
      <c r="G105" s="155"/>
    </row>
    <row r="106" spans="1:7" ht="15" customHeight="1">
      <c r="A106" s="141">
        <v>16</v>
      </c>
      <c r="B106" s="161" t="s">
        <v>354</v>
      </c>
      <c r="C106" s="146">
        <v>2319961</v>
      </c>
      <c r="D106" s="146">
        <v>2329072</v>
      </c>
      <c r="E106" s="146">
        <f t="shared" si="4"/>
        <v>9111</v>
      </c>
      <c r="F106" s="150">
        <f t="shared" si="5"/>
        <v>0.003927221190356218</v>
      </c>
      <c r="G106" s="155"/>
    </row>
    <row r="107" spans="1:7" ht="15" customHeight="1">
      <c r="A107" s="141">
        <v>17</v>
      </c>
      <c r="B107" s="161" t="s">
        <v>355</v>
      </c>
      <c r="C107" s="146">
        <v>11387589</v>
      </c>
      <c r="D107" s="146">
        <v>12206540</v>
      </c>
      <c r="E107" s="146">
        <f t="shared" si="4"/>
        <v>818951</v>
      </c>
      <c r="F107" s="150">
        <f t="shared" si="5"/>
        <v>0.07191610094112108</v>
      </c>
      <c r="G107" s="155"/>
    </row>
    <row r="108" spans="1:7" ht="15" customHeight="1">
      <c r="A108" s="141">
        <v>18</v>
      </c>
      <c r="B108" s="161" t="s">
        <v>356</v>
      </c>
      <c r="C108" s="146">
        <v>492278</v>
      </c>
      <c r="D108" s="146">
        <v>227529</v>
      </c>
      <c r="E108" s="146">
        <f t="shared" si="4"/>
        <v>-264749</v>
      </c>
      <c r="F108" s="150">
        <f t="shared" si="5"/>
        <v>-0.5378038425442534</v>
      </c>
      <c r="G108" s="155"/>
    </row>
    <row r="109" spans="1:7" ht="15.75" customHeight="1">
      <c r="A109" s="141"/>
      <c r="B109" s="154" t="s">
        <v>357</v>
      </c>
      <c r="C109" s="147">
        <f>SUM(C91:C108)</f>
        <v>112658811</v>
      </c>
      <c r="D109" s="147">
        <f>SUM(D91:D108)</f>
        <v>122914165</v>
      </c>
      <c r="E109" s="147">
        <f t="shared" si="4"/>
        <v>10255354</v>
      </c>
      <c r="F109" s="148">
        <f t="shared" si="5"/>
        <v>0.09103019913817482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0</v>
      </c>
      <c r="D112" s="146">
        <v>0</v>
      </c>
      <c r="E112" s="146">
        <f aca="true" t="shared" si="6" ref="E112:E118">D112-C112</f>
        <v>0</v>
      </c>
      <c r="F112" s="150">
        <f aca="true" t="shared" si="7" ref="F112:F118">IF(C112=0,0,E112/C112)</f>
        <v>0</v>
      </c>
      <c r="G112" s="155"/>
    </row>
    <row r="113" spans="1:7" ht="15" customHeight="1">
      <c r="A113" s="141">
        <v>2</v>
      </c>
      <c r="B113" s="161" t="s">
        <v>360</v>
      </c>
      <c r="C113" s="146">
        <v>8182836</v>
      </c>
      <c r="D113" s="146">
        <v>7821644</v>
      </c>
      <c r="E113" s="146">
        <f t="shared" si="6"/>
        <v>-361192</v>
      </c>
      <c r="F113" s="150">
        <f t="shared" si="7"/>
        <v>-0.044140197848276566</v>
      </c>
      <c r="G113" s="155"/>
    </row>
    <row r="114" spans="1:7" ht="15" customHeight="1">
      <c r="A114" s="141">
        <v>3</v>
      </c>
      <c r="B114" s="161" t="s">
        <v>361</v>
      </c>
      <c r="C114" s="146">
        <v>7074040</v>
      </c>
      <c r="D114" s="146">
        <v>7013862</v>
      </c>
      <c r="E114" s="146">
        <f t="shared" si="6"/>
        <v>-60178</v>
      </c>
      <c r="F114" s="150">
        <f t="shared" si="7"/>
        <v>-0.008506878671876326</v>
      </c>
      <c r="G114" s="155"/>
    </row>
    <row r="115" spans="1:7" ht="15" customHeight="1">
      <c r="A115" s="141">
        <v>4</v>
      </c>
      <c r="B115" s="161" t="s">
        <v>362</v>
      </c>
      <c r="C115" s="146">
        <v>3462680</v>
      </c>
      <c r="D115" s="146">
        <v>3897308</v>
      </c>
      <c r="E115" s="146">
        <f t="shared" si="6"/>
        <v>434628</v>
      </c>
      <c r="F115" s="150">
        <f t="shared" si="7"/>
        <v>0.12551780701653054</v>
      </c>
      <c r="G115" s="155"/>
    </row>
    <row r="116" spans="1:7" ht="15" customHeight="1">
      <c r="A116" s="141">
        <v>5</v>
      </c>
      <c r="B116" s="161" t="s">
        <v>363</v>
      </c>
      <c r="C116" s="146">
        <v>4166420</v>
      </c>
      <c r="D116" s="146">
        <v>3868175</v>
      </c>
      <c r="E116" s="146">
        <f t="shared" si="6"/>
        <v>-298245</v>
      </c>
      <c r="F116" s="150">
        <f t="shared" si="7"/>
        <v>-0.07158303771583278</v>
      </c>
      <c r="G116" s="155"/>
    </row>
    <row r="117" spans="1:7" ht="15" customHeight="1">
      <c r="A117" s="141">
        <v>6</v>
      </c>
      <c r="B117" s="161" t="s">
        <v>364</v>
      </c>
      <c r="C117" s="146">
        <v>464206</v>
      </c>
      <c r="D117" s="146">
        <v>526209</v>
      </c>
      <c r="E117" s="146">
        <f t="shared" si="6"/>
        <v>62003</v>
      </c>
      <c r="F117" s="150">
        <f t="shared" si="7"/>
        <v>0.1335678556502932</v>
      </c>
      <c r="G117" s="155"/>
    </row>
    <row r="118" spans="1:7" ht="15.75" customHeight="1">
      <c r="A118" s="141"/>
      <c r="B118" s="154" t="s">
        <v>365</v>
      </c>
      <c r="C118" s="147">
        <f>SUM(C112:C117)</f>
        <v>23350182</v>
      </c>
      <c r="D118" s="147">
        <f>SUM(D112:D117)</f>
        <v>23127198</v>
      </c>
      <c r="E118" s="147">
        <f t="shared" si="6"/>
        <v>-222984</v>
      </c>
      <c r="F118" s="148">
        <f t="shared" si="7"/>
        <v>-0.009549561540890773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37023491</v>
      </c>
      <c r="D121" s="146">
        <v>38213169</v>
      </c>
      <c r="E121" s="146">
        <f aca="true" t="shared" si="8" ref="E121:E155">D121-C121</f>
        <v>1189678</v>
      </c>
      <c r="F121" s="150">
        <f aca="true" t="shared" si="9" ref="F121:F155">IF(C121=0,0,E121/C121)</f>
        <v>0.032133058441193456</v>
      </c>
      <c r="G121" s="155"/>
    </row>
    <row r="122" spans="1:7" ht="15" customHeight="1">
      <c r="A122" s="141">
        <v>2</v>
      </c>
      <c r="B122" s="161" t="s">
        <v>368</v>
      </c>
      <c r="C122" s="146">
        <v>2770107</v>
      </c>
      <c r="D122" s="146">
        <v>3624615</v>
      </c>
      <c r="E122" s="146">
        <f t="shared" si="8"/>
        <v>854508</v>
      </c>
      <c r="F122" s="150">
        <f t="shared" si="9"/>
        <v>0.308474726788532</v>
      </c>
      <c r="G122" s="155"/>
    </row>
    <row r="123" spans="1:7" ht="15" customHeight="1">
      <c r="A123" s="141">
        <v>3</v>
      </c>
      <c r="B123" s="161" t="s">
        <v>369</v>
      </c>
      <c r="C123" s="146">
        <v>3375918</v>
      </c>
      <c r="D123" s="146">
        <v>2881136</v>
      </c>
      <c r="E123" s="146">
        <f t="shared" si="8"/>
        <v>-494782</v>
      </c>
      <c r="F123" s="150">
        <f t="shared" si="9"/>
        <v>-0.1465622091531844</v>
      </c>
      <c r="G123" s="155"/>
    </row>
    <row r="124" spans="1:7" ht="15" customHeight="1">
      <c r="A124" s="141">
        <v>4</v>
      </c>
      <c r="B124" s="161" t="s">
        <v>370</v>
      </c>
      <c r="C124" s="146">
        <v>4457389</v>
      </c>
      <c r="D124" s="146">
        <v>4763886</v>
      </c>
      <c r="E124" s="146">
        <f t="shared" si="8"/>
        <v>306497</v>
      </c>
      <c r="F124" s="150">
        <f t="shared" si="9"/>
        <v>0.06876155525129173</v>
      </c>
      <c r="G124" s="155"/>
    </row>
    <row r="125" spans="1:7" ht="15" customHeight="1">
      <c r="A125" s="141">
        <v>5</v>
      </c>
      <c r="B125" s="161" t="s">
        <v>371</v>
      </c>
      <c r="C125" s="146">
        <v>9446114</v>
      </c>
      <c r="D125" s="146">
        <v>9070248</v>
      </c>
      <c r="E125" s="146">
        <f t="shared" si="8"/>
        <v>-375866</v>
      </c>
      <c r="F125" s="150">
        <f t="shared" si="9"/>
        <v>-0.03979054243893309</v>
      </c>
      <c r="G125" s="155"/>
    </row>
    <row r="126" spans="1:7" ht="15" customHeight="1">
      <c r="A126" s="141">
        <v>6</v>
      </c>
      <c r="B126" s="161" t="s">
        <v>372</v>
      </c>
      <c r="C126" s="146">
        <v>1264056</v>
      </c>
      <c r="D126" s="146">
        <v>1566868</v>
      </c>
      <c r="E126" s="146">
        <f t="shared" si="8"/>
        <v>302812</v>
      </c>
      <c r="F126" s="150">
        <f t="shared" si="9"/>
        <v>0.2395558424626757</v>
      </c>
      <c r="G126" s="155"/>
    </row>
    <row r="127" spans="1:7" ht="15" customHeight="1">
      <c r="A127" s="141">
        <v>7</v>
      </c>
      <c r="B127" s="161" t="s">
        <v>373</v>
      </c>
      <c r="C127" s="146">
        <v>4247082</v>
      </c>
      <c r="D127" s="146">
        <v>4403332</v>
      </c>
      <c r="E127" s="146">
        <f t="shared" si="8"/>
        <v>156250</v>
      </c>
      <c r="F127" s="150">
        <f t="shared" si="9"/>
        <v>0.03678996543980079</v>
      </c>
      <c r="G127" s="155"/>
    </row>
    <row r="128" spans="1:7" ht="15" customHeight="1">
      <c r="A128" s="141">
        <v>8</v>
      </c>
      <c r="B128" s="161" t="s">
        <v>374</v>
      </c>
      <c r="C128" s="146">
        <v>2223803</v>
      </c>
      <c r="D128" s="146">
        <v>2365112</v>
      </c>
      <c r="E128" s="146">
        <f t="shared" si="8"/>
        <v>141309</v>
      </c>
      <c r="F128" s="150">
        <f t="shared" si="9"/>
        <v>0.06354384808366569</v>
      </c>
      <c r="G128" s="155"/>
    </row>
    <row r="129" spans="1:7" ht="15" customHeight="1">
      <c r="A129" s="141">
        <v>9</v>
      </c>
      <c r="B129" s="161" t="s">
        <v>375</v>
      </c>
      <c r="C129" s="146">
        <v>2211670</v>
      </c>
      <c r="D129" s="146">
        <v>2418877</v>
      </c>
      <c r="E129" s="146">
        <f t="shared" si="8"/>
        <v>207207</v>
      </c>
      <c r="F129" s="150">
        <f t="shared" si="9"/>
        <v>0.0936880275990541</v>
      </c>
      <c r="G129" s="155"/>
    </row>
    <row r="130" spans="1:7" ht="15" customHeight="1">
      <c r="A130" s="141">
        <v>10</v>
      </c>
      <c r="B130" s="161" t="s">
        <v>376</v>
      </c>
      <c r="C130" s="146">
        <v>25879865</v>
      </c>
      <c r="D130" s="146">
        <v>27301671</v>
      </c>
      <c r="E130" s="146">
        <f t="shared" si="8"/>
        <v>1421806</v>
      </c>
      <c r="F130" s="150">
        <f t="shared" si="9"/>
        <v>0.054938694618383827</v>
      </c>
      <c r="G130" s="155"/>
    </row>
    <row r="131" spans="1:7" ht="15" customHeight="1">
      <c r="A131" s="141">
        <v>11</v>
      </c>
      <c r="B131" s="161" t="s">
        <v>377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378</v>
      </c>
      <c r="C132" s="146">
        <v>15864749</v>
      </c>
      <c r="D132" s="146">
        <v>17977359</v>
      </c>
      <c r="E132" s="146">
        <f t="shared" si="8"/>
        <v>2112610</v>
      </c>
      <c r="F132" s="150">
        <f t="shared" si="9"/>
        <v>0.1331637834295393</v>
      </c>
      <c r="G132" s="155"/>
    </row>
    <row r="133" spans="1:7" ht="15" customHeight="1">
      <c r="A133" s="141">
        <v>13</v>
      </c>
      <c r="B133" s="161" t="s">
        <v>379</v>
      </c>
      <c r="C133" s="146">
        <v>660213</v>
      </c>
      <c r="D133" s="146">
        <v>329951</v>
      </c>
      <c r="E133" s="146">
        <f t="shared" si="8"/>
        <v>-330262</v>
      </c>
      <c r="F133" s="150">
        <f t="shared" si="9"/>
        <v>-0.5002355300486359</v>
      </c>
      <c r="G133" s="155"/>
    </row>
    <row r="134" spans="1:7" ht="15" customHeight="1">
      <c r="A134" s="141">
        <v>14</v>
      </c>
      <c r="B134" s="161" t="s">
        <v>380</v>
      </c>
      <c r="C134" s="146">
        <v>116033</v>
      </c>
      <c r="D134" s="146">
        <v>130369</v>
      </c>
      <c r="E134" s="146">
        <f t="shared" si="8"/>
        <v>14336</v>
      </c>
      <c r="F134" s="150">
        <f t="shared" si="9"/>
        <v>0.12355105875052787</v>
      </c>
      <c r="G134" s="155"/>
    </row>
    <row r="135" spans="1:7" ht="15" customHeight="1">
      <c r="A135" s="141">
        <v>15</v>
      </c>
      <c r="B135" s="161" t="s">
        <v>381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382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2790708</v>
      </c>
      <c r="D138" s="146">
        <v>2978274</v>
      </c>
      <c r="E138" s="146">
        <f t="shared" si="8"/>
        <v>187566</v>
      </c>
      <c r="F138" s="150">
        <f t="shared" si="9"/>
        <v>0.06721090131966512</v>
      </c>
      <c r="G138" s="155"/>
    </row>
    <row r="139" spans="1:7" ht="15" customHeight="1">
      <c r="A139" s="141">
        <v>19</v>
      </c>
      <c r="B139" s="161" t="s">
        <v>385</v>
      </c>
      <c r="C139" s="146">
        <v>1022854</v>
      </c>
      <c r="D139" s="146">
        <v>653727</v>
      </c>
      <c r="E139" s="146">
        <f t="shared" si="8"/>
        <v>-369127</v>
      </c>
      <c r="F139" s="150">
        <f t="shared" si="9"/>
        <v>-0.3608794608028125</v>
      </c>
      <c r="G139" s="155"/>
    </row>
    <row r="140" spans="1:7" ht="15" customHeight="1">
      <c r="A140" s="141">
        <v>20</v>
      </c>
      <c r="B140" s="161" t="s">
        <v>386</v>
      </c>
      <c r="C140" s="146">
        <v>8448609</v>
      </c>
      <c r="D140" s="146">
        <v>11853739</v>
      </c>
      <c r="E140" s="146">
        <f t="shared" si="8"/>
        <v>3405130</v>
      </c>
      <c r="F140" s="150">
        <f t="shared" si="9"/>
        <v>0.4030403111328741</v>
      </c>
      <c r="G140" s="155"/>
    </row>
    <row r="141" spans="1:7" ht="15" customHeight="1">
      <c r="A141" s="141">
        <v>21</v>
      </c>
      <c r="B141" s="161" t="s">
        <v>387</v>
      </c>
      <c r="C141" s="146">
        <v>53906</v>
      </c>
      <c r="D141" s="146">
        <v>74512</v>
      </c>
      <c r="E141" s="146">
        <f t="shared" si="8"/>
        <v>20606</v>
      </c>
      <c r="F141" s="150">
        <f t="shared" si="9"/>
        <v>0.3822580046748043</v>
      </c>
      <c r="G141" s="155"/>
    </row>
    <row r="142" spans="1:7" ht="15" customHeight="1">
      <c r="A142" s="141">
        <v>22</v>
      </c>
      <c r="B142" s="161" t="s">
        <v>388</v>
      </c>
      <c r="C142" s="146">
        <v>3494149</v>
      </c>
      <c r="D142" s="146">
        <v>3764297</v>
      </c>
      <c r="E142" s="146">
        <f t="shared" si="8"/>
        <v>270148</v>
      </c>
      <c r="F142" s="150">
        <f t="shared" si="9"/>
        <v>0.07731439042811282</v>
      </c>
      <c r="G142" s="155"/>
    </row>
    <row r="143" spans="1:7" ht="15" customHeight="1">
      <c r="A143" s="141">
        <v>23</v>
      </c>
      <c r="B143" s="161" t="s">
        <v>389</v>
      </c>
      <c r="C143" s="146">
        <v>3840686</v>
      </c>
      <c r="D143" s="146">
        <v>4008930</v>
      </c>
      <c r="E143" s="146">
        <f t="shared" si="8"/>
        <v>168244</v>
      </c>
      <c r="F143" s="150">
        <f t="shared" si="9"/>
        <v>0.04380571595803458</v>
      </c>
      <c r="G143" s="155"/>
    </row>
    <row r="144" spans="1:7" ht="15" customHeight="1">
      <c r="A144" s="141">
        <v>24</v>
      </c>
      <c r="B144" s="161" t="s">
        <v>390</v>
      </c>
      <c r="C144" s="146">
        <v>21874210</v>
      </c>
      <c r="D144" s="146">
        <v>23022731</v>
      </c>
      <c r="E144" s="146">
        <f t="shared" si="8"/>
        <v>1148521</v>
      </c>
      <c r="F144" s="150">
        <f t="shared" si="9"/>
        <v>0.052505713349190665</v>
      </c>
      <c r="G144" s="155"/>
    </row>
    <row r="145" spans="1:7" ht="15" customHeight="1">
      <c r="A145" s="141">
        <v>25</v>
      </c>
      <c r="B145" s="161" t="s">
        <v>391</v>
      </c>
      <c r="C145" s="146">
        <v>2418101</v>
      </c>
      <c r="D145" s="146">
        <v>2611494</v>
      </c>
      <c r="E145" s="146">
        <f t="shared" si="8"/>
        <v>193393</v>
      </c>
      <c r="F145" s="150">
        <f t="shared" si="9"/>
        <v>0.07997722179511939</v>
      </c>
      <c r="G145" s="155"/>
    </row>
    <row r="146" spans="1:7" ht="15" customHeight="1">
      <c r="A146" s="141">
        <v>26</v>
      </c>
      <c r="B146" s="161" t="s">
        <v>392</v>
      </c>
      <c r="C146" s="146">
        <v>844027</v>
      </c>
      <c r="D146" s="146">
        <v>1135289</v>
      </c>
      <c r="E146" s="146">
        <f t="shared" si="8"/>
        <v>291262</v>
      </c>
      <c r="F146" s="150">
        <f t="shared" si="9"/>
        <v>0.3450861169133215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4817411</v>
      </c>
      <c r="D148" s="146">
        <v>4785724</v>
      </c>
      <c r="E148" s="146">
        <f t="shared" si="8"/>
        <v>-31687</v>
      </c>
      <c r="F148" s="150">
        <f t="shared" si="9"/>
        <v>-0.00657759946161953</v>
      </c>
      <c r="G148" s="155"/>
    </row>
    <row r="149" spans="1:7" ht="15" customHeight="1">
      <c r="A149" s="141">
        <v>29</v>
      </c>
      <c r="B149" s="161" t="s">
        <v>395</v>
      </c>
      <c r="C149" s="146">
        <v>1022170</v>
      </c>
      <c r="D149" s="146">
        <v>1343938</v>
      </c>
      <c r="E149" s="146">
        <f t="shared" si="8"/>
        <v>321768</v>
      </c>
      <c r="F149" s="150">
        <f t="shared" si="9"/>
        <v>0.31478912509660817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847805</v>
      </c>
      <c r="D151" s="146">
        <v>751948</v>
      </c>
      <c r="E151" s="146">
        <f t="shared" si="8"/>
        <v>-95857</v>
      </c>
      <c r="F151" s="150">
        <f t="shared" si="9"/>
        <v>-0.11306491469146797</v>
      </c>
      <c r="G151" s="155"/>
    </row>
    <row r="152" spans="1:7" ht="15" customHeight="1">
      <c r="A152" s="141">
        <v>32</v>
      </c>
      <c r="B152" s="161" t="s">
        <v>398</v>
      </c>
      <c r="C152" s="146">
        <v>8126638</v>
      </c>
      <c r="D152" s="146">
        <v>8460960</v>
      </c>
      <c r="E152" s="146">
        <f t="shared" si="8"/>
        <v>334322</v>
      </c>
      <c r="F152" s="150">
        <f t="shared" si="9"/>
        <v>0.041139029448586245</v>
      </c>
      <c r="G152" s="155"/>
    </row>
    <row r="153" spans="1:7" ht="15" customHeight="1">
      <c r="A153" s="141">
        <v>33</v>
      </c>
      <c r="B153" s="161" t="s">
        <v>399</v>
      </c>
      <c r="C153" s="146">
        <v>1669341</v>
      </c>
      <c r="D153" s="146">
        <v>1718946</v>
      </c>
      <c r="E153" s="146">
        <f t="shared" si="8"/>
        <v>49605</v>
      </c>
      <c r="F153" s="150">
        <f t="shared" si="9"/>
        <v>0.029715318799454396</v>
      </c>
      <c r="G153" s="155"/>
    </row>
    <row r="154" spans="1:7" ht="15" customHeight="1">
      <c r="A154" s="141">
        <v>34</v>
      </c>
      <c r="B154" s="161" t="s">
        <v>400</v>
      </c>
      <c r="C154" s="146">
        <v>9030725</v>
      </c>
      <c r="D154" s="146">
        <v>11155428</v>
      </c>
      <c r="E154" s="146">
        <f t="shared" si="8"/>
        <v>2124703</v>
      </c>
      <c r="F154" s="150">
        <f t="shared" si="9"/>
        <v>0.23527490871441661</v>
      </c>
      <c r="G154" s="155"/>
    </row>
    <row r="155" spans="1:7" ht="15.75" customHeight="1">
      <c r="A155" s="141"/>
      <c r="B155" s="154" t="s">
        <v>401</v>
      </c>
      <c r="C155" s="147">
        <f>SUM(C121:C154)</f>
        <v>179841830</v>
      </c>
      <c r="D155" s="147">
        <f>SUM(D121:D154)</f>
        <v>193366530</v>
      </c>
      <c r="E155" s="147">
        <f t="shared" si="8"/>
        <v>13524700</v>
      </c>
      <c r="F155" s="148">
        <f t="shared" si="9"/>
        <v>0.07520330503754327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40784434</v>
      </c>
      <c r="D158" s="146">
        <v>46073340</v>
      </c>
      <c r="E158" s="146">
        <f aca="true" t="shared" si="10" ref="E158:E171">D158-C158</f>
        <v>5288906</v>
      </c>
      <c r="F158" s="150">
        <f aca="true" t="shared" si="11" ref="F158:F171">IF(C158=0,0,E158/C158)</f>
        <v>0.1296795243008644</v>
      </c>
      <c r="G158" s="155"/>
    </row>
    <row r="159" spans="1:7" ht="15" customHeight="1">
      <c r="A159" s="141">
        <v>2</v>
      </c>
      <c r="B159" s="161" t="s">
        <v>404</v>
      </c>
      <c r="C159" s="146">
        <v>6055093</v>
      </c>
      <c r="D159" s="146">
        <v>6765306</v>
      </c>
      <c r="E159" s="146">
        <f t="shared" si="10"/>
        <v>710213</v>
      </c>
      <c r="F159" s="150">
        <f t="shared" si="11"/>
        <v>0.11729184010881419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4467454</v>
      </c>
      <c r="D161" s="146">
        <v>4920582</v>
      </c>
      <c r="E161" s="146">
        <f t="shared" si="10"/>
        <v>453128</v>
      </c>
      <c r="F161" s="150">
        <f t="shared" si="11"/>
        <v>0.10142868846551079</v>
      </c>
      <c r="G161" s="155"/>
    </row>
    <row r="162" spans="1:7" ht="15" customHeight="1">
      <c r="A162" s="141">
        <v>5</v>
      </c>
      <c r="B162" s="161" t="s">
        <v>407</v>
      </c>
      <c r="C162" s="146">
        <v>2362483</v>
      </c>
      <c r="D162" s="146">
        <v>2704021</v>
      </c>
      <c r="E162" s="146">
        <f t="shared" si="10"/>
        <v>341538</v>
      </c>
      <c r="F162" s="150">
        <f t="shared" si="11"/>
        <v>0.144567389479628</v>
      </c>
      <c r="G162" s="155"/>
    </row>
    <row r="163" spans="1:7" ht="15" customHeight="1">
      <c r="A163" s="141">
        <v>6</v>
      </c>
      <c r="B163" s="161" t="s">
        <v>408</v>
      </c>
      <c r="C163" s="146">
        <v>4528047</v>
      </c>
      <c r="D163" s="146">
        <v>4567645</v>
      </c>
      <c r="E163" s="146">
        <f t="shared" si="10"/>
        <v>39598</v>
      </c>
      <c r="F163" s="150">
        <f t="shared" si="11"/>
        <v>0.008745050570367313</v>
      </c>
      <c r="G163" s="155"/>
    </row>
    <row r="164" spans="1:7" ht="15" customHeight="1">
      <c r="A164" s="141">
        <v>7</v>
      </c>
      <c r="B164" s="161" t="s">
        <v>409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>
      <c r="A165" s="141">
        <v>8</v>
      </c>
      <c r="B165" s="161" t="s">
        <v>410</v>
      </c>
      <c r="C165" s="146">
        <v>3534178</v>
      </c>
      <c r="D165" s="146">
        <v>4351018</v>
      </c>
      <c r="E165" s="146">
        <f t="shared" si="10"/>
        <v>816840</v>
      </c>
      <c r="F165" s="150">
        <f t="shared" si="11"/>
        <v>0.2311258799075768</v>
      </c>
      <c r="G165" s="155"/>
    </row>
    <row r="166" spans="1:7" ht="15" customHeight="1">
      <c r="A166" s="141">
        <v>9</v>
      </c>
      <c r="B166" s="161" t="s">
        <v>411</v>
      </c>
      <c r="C166" s="146">
        <v>3093502</v>
      </c>
      <c r="D166" s="146">
        <v>3151496</v>
      </c>
      <c r="E166" s="146">
        <f t="shared" si="10"/>
        <v>57994</v>
      </c>
      <c r="F166" s="150">
        <f t="shared" si="11"/>
        <v>0.018747038146411415</v>
      </c>
      <c r="G166" s="155"/>
    </row>
    <row r="167" spans="1:7" ht="15" customHeight="1">
      <c r="A167" s="141">
        <v>10</v>
      </c>
      <c r="B167" s="161" t="s">
        <v>412</v>
      </c>
      <c r="C167" s="146">
        <v>3453688</v>
      </c>
      <c r="D167" s="146">
        <v>3710991</v>
      </c>
      <c r="E167" s="146">
        <f t="shared" si="10"/>
        <v>257303</v>
      </c>
      <c r="F167" s="150">
        <f t="shared" si="11"/>
        <v>0.0745009392857722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9238065</v>
      </c>
      <c r="D169" s="146">
        <v>6675615</v>
      </c>
      <c r="E169" s="146">
        <f t="shared" si="10"/>
        <v>-2562450</v>
      </c>
      <c r="F169" s="150">
        <f t="shared" si="11"/>
        <v>-0.27737951616491113</v>
      </c>
      <c r="G169" s="155"/>
    </row>
    <row r="170" spans="1:7" ht="15" customHeight="1">
      <c r="A170" s="141">
        <v>13</v>
      </c>
      <c r="B170" s="161" t="s">
        <v>415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416</v>
      </c>
      <c r="C171" s="147">
        <f>SUM(C158:C170)</f>
        <v>77516944</v>
      </c>
      <c r="D171" s="147">
        <f>SUM(D158:D170)</f>
        <v>82920014</v>
      </c>
      <c r="E171" s="147">
        <f t="shared" si="10"/>
        <v>5403070</v>
      </c>
      <c r="F171" s="148">
        <f t="shared" si="11"/>
        <v>0.06970179319762658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22553402</v>
      </c>
      <c r="D174" s="146">
        <v>20260837</v>
      </c>
      <c r="E174" s="146">
        <f>D174-C174</f>
        <v>-2292565</v>
      </c>
      <c r="F174" s="150">
        <f>IF(C174=0,0,E174/C174)</f>
        <v>-0.10165051817903126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415921169</v>
      </c>
      <c r="D176" s="147">
        <f>+D174+D171+D155+D118+D109</f>
        <v>442588744</v>
      </c>
      <c r="E176" s="147">
        <f>D176-C176</f>
        <v>26667575</v>
      </c>
      <c r="F176" s="148">
        <f>IF(C176=0,0,E176/C176)</f>
        <v>0.06411689759412077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FILING&amp;RDANBURY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393491107</v>
      </c>
      <c r="D11" s="164">
        <v>427936480</v>
      </c>
      <c r="E11" s="51">
        <v>457712742</v>
      </c>
      <c r="F11" s="13"/>
    </row>
    <row r="12" spans="1:6" ht="24" customHeight="1">
      <c r="A12" s="44">
        <v>2</v>
      </c>
      <c r="B12" s="165" t="s">
        <v>424</v>
      </c>
      <c r="C12" s="49">
        <v>9051658</v>
      </c>
      <c r="D12" s="49">
        <v>10028673</v>
      </c>
      <c r="E12" s="49">
        <v>9727398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402542765</v>
      </c>
      <c r="D13" s="51">
        <f>+D11+D12</f>
        <v>437965153</v>
      </c>
      <c r="E13" s="51">
        <f>+E11+E12</f>
        <v>467440140</v>
      </c>
      <c r="F13" s="13"/>
    </row>
    <row r="14" spans="1:6" ht="24" customHeight="1">
      <c r="A14" s="44">
        <v>4</v>
      </c>
      <c r="B14" s="166" t="s">
        <v>204</v>
      </c>
      <c r="C14" s="49">
        <v>378387622</v>
      </c>
      <c r="D14" s="49">
        <v>415921169</v>
      </c>
      <c r="E14" s="49">
        <v>442588744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24155143</v>
      </c>
      <c r="D15" s="51">
        <f>+D13-D14</f>
        <v>22043984</v>
      </c>
      <c r="E15" s="51">
        <f>+E13-E14</f>
        <v>24851396</v>
      </c>
      <c r="F15" s="13"/>
    </row>
    <row r="16" spans="1:6" ht="24" customHeight="1">
      <c r="A16" s="44">
        <v>6</v>
      </c>
      <c r="B16" s="166" t="s">
        <v>210</v>
      </c>
      <c r="C16" s="49">
        <v>27798903</v>
      </c>
      <c r="D16" s="49">
        <v>-29322315</v>
      </c>
      <c r="E16" s="49">
        <v>13663243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51954046</v>
      </c>
      <c r="D17" s="51">
        <f>D15+D16</f>
        <v>-7278331</v>
      </c>
      <c r="E17" s="51">
        <f>E15+E16</f>
        <v>38514639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0.05613015144980105</v>
      </c>
      <c r="D20" s="169">
        <f>IF(+D27=0,0,+D24/+D27)</f>
        <v>0.053944378685036445</v>
      </c>
      <c r="E20" s="169">
        <f>IF(+E27=0,0,+E24/+E27)</f>
        <v>0.05165500156127566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0.06459728412820114</v>
      </c>
      <c r="D21" s="169">
        <f>IF(D27=0,0,+D26/D27)</f>
        <v>-0.07175536256431343</v>
      </c>
      <c r="E21" s="169">
        <f>IF(E27=0,0,+E26/E27)</f>
        <v>0.028399806533890036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0.12072743557800217</v>
      </c>
      <c r="D22" s="169">
        <f>IF(D27=0,0,+D28/D27)</f>
        <v>-0.017810983879276994</v>
      </c>
      <c r="E22" s="169">
        <f>IF(E27=0,0,+E28/E27)</f>
        <v>0.08005480809516569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24155143</v>
      </c>
      <c r="D24" s="51">
        <f>+D15</f>
        <v>22043984</v>
      </c>
      <c r="E24" s="51">
        <f>+E15</f>
        <v>24851396</v>
      </c>
      <c r="F24" s="13"/>
    </row>
    <row r="25" spans="1:6" ht="24" customHeight="1">
      <c r="A25" s="21">
        <v>5</v>
      </c>
      <c r="B25" s="48" t="s">
        <v>193</v>
      </c>
      <c r="C25" s="51">
        <f>+C13</f>
        <v>402542765</v>
      </c>
      <c r="D25" s="51">
        <f>+D13</f>
        <v>437965153</v>
      </c>
      <c r="E25" s="51">
        <f>+E13</f>
        <v>467440140</v>
      </c>
      <c r="F25" s="13"/>
    </row>
    <row r="26" spans="1:6" ht="24" customHeight="1">
      <c r="A26" s="21">
        <v>6</v>
      </c>
      <c r="B26" s="48" t="s">
        <v>210</v>
      </c>
      <c r="C26" s="51">
        <f>+C16</f>
        <v>27798903</v>
      </c>
      <c r="D26" s="51">
        <f>+D16</f>
        <v>-29322315</v>
      </c>
      <c r="E26" s="51">
        <f>+E16</f>
        <v>13663243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430341668</v>
      </c>
      <c r="D27" s="51">
        <f>+D25+D26</f>
        <v>408642838</v>
      </c>
      <c r="E27" s="51">
        <f>+E25+E26</f>
        <v>481103383</v>
      </c>
      <c r="F27" s="13"/>
    </row>
    <row r="28" spans="1:6" ht="24" customHeight="1">
      <c r="A28" s="21">
        <v>8</v>
      </c>
      <c r="B28" s="45" t="s">
        <v>425</v>
      </c>
      <c r="C28" s="51">
        <f>+C17</f>
        <v>51954046</v>
      </c>
      <c r="D28" s="51">
        <f>+D17</f>
        <v>-7278331</v>
      </c>
      <c r="E28" s="51">
        <f>+E17</f>
        <v>38514639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355513444</v>
      </c>
      <c r="D31" s="51">
        <v>348481186</v>
      </c>
      <c r="E31" s="51">
        <v>325008268</v>
      </c>
      <c r="F31" s="13"/>
    </row>
    <row r="32" spans="1:6" ht="24" customHeight="1">
      <c r="A32" s="25">
        <v>2</v>
      </c>
      <c r="B32" s="48" t="s">
        <v>433</v>
      </c>
      <c r="C32" s="51">
        <v>382105019</v>
      </c>
      <c r="D32" s="51">
        <v>376402186</v>
      </c>
      <c r="E32" s="51">
        <v>380666988</v>
      </c>
      <c r="F32" s="13"/>
    </row>
    <row r="33" spans="1:6" ht="24" customHeight="1">
      <c r="A33" s="25">
        <v>3</v>
      </c>
      <c r="B33" s="48" t="s">
        <v>434</v>
      </c>
      <c r="C33" s="51">
        <v>382105019</v>
      </c>
      <c r="D33" s="51">
        <f>+D32-C32</f>
        <v>-5702833</v>
      </c>
      <c r="E33" s="51">
        <f>+E32-D32</f>
        <v>4264802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-0.014924779095874688</v>
      </c>
      <c r="E34" s="171">
        <f>IF(D32=0,0,+E33/D32)</f>
        <v>0.011330438978906461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0.4298222252010274</v>
      </c>
      <c r="D38" s="172">
        <f>IF((D40+D41)=0,0,+D39/(D40+D41))</f>
        <v>0.422692321437769</v>
      </c>
      <c r="E38" s="172">
        <f>IF((E40+E41)=0,0,+E39/(E40+E41))</f>
        <v>0.4383422538828353</v>
      </c>
      <c r="F38" s="5"/>
    </row>
    <row r="39" spans="1:6" ht="24" customHeight="1">
      <c r="A39" s="21">
        <v>2</v>
      </c>
      <c r="B39" s="48" t="s">
        <v>439</v>
      </c>
      <c r="C39" s="51">
        <v>349138962</v>
      </c>
      <c r="D39" s="51">
        <v>381506727</v>
      </c>
      <c r="E39" s="23">
        <v>442588744</v>
      </c>
      <c r="F39" s="5"/>
    </row>
    <row r="40" spans="1:6" ht="24" customHeight="1">
      <c r="A40" s="21">
        <v>3</v>
      </c>
      <c r="B40" s="48" t="s">
        <v>440</v>
      </c>
      <c r="C40" s="51">
        <v>806304946</v>
      </c>
      <c r="D40" s="51">
        <v>895354473</v>
      </c>
      <c r="E40" s="23">
        <v>1002343396</v>
      </c>
      <c r="F40" s="5"/>
    </row>
    <row r="41" spans="1:6" ht="24" customHeight="1">
      <c r="A41" s="21">
        <v>4</v>
      </c>
      <c r="B41" s="48" t="s">
        <v>441</v>
      </c>
      <c r="C41" s="51">
        <v>5981952</v>
      </c>
      <c r="D41" s="51">
        <v>7209183</v>
      </c>
      <c r="E41" s="23">
        <v>7344217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1.466252765000185</v>
      </c>
      <c r="D43" s="173">
        <f>IF(D38=0,0,IF((D46-D47)=0,0,((+D44-D45)/(D46-D47)/D38)))</f>
        <v>1.4415491957978273</v>
      </c>
      <c r="E43" s="173">
        <f>IF(E38=0,0,IF((E46-E47)=0,0,((+E44-E45)/(E46-E47)/E38)))</f>
        <v>1.364949643547302</v>
      </c>
      <c r="F43" s="5"/>
    </row>
    <row r="44" spans="1:6" ht="24" customHeight="1">
      <c r="A44" s="21">
        <v>6</v>
      </c>
      <c r="B44" s="48" t="s">
        <v>443</v>
      </c>
      <c r="C44" s="51">
        <v>239696335</v>
      </c>
      <c r="D44" s="51">
        <v>253942363</v>
      </c>
      <c r="E44" s="23">
        <v>268618141</v>
      </c>
      <c r="F44" s="5"/>
    </row>
    <row r="45" spans="1:6" ht="24" customHeight="1">
      <c r="A45" s="21">
        <v>7</v>
      </c>
      <c r="B45" s="48" t="s">
        <v>444</v>
      </c>
      <c r="C45" s="51">
        <v>6115158</v>
      </c>
      <c r="D45" s="51">
        <v>4646462</v>
      </c>
      <c r="E45" s="23">
        <v>2795211</v>
      </c>
      <c r="F45" s="5"/>
    </row>
    <row r="46" spans="1:6" ht="24" customHeight="1">
      <c r="A46" s="21">
        <v>8</v>
      </c>
      <c r="B46" s="48" t="s">
        <v>445</v>
      </c>
      <c r="C46" s="51">
        <v>395955811</v>
      </c>
      <c r="D46" s="51">
        <v>435092321</v>
      </c>
      <c r="E46" s="23">
        <v>471850921</v>
      </c>
      <c r="F46" s="5"/>
    </row>
    <row r="47" spans="1:6" ht="24" customHeight="1">
      <c r="A47" s="21">
        <v>9</v>
      </c>
      <c r="B47" s="48" t="s">
        <v>446</v>
      </c>
      <c r="C47" s="51">
        <v>25326186</v>
      </c>
      <c r="D47" s="51">
        <v>25962335</v>
      </c>
      <c r="E47" s="174">
        <v>27565078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0.8427435856091617</v>
      </c>
      <c r="D49" s="175">
        <f>IF(D38=0,0,IF(D51=0,0,(D50/D51)/D38))</f>
        <v>0.8560447512779562</v>
      </c>
      <c r="E49" s="175">
        <f>IF(E38=0,0,IF(E51=0,0,(E50/E51)/E38))</f>
        <v>0.7898281765308958</v>
      </c>
      <c r="F49" s="7"/>
    </row>
    <row r="50" spans="1:6" ht="24" customHeight="1">
      <c r="A50" s="21">
        <v>11</v>
      </c>
      <c r="B50" s="48" t="s">
        <v>448</v>
      </c>
      <c r="C50" s="176">
        <v>122845037</v>
      </c>
      <c r="D50" s="176">
        <v>137007798</v>
      </c>
      <c r="E50" s="176">
        <v>148032576</v>
      </c>
      <c r="F50" s="11"/>
    </row>
    <row r="51" spans="1:6" ht="24" customHeight="1">
      <c r="A51" s="21">
        <v>12</v>
      </c>
      <c r="B51" s="48" t="s">
        <v>449</v>
      </c>
      <c r="C51" s="176">
        <v>339135530</v>
      </c>
      <c r="D51" s="176">
        <v>378638228</v>
      </c>
      <c r="E51" s="176">
        <v>427574048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0.7056749361124869</v>
      </c>
      <c r="D53" s="175">
        <f>IF(D38=0,0,IF(D55=0,0,(D54/D55)/D38))</f>
        <v>0.7955947530699753</v>
      </c>
      <c r="E53" s="175">
        <f>IF(E38=0,0,IF(E55=0,0,(E54/E55)/E38))</f>
        <v>0.6424737006912247</v>
      </c>
      <c r="F53" s="13"/>
    </row>
    <row r="54" spans="1:6" ht="24" customHeight="1">
      <c r="A54" s="21">
        <v>14</v>
      </c>
      <c r="B54" s="48" t="s">
        <v>451</v>
      </c>
      <c r="C54" s="176">
        <v>16329224</v>
      </c>
      <c r="D54" s="176">
        <v>20804641</v>
      </c>
      <c r="E54" s="176">
        <v>22952045</v>
      </c>
      <c r="F54" s="13"/>
    </row>
    <row r="55" spans="1:6" ht="24" customHeight="1">
      <c r="A55" s="21">
        <v>15</v>
      </c>
      <c r="B55" s="48" t="s">
        <v>452</v>
      </c>
      <c r="C55" s="176">
        <v>53835901</v>
      </c>
      <c r="D55" s="176">
        <v>61864849</v>
      </c>
      <c r="E55" s="176">
        <v>81499078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9919306.217410624</v>
      </c>
      <c r="D57" s="53">
        <f>+D60*D38</f>
        <v>10675330.44022622</v>
      </c>
      <c r="E57" s="53">
        <f>+E60*E38</f>
        <v>12695349.888613898</v>
      </c>
      <c r="F57" s="13"/>
    </row>
    <row r="58" spans="1:6" ht="24" customHeight="1">
      <c r="A58" s="21">
        <v>17</v>
      </c>
      <c r="B58" s="48" t="s">
        <v>454</v>
      </c>
      <c r="C58" s="51">
        <v>9945753</v>
      </c>
      <c r="D58" s="51">
        <v>9657765</v>
      </c>
      <c r="E58" s="52">
        <v>12266705</v>
      </c>
      <c r="F58" s="28"/>
    </row>
    <row r="59" spans="1:6" ht="24" customHeight="1">
      <c r="A59" s="21">
        <v>18</v>
      </c>
      <c r="B59" s="48" t="s">
        <v>200</v>
      </c>
      <c r="C59" s="51">
        <v>13131942</v>
      </c>
      <c r="D59" s="51">
        <v>15597793</v>
      </c>
      <c r="E59" s="52">
        <v>16695481</v>
      </c>
      <c r="F59" s="28"/>
    </row>
    <row r="60" spans="1:6" ht="24" customHeight="1">
      <c r="A60" s="21">
        <v>19</v>
      </c>
      <c r="B60" s="48" t="s">
        <v>455</v>
      </c>
      <c r="C60" s="51">
        <v>23077695</v>
      </c>
      <c r="D60" s="51">
        <v>25255558</v>
      </c>
      <c r="E60" s="52">
        <v>28962186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0.028410768481950816</v>
      </c>
      <c r="D62" s="178">
        <f>IF(D63=0,0,+D57/D63)</f>
        <v>0.027982024128833303</v>
      </c>
      <c r="E62" s="178">
        <f>IF(E63=0,0,+E57/E63)</f>
        <v>0.02868430356786005</v>
      </c>
      <c r="F62" s="13"/>
    </row>
    <row r="63" spans="1:6" ht="24" customHeight="1">
      <c r="A63" s="21">
        <v>21</v>
      </c>
      <c r="B63" s="45" t="s">
        <v>439</v>
      </c>
      <c r="C63" s="176">
        <v>349138962</v>
      </c>
      <c r="D63" s="176">
        <v>381506727</v>
      </c>
      <c r="E63" s="176">
        <v>442588744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6.126081799707516</v>
      </c>
      <c r="D67" s="179">
        <f>IF(D69=0,0,D68/D69)</f>
        <v>5.566516744823845</v>
      </c>
      <c r="E67" s="179">
        <f>IF(E69=0,0,E68/E69)</f>
        <v>4.8731741739565635</v>
      </c>
      <c r="F67" s="28"/>
    </row>
    <row r="68" spans="1:6" ht="24" customHeight="1">
      <c r="A68" s="21">
        <v>2</v>
      </c>
      <c r="B68" s="48" t="s">
        <v>140</v>
      </c>
      <c r="C68" s="180">
        <v>229880319</v>
      </c>
      <c r="D68" s="180">
        <v>221005672</v>
      </c>
      <c r="E68" s="180">
        <v>241828286</v>
      </c>
      <c r="F68" s="28"/>
    </row>
    <row r="69" spans="1:6" ht="24" customHeight="1">
      <c r="A69" s="21">
        <v>3</v>
      </c>
      <c r="B69" s="48" t="s">
        <v>169</v>
      </c>
      <c r="C69" s="180">
        <v>37524853</v>
      </c>
      <c r="D69" s="180">
        <v>39702687</v>
      </c>
      <c r="E69" s="180">
        <v>49624388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167.83155802930247</v>
      </c>
      <c r="D71" s="181">
        <f>IF((D77/365)=0,0,+D74/(D77/365))</f>
        <v>131.8450222761576</v>
      </c>
      <c r="E71" s="181">
        <f>IF((E77/365)=0,0,+E74/(E77/365))</f>
        <v>159.76250604582353</v>
      </c>
      <c r="F71" s="28"/>
    </row>
    <row r="72" spans="1:6" ht="24" customHeight="1">
      <c r="A72" s="21">
        <v>5</v>
      </c>
      <c r="B72" s="22" t="s">
        <v>131</v>
      </c>
      <c r="C72" s="182">
        <v>7241033</v>
      </c>
      <c r="D72" s="182">
        <v>29827344</v>
      </c>
      <c r="E72" s="182">
        <v>38643022</v>
      </c>
      <c r="F72" s="28"/>
    </row>
    <row r="73" spans="1:6" ht="24" customHeight="1">
      <c r="A73" s="21">
        <v>6</v>
      </c>
      <c r="B73" s="183" t="s">
        <v>132</v>
      </c>
      <c r="C73" s="184">
        <v>157436759</v>
      </c>
      <c r="D73" s="184">
        <v>113069804</v>
      </c>
      <c r="E73" s="184">
        <v>144958291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164677792</v>
      </c>
      <c r="D74" s="180">
        <f>+D72+D73</f>
        <v>142897148</v>
      </c>
      <c r="E74" s="180">
        <f>+E72+E73</f>
        <v>183601313</v>
      </c>
      <c r="F74" s="28"/>
    </row>
    <row r="75" spans="1:6" ht="24" customHeight="1">
      <c r="A75" s="21">
        <v>8</v>
      </c>
      <c r="B75" s="48" t="s">
        <v>439</v>
      </c>
      <c r="C75" s="180">
        <f>+C14</f>
        <v>378387622</v>
      </c>
      <c r="D75" s="180">
        <f>+D14</f>
        <v>415921169</v>
      </c>
      <c r="E75" s="180">
        <f>+E14</f>
        <v>442588744</v>
      </c>
      <c r="F75" s="28"/>
    </row>
    <row r="76" spans="1:6" ht="24" customHeight="1">
      <c r="A76" s="21">
        <v>9</v>
      </c>
      <c r="B76" s="45" t="s">
        <v>462</v>
      </c>
      <c r="C76" s="180">
        <v>20246431</v>
      </c>
      <c r="D76" s="180">
        <v>20324444</v>
      </c>
      <c r="E76" s="180">
        <v>23125624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358141191</v>
      </c>
      <c r="D77" s="180">
        <f>+D75-D76</f>
        <v>395596725</v>
      </c>
      <c r="E77" s="180">
        <f>+E75-E76</f>
        <v>419463120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38.796852948953685</v>
      </c>
      <c r="D79" s="179">
        <f>IF((D84/365)=0,0,+D83/(D84/365))</f>
        <v>37.65439001601359</v>
      </c>
      <c r="E79" s="179">
        <f>IF((E84/365)=0,0,+E83/(E84/365))</f>
        <v>26.30836631810438</v>
      </c>
      <c r="F79" s="28"/>
    </row>
    <row r="80" spans="1:6" ht="24" customHeight="1">
      <c r="A80" s="21">
        <v>12</v>
      </c>
      <c r="B80" s="188" t="s">
        <v>465</v>
      </c>
      <c r="C80" s="189">
        <v>43746835</v>
      </c>
      <c r="D80" s="189">
        <v>47038786</v>
      </c>
      <c r="E80" s="189">
        <v>41637724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1921584</v>
      </c>
      <c r="D82" s="190">
        <v>2891698</v>
      </c>
      <c r="E82" s="190">
        <v>8646835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41825251</v>
      </c>
      <c r="D83" s="191">
        <f>+D80+D81-D82</f>
        <v>44147088</v>
      </c>
      <c r="E83" s="191">
        <f>+E80+E81-E82</f>
        <v>32990889</v>
      </c>
      <c r="F83" s="28"/>
    </row>
    <row r="84" spans="1:6" ht="24" customHeight="1">
      <c r="A84" s="21">
        <v>16</v>
      </c>
      <c r="B84" s="48" t="s">
        <v>190</v>
      </c>
      <c r="C84" s="180">
        <f>+C11</f>
        <v>393491107</v>
      </c>
      <c r="D84" s="191">
        <f>+D11</f>
        <v>427936480</v>
      </c>
      <c r="E84" s="191">
        <f>+E11</f>
        <v>457712742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38.24349638966829</v>
      </c>
      <c r="D86" s="179">
        <f>IF((D90/365)=0,0,+D87/(D90/365))</f>
        <v>36.63195329789446</v>
      </c>
      <c r="E86" s="179">
        <f>IF((E90/365)=0,0,+E87/(E90/365))</f>
        <v>43.18115409049549</v>
      </c>
      <c r="F86" s="13"/>
    </row>
    <row r="87" spans="1:6" ht="24" customHeight="1">
      <c r="A87" s="21">
        <v>18</v>
      </c>
      <c r="B87" s="48" t="s">
        <v>169</v>
      </c>
      <c r="C87" s="51">
        <f>+C69</f>
        <v>37524853</v>
      </c>
      <c r="D87" s="51">
        <f>+D69</f>
        <v>39702687</v>
      </c>
      <c r="E87" s="51">
        <f>+E69</f>
        <v>49624388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378387622</v>
      </c>
      <c r="D88" s="51">
        <f t="shared" si="0"/>
        <v>415921169</v>
      </c>
      <c r="E88" s="51">
        <f t="shared" si="0"/>
        <v>442588744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20246431</v>
      </c>
      <c r="D89" s="52">
        <f t="shared" si="0"/>
        <v>20324444</v>
      </c>
      <c r="E89" s="52">
        <f t="shared" si="0"/>
        <v>23125624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358141191</v>
      </c>
      <c r="D90" s="51">
        <f>+D88-D89</f>
        <v>395596725</v>
      </c>
      <c r="E90" s="51">
        <f>+E88-E89</f>
        <v>419463120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68.83740013472388</v>
      </c>
      <c r="D94" s="192">
        <f>IF(D96=0,0,(D95/D96)*100)</f>
        <v>68.47916488389608</v>
      </c>
      <c r="E94" s="192">
        <f>IF(E96=0,0,(E95/E96)*100)</f>
        <v>68.04248636709013</v>
      </c>
      <c r="F94" s="28"/>
    </row>
    <row r="95" spans="1:6" ht="24" customHeight="1">
      <c r="A95" s="21">
        <v>2</v>
      </c>
      <c r="B95" s="48" t="s">
        <v>182</v>
      </c>
      <c r="C95" s="51">
        <f>+C32</f>
        <v>382105019</v>
      </c>
      <c r="D95" s="51">
        <f>+D32</f>
        <v>376402186</v>
      </c>
      <c r="E95" s="51">
        <f>+E32</f>
        <v>380666988</v>
      </c>
      <c r="F95" s="28"/>
    </row>
    <row r="96" spans="1:6" ht="24" customHeight="1">
      <c r="A96" s="21">
        <v>3</v>
      </c>
      <c r="B96" s="48" t="s">
        <v>158</v>
      </c>
      <c r="C96" s="51">
        <v>555083455</v>
      </c>
      <c r="D96" s="51">
        <v>549659428</v>
      </c>
      <c r="E96" s="51">
        <v>559454847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46.1256914359972</v>
      </c>
      <c r="D98" s="192">
        <f>IF(D104=0,0,(D101/D104)*100)</f>
        <v>8.318225835605443</v>
      </c>
      <c r="E98" s="192">
        <f>IF(E104=0,0,(E101/E104)*100)</f>
        <v>37.51703749499055</v>
      </c>
      <c r="F98" s="28"/>
    </row>
    <row r="99" spans="1:6" ht="24" customHeight="1">
      <c r="A99" s="21">
        <v>5</v>
      </c>
      <c r="B99" s="48" t="s">
        <v>473</v>
      </c>
      <c r="C99" s="51">
        <f>+C28</f>
        <v>51954046</v>
      </c>
      <c r="D99" s="51">
        <f>+D28</f>
        <v>-7278331</v>
      </c>
      <c r="E99" s="51">
        <f>+E28</f>
        <v>38514639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20246431</v>
      </c>
      <c r="D100" s="52">
        <f>+D76</f>
        <v>20324444</v>
      </c>
      <c r="E100" s="52">
        <f>+E76</f>
        <v>23125624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72200477</v>
      </c>
      <c r="D101" s="51">
        <f>+D99+D100</f>
        <v>13046113</v>
      </c>
      <c r="E101" s="51">
        <f>+E99+E100</f>
        <v>61640263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37524853</v>
      </c>
      <c r="D102" s="180">
        <f>+D69</f>
        <v>39702687</v>
      </c>
      <c r="E102" s="180">
        <f>+E69</f>
        <v>49624388</v>
      </c>
      <c r="F102" s="28"/>
    </row>
    <row r="103" spans="1:6" ht="24" customHeight="1">
      <c r="A103" s="21">
        <v>9</v>
      </c>
      <c r="B103" s="48" t="s">
        <v>173</v>
      </c>
      <c r="C103" s="194">
        <v>119005000</v>
      </c>
      <c r="D103" s="194">
        <v>117135000</v>
      </c>
      <c r="E103" s="194">
        <v>114675000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156529853</v>
      </c>
      <c r="D104" s="180">
        <f>+D102+D103</f>
        <v>156837687</v>
      </c>
      <c r="E104" s="180">
        <f>+E102+E103</f>
        <v>164299388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23.74827792058175</v>
      </c>
      <c r="D106" s="197">
        <f>IF(D109=0,0,(D107/D109)*100)</f>
        <v>23.733773932892667</v>
      </c>
      <c r="E106" s="197">
        <f>IF(E109=0,0,(E107/E109)*100)</f>
        <v>23.150672217999013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119005000</v>
      </c>
      <c r="D107" s="180">
        <f>+D103</f>
        <v>117135000</v>
      </c>
      <c r="E107" s="180">
        <f>+E103</f>
        <v>114675000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382105019</v>
      </c>
      <c r="D108" s="180">
        <f>+D32</f>
        <v>376402186</v>
      </c>
      <c r="E108" s="180">
        <f>+E32</f>
        <v>380666988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501110019</v>
      </c>
      <c r="D109" s="180">
        <f>+D107+D108</f>
        <v>493537186</v>
      </c>
      <c r="E109" s="180">
        <f>+E107+E108</f>
        <v>495341988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22.244232023143702</v>
      </c>
      <c r="D111" s="197">
        <f>IF((+D113+D115)=0,0,((+D112+D113+D114)/(+D113+D115)))</f>
        <v>3.2965524901870142</v>
      </c>
      <c r="E111" s="197">
        <f>IF((+E113+E115)=0,0,((+E112+E113+E114)/(+E113+E115)))</f>
        <v>9.34850287328773</v>
      </c>
    </row>
    <row r="112" spans="1:6" ht="24" customHeight="1">
      <c r="A112" s="17">
        <v>16</v>
      </c>
      <c r="B112" s="48" t="s">
        <v>479</v>
      </c>
      <c r="C112" s="180">
        <f>+C17</f>
        <v>51954046</v>
      </c>
      <c r="D112" s="180">
        <f>+D17</f>
        <v>-7278331</v>
      </c>
      <c r="E112" s="180">
        <f>+E17</f>
        <v>38514639</v>
      </c>
      <c r="F112" s="28"/>
    </row>
    <row r="113" spans="1:6" ht="24" customHeight="1">
      <c r="A113" s="17">
        <v>17</v>
      </c>
      <c r="B113" s="48" t="s">
        <v>301</v>
      </c>
      <c r="C113" s="180">
        <v>3398592</v>
      </c>
      <c r="D113" s="180">
        <v>5680738</v>
      </c>
      <c r="E113" s="180">
        <v>4667920</v>
      </c>
      <c r="F113" s="28"/>
    </row>
    <row r="114" spans="1:6" ht="24" customHeight="1">
      <c r="A114" s="17">
        <v>18</v>
      </c>
      <c r="B114" s="48" t="s">
        <v>480</v>
      </c>
      <c r="C114" s="180">
        <v>20246431</v>
      </c>
      <c r="D114" s="180">
        <v>20324444</v>
      </c>
      <c r="E114" s="180">
        <v>23125624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2425000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10.39220774268808</v>
      </c>
      <c r="D119" s="197">
        <f>IF(+D121=0,0,(+D120)/(+D121))</f>
        <v>11.275480401825506</v>
      </c>
      <c r="E119" s="197">
        <f>IF(+E121=0,0,(+E120)/(+E121))</f>
        <v>10.896733554087016</v>
      </c>
    </row>
    <row r="120" spans="1:6" ht="24" customHeight="1">
      <c r="A120" s="17">
        <v>21</v>
      </c>
      <c r="B120" s="48" t="s">
        <v>484</v>
      </c>
      <c r="C120" s="180">
        <v>210405117</v>
      </c>
      <c r="D120" s="180">
        <v>229167870</v>
      </c>
      <c r="E120" s="180">
        <v>251993763</v>
      </c>
      <c r="F120" s="28"/>
    </row>
    <row r="121" spans="1:6" ht="24" customHeight="1">
      <c r="A121" s="17">
        <v>22</v>
      </c>
      <c r="B121" s="48" t="s">
        <v>480</v>
      </c>
      <c r="C121" s="180">
        <v>20246431</v>
      </c>
      <c r="D121" s="180">
        <v>20324444</v>
      </c>
      <c r="E121" s="180">
        <v>23125624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88139</v>
      </c>
      <c r="D124" s="198">
        <v>87644</v>
      </c>
      <c r="E124" s="198">
        <v>91794</v>
      </c>
    </row>
    <row r="125" spans="1:5" ht="24" customHeight="1">
      <c r="A125" s="44">
        <v>2</v>
      </c>
      <c r="B125" s="48" t="s">
        <v>488</v>
      </c>
      <c r="C125" s="198">
        <v>20752</v>
      </c>
      <c r="D125" s="198">
        <v>20459</v>
      </c>
      <c r="E125" s="198">
        <v>20497</v>
      </c>
    </row>
    <row r="126" spans="1:5" ht="24" customHeight="1">
      <c r="A126" s="44">
        <v>3</v>
      </c>
      <c r="B126" s="48" t="s">
        <v>489</v>
      </c>
      <c r="C126" s="199">
        <f>IF(C125=0,0,C124/C125)</f>
        <v>4.247253276792598</v>
      </c>
      <c r="D126" s="199">
        <f>IF(D125=0,0,D124/D125)</f>
        <v>4.283884842856445</v>
      </c>
      <c r="E126" s="199">
        <f>IF(E125=0,0,E124/E125)</f>
        <v>4.478411474849978</v>
      </c>
    </row>
    <row r="127" spans="1:5" ht="24" customHeight="1">
      <c r="A127" s="44">
        <v>4</v>
      </c>
      <c r="B127" s="48" t="s">
        <v>490</v>
      </c>
      <c r="C127" s="198">
        <v>246</v>
      </c>
      <c r="D127" s="198">
        <v>248</v>
      </c>
      <c r="E127" s="198">
        <v>271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351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371</v>
      </c>
      <c r="D129" s="198">
        <v>347</v>
      </c>
      <c r="E129" s="198">
        <v>371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0.9816</v>
      </c>
      <c r="D130" s="171">
        <v>0.9682</v>
      </c>
      <c r="E130" s="171">
        <v>0.928</v>
      </c>
    </row>
    <row r="131" spans="1:5" ht="24" customHeight="1">
      <c r="A131" s="44">
        <v>7</v>
      </c>
      <c r="B131" s="48" t="s">
        <v>494</v>
      </c>
      <c r="C131" s="171">
        <v>0.6508</v>
      </c>
      <c r="D131" s="171">
        <v>0.6919</v>
      </c>
      <c r="E131" s="171">
        <v>0.7164</v>
      </c>
    </row>
    <row r="132" spans="1:5" ht="24" customHeight="1">
      <c r="A132" s="44">
        <v>8</v>
      </c>
      <c r="B132" s="48" t="s">
        <v>495</v>
      </c>
      <c r="C132" s="199">
        <v>2345.9</v>
      </c>
      <c r="D132" s="199">
        <v>2448.1</v>
      </c>
      <c r="E132" s="199">
        <v>2448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0.45966433275481855</v>
      </c>
      <c r="D135" s="203">
        <f>IF(D149=0,0,D143/D149)</f>
        <v>0.4569474977091001</v>
      </c>
      <c r="E135" s="203">
        <f>IF(E149=0,0,E143/E149)</f>
        <v>0.4432471394264566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0.42060455127110186</v>
      </c>
      <c r="D136" s="203">
        <f>IF(D149=0,0,D144/D149)</f>
        <v>0.42289198235791914</v>
      </c>
      <c r="E136" s="203">
        <f>IF(E149=0,0,E144/E149)</f>
        <v>0.4265744152216672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0.06676866025326353</v>
      </c>
      <c r="D137" s="203">
        <f>IF(D149=0,0,D145/D149)</f>
        <v>0.06909537045446804</v>
      </c>
      <c r="E137" s="203">
        <f>IF(E149=0,0,E145/E149)</f>
        <v>0.08130853989284925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0.020862036235109488</v>
      </c>
      <c r="D138" s="203">
        <f>IF(D149=0,0,D146/D149)</f>
        <v>0.021291136164346833</v>
      </c>
      <c r="E138" s="203">
        <f>IF(E149=0,0,E146/E149)</f>
        <v>0.020360935265742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0.03141018311451608</v>
      </c>
      <c r="D139" s="203">
        <f>IF(D149=0,0,D147/D149)</f>
        <v>0.028996711116000645</v>
      </c>
      <c r="E139" s="203">
        <f>IF(E149=0,0,E147/E149)</f>
        <v>0.02750063312633428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0.0006902363711905099</v>
      </c>
      <c r="D140" s="203">
        <f>IF(D149=0,0,D148/D149)</f>
        <v>0.0007773021981652623</v>
      </c>
      <c r="E140" s="203">
        <f>IF(E149=0,0,E148/E149)</f>
        <v>0.0010083370669506562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370629625</v>
      </c>
      <c r="D143" s="205">
        <f>+D46-D147</f>
        <v>409129986</v>
      </c>
      <c r="E143" s="205">
        <f>+E46-E147</f>
        <v>444285843</v>
      </c>
    </row>
    <row r="144" spans="1:5" ht="19.5" customHeight="1">
      <c r="A144" s="202">
        <v>9</v>
      </c>
      <c r="B144" s="201" t="s">
        <v>505</v>
      </c>
      <c r="C144" s="206">
        <f>+C51</f>
        <v>339135530</v>
      </c>
      <c r="D144" s="205">
        <f>+D51</f>
        <v>378638228</v>
      </c>
      <c r="E144" s="205">
        <f>+E51</f>
        <v>427574048</v>
      </c>
    </row>
    <row r="145" spans="1:5" ht="19.5" customHeight="1">
      <c r="A145" s="202">
        <v>10</v>
      </c>
      <c r="B145" s="201" t="s">
        <v>506</v>
      </c>
      <c r="C145" s="206">
        <f>+C55</f>
        <v>53835901</v>
      </c>
      <c r="D145" s="205">
        <f>+D55</f>
        <v>61864849</v>
      </c>
      <c r="E145" s="205">
        <f>+E55</f>
        <v>81499078</v>
      </c>
    </row>
    <row r="146" spans="1:5" ht="19.5" customHeight="1">
      <c r="A146" s="202">
        <v>11</v>
      </c>
      <c r="B146" s="201" t="s">
        <v>507</v>
      </c>
      <c r="C146" s="204">
        <v>16821163</v>
      </c>
      <c r="D146" s="205">
        <v>19063114</v>
      </c>
      <c r="E146" s="205">
        <v>20408649</v>
      </c>
    </row>
    <row r="147" spans="1:5" ht="19.5" customHeight="1">
      <c r="A147" s="202">
        <v>12</v>
      </c>
      <c r="B147" s="201" t="s">
        <v>508</v>
      </c>
      <c r="C147" s="206">
        <f>+C47</f>
        <v>25326186</v>
      </c>
      <c r="D147" s="205">
        <f>+D47</f>
        <v>25962335</v>
      </c>
      <c r="E147" s="205">
        <f>+E47</f>
        <v>27565078</v>
      </c>
    </row>
    <row r="148" spans="1:5" ht="19.5" customHeight="1">
      <c r="A148" s="202">
        <v>13</v>
      </c>
      <c r="B148" s="201" t="s">
        <v>509</v>
      </c>
      <c r="C148" s="206">
        <v>556541</v>
      </c>
      <c r="D148" s="205">
        <v>695961</v>
      </c>
      <c r="E148" s="205">
        <v>1010700</v>
      </c>
    </row>
    <row r="149" spans="1:5" ht="19.5" customHeight="1">
      <c r="A149" s="202">
        <v>14</v>
      </c>
      <c r="B149" s="201" t="s">
        <v>510</v>
      </c>
      <c r="C149" s="204">
        <f>SUM(C143:C148)</f>
        <v>806304946</v>
      </c>
      <c r="D149" s="205">
        <f>SUM(D143:D148)</f>
        <v>895354473</v>
      </c>
      <c r="E149" s="205">
        <f>SUM(E143:E148)</f>
        <v>1002343396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0.6100123386765693</v>
      </c>
      <c r="D152" s="203">
        <f>IF(D166=0,0,D160/D166)</f>
        <v>0.6002648278089637</v>
      </c>
      <c r="E152" s="203">
        <f>IF(E166=0,0,E160/E166)</f>
        <v>0.5993205355542504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0.32081775285848346</v>
      </c>
      <c r="D153" s="203">
        <f>IF(D166=0,0,D161/D166)</f>
        <v>0.329892958308028</v>
      </c>
      <c r="E153" s="203">
        <f>IF(E166=0,0,E161/E166)</f>
        <v>0.3337521060647224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0.042644823735148676</v>
      </c>
      <c r="D154" s="203">
        <f>IF(D166=0,0,D162/D166)</f>
        <v>0.05009426226984898</v>
      </c>
      <c r="E154" s="203">
        <f>IF(E166=0,0,E162/E166)</f>
        <v>0.05174734888922207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0.010055294213817158</v>
      </c>
      <c r="D155" s="203">
        <f>IF(D166=0,0,D163/D166)</f>
        <v>0.008117413846416779</v>
      </c>
      <c r="E155" s="203">
        <f>IF(E166=0,0,E163/E166)</f>
        <v>0.008215980276885651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0.015970130302737248</v>
      </c>
      <c r="D156" s="203">
        <f>IF(D166=0,0,D164/D166)</f>
        <v>0.011187940520333277</v>
      </c>
      <c r="E156" s="203">
        <f>IF(E166=0,0,E164/E166)</f>
        <v>0.006302042316316097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0.0004996602132441233</v>
      </c>
      <c r="D157" s="203">
        <f>IF(D166=0,0,D165/D166)</f>
        <v>0.0004425972464092166</v>
      </c>
      <c r="E157" s="203">
        <f>IF(E166=0,0,E165/E166)</f>
        <v>0.000661986898603397</v>
      </c>
    </row>
    <row r="158" spans="1:5" ht="19.5" customHeight="1">
      <c r="A158" s="202">
        <v>7</v>
      </c>
      <c r="B158" s="195" t="s">
        <v>519</v>
      </c>
      <c r="C158" s="203">
        <f>SUM(C152:C157)</f>
        <v>0.9999999999999999</v>
      </c>
      <c r="D158" s="203">
        <f>SUM(D152:D157)</f>
        <v>0.9999999999999999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233581177</v>
      </c>
      <c r="D160" s="208">
        <f>+D44-D164</f>
        <v>249295901</v>
      </c>
      <c r="E160" s="208">
        <f>+E44-E164</f>
        <v>265822930</v>
      </c>
    </row>
    <row r="161" spans="1:5" ht="19.5" customHeight="1">
      <c r="A161" s="202">
        <v>9</v>
      </c>
      <c r="B161" s="201" t="s">
        <v>521</v>
      </c>
      <c r="C161" s="209">
        <f>+C50</f>
        <v>122845037</v>
      </c>
      <c r="D161" s="208">
        <f>+D50</f>
        <v>137007798</v>
      </c>
      <c r="E161" s="208">
        <f>+E50</f>
        <v>148032576</v>
      </c>
    </row>
    <row r="162" spans="1:5" ht="19.5" customHeight="1">
      <c r="A162" s="202">
        <v>10</v>
      </c>
      <c r="B162" s="201" t="s">
        <v>522</v>
      </c>
      <c r="C162" s="209">
        <f>+C54</f>
        <v>16329224</v>
      </c>
      <c r="D162" s="208">
        <f>+D54</f>
        <v>20804641</v>
      </c>
      <c r="E162" s="208">
        <f>+E54</f>
        <v>22952045</v>
      </c>
    </row>
    <row r="163" spans="1:5" ht="19.5" customHeight="1">
      <c r="A163" s="202">
        <v>11</v>
      </c>
      <c r="B163" s="201" t="s">
        <v>523</v>
      </c>
      <c r="C163" s="207">
        <v>3850295</v>
      </c>
      <c r="D163" s="208">
        <v>3371242</v>
      </c>
      <c r="E163" s="208">
        <v>3644120</v>
      </c>
    </row>
    <row r="164" spans="1:5" ht="19.5" customHeight="1">
      <c r="A164" s="202">
        <v>12</v>
      </c>
      <c r="B164" s="201" t="s">
        <v>524</v>
      </c>
      <c r="C164" s="209">
        <f>+C45</f>
        <v>6115158</v>
      </c>
      <c r="D164" s="208">
        <f>+D45</f>
        <v>4646462</v>
      </c>
      <c r="E164" s="208">
        <f>+E45</f>
        <v>2795211</v>
      </c>
    </row>
    <row r="165" spans="1:5" ht="19.5" customHeight="1">
      <c r="A165" s="202">
        <v>13</v>
      </c>
      <c r="B165" s="201" t="s">
        <v>525</v>
      </c>
      <c r="C165" s="209">
        <v>191326</v>
      </c>
      <c r="D165" s="208">
        <v>183815</v>
      </c>
      <c r="E165" s="208">
        <v>293618</v>
      </c>
    </row>
    <row r="166" spans="1:5" ht="19.5" customHeight="1">
      <c r="A166" s="202">
        <v>14</v>
      </c>
      <c r="B166" s="201" t="s">
        <v>526</v>
      </c>
      <c r="C166" s="207">
        <f>SUM(C160:C165)</f>
        <v>382912217</v>
      </c>
      <c r="D166" s="208">
        <f>SUM(D160:D165)</f>
        <v>415309859</v>
      </c>
      <c r="E166" s="208">
        <f>SUM(E160:E165)</f>
        <v>443540500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9712</v>
      </c>
      <c r="D169" s="198">
        <v>9311</v>
      </c>
      <c r="E169" s="198">
        <v>9049</v>
      </c>
    </row>
    <row r="170" spans="1:5" ht="19.5" customHeight="1">
      <c r="A170" s="202">
        <v>2</v>
      </c>
      <c r="B170" s="201" t="s">
        <v>529</v>
      </c>
      <c r="C170" s="198">
        <v>8306</v>
      </c>
      <c r="D170" s="198">
        <v>8382</v>
      </c>
      <c r="E170" s="198">
        <v>8566</v>
      </c>
    </row>
    <row r="171" spans="1:5" ht="19.5" customHeight="1">
      <c r="A171" s="202">
        <v>3</v>
      </c>
      <c r="B171" s="201" t="s">
        <v>530</v>
      </c>
      <c r="C171" s="198">
        <v>2720</v>
      </c>
      <c r="D171" s="198">
        <v>2752</v>
      </c>
      <c r="E171" s="198">
        <v>2857</v>
      </c>
    </row>
    <row r="172" spans="1:5" ht="19.5" customHeight="1">
      <c r="A172" s="202">
        <v>4</v>
      </c>
      <c r="B172" s="201" t="s">
        <v>531</v>
      </c>
      <c r="C172" s="198">
        <v>2232</v>
      </c>
      <c r="D172" s="198">
        <v>2270</v>
      </c>
      <c r="E172" s="198">
        <v>2312</v>
      </c>
    </row>
    <row r="173" spans="1:5" ht="19.5" customHeight="1">
      <c r="A173" s="202">
        <v>5</v>
      </c>
      <c r="B173" s="201" t="s">
        <v>532</v>
      </c>
      <c r="C173" s="198">
        <v>488</v>
      </c>
      <c r="D173" s="198">
        <v>482</v>
      </c>
      <c r="E173" s="198">
        <v>545</v>
      </c>
    </row>
    <row r="174" spans="1:5" ht="19.5" customHeight="1">
      <c r="A174" s="202">
        <v>6</v>
      </c>
      <c r="B174" s="201" t="s">
        <v>533</v>
      </c>
      <c r="C174" s="198">
        <v>14</v>
      </c>
      <c r="D174" s="198">
        <v>14</v>
      </c>
      <c r="E174" s="198">
        <v>25</v>
      </c>
    </row>
    <row r="175" spans="1:5" ht="19.5" customHeight="1">
      <c r="A175" s="202">
        <v>7</v>
      </c>
      <c r="B175" s="201" t="s">
        <v>534</v>
      </c>
      <c r="C175" s="198">
        <v>421</v>
      </c>
      <c r="D175" s="198">
        <v>345</v>
      </c>
      <c r="E175" s="198">
        <v>322</v>
      </c>
    </row>
    <row r="176" spans="1:5" ht="19.5" customHeight="1">
      <c r="A176" s="202">
        <v>8</v>
      </c>
      <c r="B176" s="201" t="s">
        <v>535</v>
      </c>
      <c r="C176" s="198">
        <f>+C169+C170+C171+C174</f>
        <v>20752</v>
      </c>
      <c r="D176" s="198">
        <f>+D169+D170+D171+D174</f>
        <v>20459</v>
      </c>
      <c r="E176" s="198">
        <f>+E169+E170+E171+E174</f>
        <v>20497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1.0461</v>
      </c>
      <c r="D179" s="210">
        <v>1.1502</v>
      </c>
      <c r="E179" s="210">
        <v>1.1226</v>
      </c>
    </row>
    <row r="180" spans="1:5" ht="19.5" customHeight="1">
      <c r="A180" s="202">
        <v>2</v>
      </c>
      <c r="B180" s="201" t="s">
        <v>529</v>
      </c>
      <c r="C180" s="210">
        <v>1.4443</v>
      </c>
      <c r="D180" s="210">
        <v>1.397</v>
      </c>
      <c r="E180" s="210">
        <v>1.3711</v>
      </c>
    </row>
    <row r="181" spans="1:5" ht="19.5" customHeight="1">
      <c r="A181" s="202">
        <v>3</v>
      </c>
      <c r="B181" s="201" t="s">
        <v>530</v>
      </c>
      <c r="C181" s="210">
        <v>0.821705</v>
      </c>
      <c r="D181" s="210">
        <v>0.853932</v>
      </c>
      <c r="E181" s="210">
        <v>0.927379</v>
      </c>
    </row>
    <row r="182" spans="1:5" ht="19.5" customHeight="1">
      <c r="A182" s="202">
        <v>4</v>
      </c>
      <c r="B182" s="201" t="s">
        <v>531</v>
      </c>
      <c r="C182" s="210">
        <v>0.7435</v>
      </c>
      <c r="D182" s="210">
        <v>0.8419</v>
      </c>
      <c r="E182" s="210">
        <v>0.9414</v>
      </c>
    </row>
    <row r="183" spans="1:5" ht="19.5" customHeight="1">
      <c r="A183" s="202">
        <v>5</v>
      </c>
      <c r="B183" s="201" t="s">
        <v>532</v>
      </c>
      <c r="C183" s="210">
        <v>1.1794</v>
      </c>
      <c r="D183" s="210">
        <v>0.9106</v>
      </c>
      <c r="E183" s="210">
        <v>0.8679</v>
      </c>
    </row>
    <row r="184" spans="1:5" ht="19.5" customHeight="1">
      <c r="A184" s="202">
        <v>6</v>
      </c>
      <c r="B184" s="201" t="s">
        <v>533</v>
      </c>
      <c r="C184" s="210">
        <v>0.9438</v>
      </c>
      <c r="D184" s="210">
        <v>0.8912</v>
      </c>
      <c r="E184" s="210">
        <v>0.8139</v>
      </c>
    </row>
    <row r="185" spans="1:5" ht="19.5" customHeight="1">
      <c r="A185" s="202">
        <v>7</v>
      </c>
      <c r="B185" s="201" t="s">
        <v>534</v>
      </c>
      <c r="C185" s="210">
        <v>1.1378</v>
      </c>
      <c r="D185" s="210">
        <v>1.2087</v>
      </c>
      <c r="E185" s="210">
        <v>1.0332</v>
      </c>
    </row>
    <row r="186" spans="1:5" ht="19.5" customHeight="1">
      <c r="A186" s="202">
        <v>8</v>
      </c>
      <c r="B186" s="201" t="s">
        <v>538</v>
      </c>
      <c r="C186" s="210">
        <v>1.175999</v>
      </c>
      <c r="D186" s="210">
        <v>1.211284</v>
      </c>
      <c r="E186" s="210">
        <v>1.198864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11986</v>
      </c>
      <c r="D189" s="198">
        <v>13088</v>
      </c>
      <c r="E189" s="198">
        <v>13885</v>
      </c>
    </row>
    <row r="190" spans="1:5" ht="19.5" customHeight="1">
      <c r="A190" s="202">
        <v>2</v>
      </c>
      <c r="B190" s="201" t="s">
        <v>542</v>
      </c>
      <c r="C190" s="198">
        <v>55943</v>
      </c>
      <c r="D190" s="198">
        <v>54465</v>
      </c>
      <c r="E190" s="198">
        <v>55697</v>
      </c>
    </row>
    <row r="191" spans="1:5" ht="19.5" customHeight="1">
      <c r="A191" s="202">
        <v>3</v>
      </c>
      <c r="B191" s="201" t="s">
        <v>543</v>
      </c>
      <c r="C191" s="198">
        <f>+C190+C189</f>
        <v>67929</v>
      </c>
      <c r="D191" s="198">
        <f>+D190+D189</f>
        <v>67553</v>
      </c>
      <c r="E191" s="198">
        <f>+E190+E189</f>
        <v>69582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FILING&amp;RDANBURY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14160</v>
      </c>
      <c r="D14" s="237">
        <v>56088</v>
      </c>
      <c r="E14" s="237">
        <f aca="true" t="shared" si="0" ref="E14:E24">D14-C14</f>
        <v>41928</v>
      </c>
      <c r="F14" s="238">
        <f aca="true" t="shared" si="1" ref="F14:F24">IF(C14=0,0,E14/C14)</f>
        <v>2.961016949152542</v>
      </c>
    </row>
    <row r="15" spans="1:6" ht="20.25" customHeight="1">
      <c r="A15" s="235">
        <v>2</v>
      </c>
      <c r="B15" s="236" t="s">
        <v>550</v>
      </c>
      <c r="C15" s="237">
        <v>5572</v>
      </c>
      <c r="D15" s="237">
        <v>24019</v>
      </c>
      <c r="E15" s="237">
        <f t="shared" si="0"/>
        <v>18447</v>
      </c>
      <c r="F15" s="238">
        <f t="shared" si="1"/>
        <v>3.3106604450825556</v>
      </c>
    </row>
    <row r="16" spans="1:6" ht="20.25" customHeight="1">
      <c r="A16" s="235">
        <v>3</v>
      </c>
      <c r="B16" s="236" t="s">
        <v>551</v>
      </c>
      <c r="C16" s="237">
        <v>65795</v>
      </c>
      <c r="D16" s="237">
        <v>23911</v>
      </c>
      <c r="E16" s="237">
        <f t="shared" si="0"/>
        <v>-41884</v>
      </c>
      <c r="F16" s="238">
        <f t="shared" si="1"/>
        <v>-0.636583327000532</v>
      </c>
    </row>
    <row r="17" spans="1:6" ht="20.25" customHeight="1">
      <c r="A17" s="235">
        <v>4</v>
      </c>
      <c r="B17" s="236" t="s">
        <v>552</v>
      </c>
      <c r="C17" s="237">
        <v>59416</v>
      </c>
      <c r="D17" s="237">
        <v>17118</v>
      </c>
      <c r="E17" s="237">
        <f t="shared" si="0"/>
        <v>-42298</v>
      </c>
      <c r="F17" s="238">
        <f t="shared" si="1"/>
        <v>-0.7118957856469638</v>
      </c>
    </row>
    <row r="18" spans="1:6" ht="20.25" customHeight="1">
      <c r="A18" s="235">
        <v>5</v>
      </c>
      <c r="B18" s="236" t="s">
        <v>488</v>
      </c>
      <c r="C18" s="239">
        <v>1</v>
      </c>
      <c r="D18" s="239">
        <v>2</v>
      </c>
      <c r="E18" s="239">
        <f t="shared" si="0"/>
        <v>1</v>
      </c>
      <c r="F18" s="238">
        <f t="shared" si="1"/>
        <v>1</v>
      </c>
    </row>
    <row r="19" spans="1:6" ht="20.25" customHeight="1">
      <c r="A19" s="235">
        <v>6</v>
      </c>
      <c r="B19" s="236" t="s">
        <v>487</v>
      </c>
      <c r="C19" s="239">
        <v>2</v>
      </c>
      <c r="D19" s="239">
        <v>9</v>
      </c>
      <c r="E19" s="239">
        <f t="shared" si="0"/>
        <v>7</v>
      </c>
      <c r="F19" s="238">
        <f t="shared" si="1"/>
        <v>3.5</v>
      </c>
    </row>
    <row r="20" spans="1:6" ht="20.25" customHeight="1">
      <c r="A20" s="235">
        <v>7</v>
      </c>
      <c r="B20" s="236" t="s">
        <v>553</v>
      </c>
      <c r="C20" s="239">
        <v>20</v>
      </c>
      <c r="D20" s="239">
        <v>7</v>
      </c>
      <c r="E20" s="239">
        <f t="shared" si="0"/>
        <v>-13</v>
      </c>
      <c r="F20" s="238">
        <f t="shared" si="1"/>
        <v>-0.65</v>
      </c>
    </row>
    <row r="21" spans="1:6" ht="20.25" customHeight="1">
      <c r="A21" s="235">
        <v>8</v>
      </c>
      <c r="B21" s="236" t="s">
        <v>554</v>
      </c>
      <c r="C21" s="239">
        <v>4</v>
      </c>
      <c r="D21" s="239">
        <v>1</v>
      </c>
      <c r="E21" s="239">
        <f t="shared" si="0"/>
        <v>-3</v>
      </c>
      <c r="F21" s="238">
        <f t="shared" si="1"/>
        <v>-0.75</v>
      </c>
    </row>
    <row r="22" spans="1:6" ht="20.25" customHeight="1">
      <c r="A22" s="235">
        <v>9</v>
      </c>
      <c r="B22" s="236" t="s">
        <v>555</v>
      </c>
      <c r="C22" s="239">
        <v>1</v>
      </c>
      <c r="D22" s="239">
        <v>2</v>
      </c>
      <c r="E22" s="239">
        <f t="shared" si="0"/>
        <v>1</v>
      </c>
      <c r="F22" s="238">
        <f t="shared" si="1"/>
        <v>1</v>
      </c>
    </row>
    <row r="23" spans="1:6" s="240" customFormat="1" ht="20.25" customHeight="1">
      <c r="A23" s="241"/>
      <c r="B23" s="242" t="s">
        <v>556</v>
      </c>
      <c r="C23" s="243">
        <f>+C14+C16</f>
        <v>79955</v>
      </c>
      <c r="D23" s="243">
        <f>+D14+D16</f>
        <v>79999</v>
      </c>
      <c r="E23" s="243">
        <f t="shared" si="0"/>
        <v>44</v>
      </c>
      <c r="F23" s="244">
        <f t="shared" si="1"/>
        <v>0.0005503095491213808</v>
      </c>
    </row>
    <row r="24" spans="1:6" s="240" customFormat="1" ht="20.25" customHeight="1">
      <c r="A24" s="241"/>
      <c r="B24" s="242" t="s">
        <v>557</v>
      </c>
      <c r="C24" s="243">
        <f>+C15+C17</f>
        <v>64988</v>
      </c>
      <c r="D24" s="243">
        <f>+D15+D17</f>
        <v>41137</v>
      </c>
      <c r="E24" s="243">
        <f t="shared" si="0"/>
        <v>-23851</v>
      </c>
      <c r="F24" s="244">
        <f t="shared" si="1"/>
        <v>-0.3670062165322829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2524403</v>
      </c>
      <c r="D27" s="237">
        <v>0</v>
      </c>
      <c r="E27" s="237">
        <f aca="true" t="shared" si="2" ref="E27:E37">D27-C27</f>
        <v>-2524403</v>
      </c>
      <c r="F27" s="238">
        <f aca="true" t="shared" si="3" ref="F27:F37">IF(C27=0,0,E27/C27)</f>
        <v>-1</v>
      </c>
    </row>
    <row r="28" spans="1:6" ht="20.25" customHeight="1">
      <c r="A28" s="235">
        <v>2</v>
      </c>
      <c r="B28" s="236" t="s">
        <v>550</v>
      </c>
      <c r="C28" s="237">
        <v>1096538</v>
      </c>
      <c r="D28" s="237">
        <v>0</v>
      </c>
      <c r="E28" s="237">
        <f t="shared" si="2"/>
        <v>-1096538</v>
      </c>
      <c r="F28" s="238">
        <f t="shared" si="3"/>
        <v>-1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91</v>
      </c>
      <c r="D31" s="239">
        <v>0</v>
      </c>
      <c r="E31" s="239">
        <f t="shared" si="2"/>
        <v>-91</v>
      </c>
      <c r="F31" s="238">
        <f t="shared" si="3"/>
        <v>-1</v>
      </c>
    </row>
    <row r="32" spans="1:6" ht="20.25" customHeight="1">
      <c r="A32" s="235">
        <v>6</v>
      </c>
      <c r="B32" s="236" t="s">
        <v>487</v>
      </c>
      <c r="C32" s="239">
        <v>438</v>
      </c>
      <c r="D32" s="239">
        <v>0</v>
      </c>
      <c r="E32" s="239">
        <f t="shared" si="2"/>
        <v>-438</v>
      </c>
      <c r="F32" s="238">
        <f t="shared" si="3"/>
        <v>-1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2524403</v>
      </c>
      <c r="D36" s="243">
        <f>+D27+D29</f>
        <v>0</v>
      </c>
      <c r="E36" s="243">
        <f t="shared" si="2"/>
        <v>-2524403</v>
      </c>
      <c r="F36" s="244">
        <f t="shared" si="3"/>
        <v>-1</v>
      </c>
    </row>
    <row r="37" spans="1:6" s="240" customFormat="1" ht="20.25" customHeight="1">
      <c r="A37" s="241"/>
      <c r="B37" s="242" t="s">
        <v>557</v>
      </c>
      <c r="C37" s="243">
        <f>+C28+C30</f>
        <v>1096538</v>
      </c>
      <c r="D37" s="243">
        <f>+D28+D30</f>
        <v>0</v>
      </c>
      <c r="E37" s="243">
        <f t="shared" si="2"/>
        <v>-1096538</v>
      </c>
      <c r="F37" s="244">
        <f t="shared" si="3"/>
        <v>-1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491865</v>
      </c>
      <c r="D40" s="237">
        <v>2503052</v>
      </c>
      <c r="E40" s="237">
        <f aca="true" t="shared" si="4" ref="E40:E50">D40-C40</f>
        <v>2011187</v>
      </c>
      <c r="F40" s="238">
        <f aca="true" t="shared" si="5" ref="F40:F50">IF(C40=0,0,E40/C40)</f>
        <v>4.0889004096652535</v>
      </c>
    </row>
    <row r="41" spans="1:6" ht="20.25" customHeight="1">
      <c r="A41" s="235">
        <v>2</v>
      </c>
      <c r="B41" s="236" t="s">
        <v>550</v>
      </c>
      <c r="C41" s="237">
        <v>202937</v>
      </c>
      <c r="D41" s="237">
        <v>868825</v>
      </c>
      <c r="E41" s="237">
        <f t="shared" si="4"/>
        <v>665888</v>
      </c>
      <c r="F41" s="238">
        <f t="shared" si="5"/>
        <v>3.281254773648965</v>
      </c>
    </row>
    <row r="42" spans="1:6" ht="20.25" customHeight="1">
      <c r="A42" s="235">
        <v>3</v>
      </c>
      <c r="B42" s="236" t="s">
        <v>551</v>
      </c>
      <c r="C42" s="237">
        <v>493833</v>
      </c>
      <c r="D42" s="237">
        <v>1516484</v>
      </c>
      <c r="E42" s="237">
        <f t="shared" si="4"/>
        <v>1022651</v>
      </c>
      <c r="F42" s="238">
        <f t="shared" si="5"/>
        <v>2.0708437872722154</v>
      </c>
    </row>
    <row r="43" spans="1:6" ht="20.25" customHeight="1">
      <c r="A43" s="235">
        <v>4</v>
      </c>
      <c r="B43" s="236" t="s">
        <v>552</v>
      </c>
      <c r="C43" s="237">
        <v>210764</v>
      </c>
      <c r="D43" s="237">
        <v>536968</v>
      </c>
      <c r="E43" s="237">
        <f t="shared" si="4"/>
        <v>326204</v>
      </c>
      <c r="F43" s="238">
        <f t="shared" si="5"/>
        <v>1.5477216222884365</v>
      </c>
    </row>
    <row r="44" spans="1:6" ht="20.25" customHeight="1">
      <c r="A44" s="235">
        <v>5</v>
      </c>
      <c r="B44" s="236" t="s">
        <v>488</v>
      </c>
      <c r="C44" s="239">
        <v>17</v>
      </c>
      <c r="D44" s="239">
        <v>76</v>
      </c>
      <c r="E44" s="239">
        <f t="shared" si="4"/>
        <v>59</v>
      </c>
      <c r="F44" s="238">
        <f t="shared" si="5"/>
        <v>3.4705882352941178</v>
      </c>
    </row>
    <row r="45" spans="1:6" ht="20.25" customHeight="1">
      <c r="A45" s="235">
        <v>6</v>
      </c>
      <c r="B45" s="236" t="s">
        <v>487</v>
      </c>
      <c r="C45" s="239">
        <v>103</v>
      </c>
      <c r="D45" s="239">
        <v>392</v>
      </c>
      <c r="E45" s="239">
        <f t="shared" si="4"/>
        <v>289</v>
      </c>
      <c r="F45" s="238">
        <f t="shared" si="5"/>
        <v>2.8058252427184467</v>
      </c>
    </row>
    <row r="46" spans="1:6" ht="20.25" customHeight="1">
      <c r="A46" s="235">
        <v>7</v>
      </c>
      <c r="B46" s="236" t="s">
        <v>553</v>
      </c>
      <c r="C46" s="239">
        <v>147</v>
      </c>
      <c r="D46" s="239">
        <v>423</v>
      </c>
      <c r="E46" s="239">
        <f t="shared" si="4"/>
        <v>276</v>
      </c>
      <c r="F46" s="238">
        <f t="shared" si="5"/>
        <v>1.8775510204081634</v>
      </c>
    </row>
    <row r="47" spans="1:6" ht="20.25" customHeight="1">
      <c r="A47" s="235">
        <v>8</v>
      </c>
      <c r="B47" s="236" t="s">
        <v>554</v>
      </c>
      <c r="C47" s="239">
        <v>32</v>
      </c>
      <c r="D47" s="239">
        <v>90</v>
      </c>
      <c r="E47" s="239">
        <f t="shared" si="4"/>
        <v>58</v>
      </c>
      <c r="F47" s="238">
        <f t="shared" si="5"/>
        <v>1.8125</v>
      </c>
    </row>
    <row r="48" spans="1:6" ht="20.25" customHeight="1">
      <c r="A48" s="235">
        <v>9</v>
      </c>
      <c r="B48" s="236" t="s">
        <v>555</v>
      </c>
      <c r="C48" s="239">
        <v>12</v>
      </c>
      <c r="D48" s="239">
        <v>55</v>
      </c>
      <c r="E48" s="239">
        <f t="shared" si="4"/>
        <v>43</v>
      </c>
      <c r="F48" s="238">
        <f t="shared" si="5"/>
        <v>3.5833333333333335</v>
      </c>
    </row>
    <row r="49" spans="1:6" s="240" customFormat="1" ht="20.25" customHeight="1">
      <c r="A49" s="241"/>
      <c r="B49" s="242" t="s">
        <v>556</v>
      </c>
      <c r="C49" s="243">
        <f>+C40+C42</f>
        <v>985698</v>
      </c>
      <c r="D49" s="243">
        <f>+D40+D42</f>
        <v>4019536</v>
      </c>
      <c r="E49" s="243">
        <f t="shared" si="4"/>
        <v>3033838</v>
      </c>
      <c r="F49" s="244">
        <f t="shared" si="5"/>
        <v>3.0778575182256636</v>
      </c>
    </row>
    <row r="50" spans="1:6" s="240" customFormat="1" ht="20.25" customHeight="1">
      <c r="A50" s="241"/>
      <c r="B50" s="242" t="s">
        <v>557</v>
      </c>
      <c r="C50" s="243">
        <f>+C41+C43</f>
        <v>413701</v>
      </c>
      <c r="D50" s="243">
        <f>+D41+D43</f>
        <v>1405793</v>
      </c>
      <c r="E50" s="243">
        <f t="shared" si="4"/>
        <v>992092</v>
      </c>
      <c r="F50" s="244">
        <f t="shared" si="5"/>
        <v>2.3980894414081666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2989859</v>
      </c>
      <c r="D53" s="237">
        <v>6959635</v>
      </c>
      <c r="E53" s="237">
        <f aca="true" t="shared" si="6" ref="E53:E63">D53-C53</f>
        <v>3969776</v>
      </c>
      <c r="F53" s="238">
        <f aca="true" t="shared" si="7" ref="F53:F63">IF(C53=0,0,E53/C53)</f>
        <v>1.3277468937498391</v>
      </c>
    </row>
    <row r="54" spans="1:6" ht="20.25" customHeight="1">
      <c r="A54" s="235">
        <v>2</v>
      </c>
      <c r="B54" s="236" t="s">
        <v>550</v>
      </c>
      <c r="C54" s="237">
        <v>1372818</v>
      </c>
      <c r="D54" s="237">
        <v>2432635</v>
      </c>
      <c r="E54" s="237">
        <f t="shared" si="6"/>
        <v>1059817</v>
      </c>
      <c r="F54" s="238">
        <f t="shared" si="7"/>
        <v>0.7720010955567308</v>
      </c>
    </row>
    <row r="55" spans="1:6" ht="20.25" customHeight="1">
      <c r="A55" s="235">
        <v>3</v>
      </c>
      <c r="B55" s="236" t="s">
        <v>551</v>
      </c>
      <c r="C55" s="237">
        <v>1980887</v>
      </c>
      <c r="D55" s="237">
        <v>3935789</v>
      </c>
      <c r="E55" s="237">
        <f t="shared" si="6"/>
        <v>1954902</v>
      </c>
      <c r="F55" s="238">
        <f t="shared" si="7"/>
        <v>0.9868821391629103</v>
      </c>
    </row>
    <row r="56" spans="1:6" ht="20.25" customHeight="1">
      <c r="A56" s="235">
        <v>4</v>
      </c>
      <c r="B56" s="236" t="s">
        <v>552</v>
      </c>
      <c r="C56" s="237">
        <v>905548</v>
      </c>
      <c r="D56" s="237">
        <v>1122043</v>
      </c>
      <c r="E56" s="237">
        <f t="shared" si="6"/>
        <v>216495</v>
      </c>
      <c r="F56" s="238">
        <f t="shared" si="7"/>
        <v>0.23907622787527552</v>
      </c>
    </row>
    <row r="57" spans="1:6" ht="20.25" customHeight="1">
      <c r="A57" s="235">
        <v>5</v>
      </c>
      <c r="B57" s="236" t="s">
        <v>488</v>
      </c>
      <c r="C57" s="239">
        <v>122</v>
      </c>
      <c r="D57" s="239">
        <v>213</v>
      </c>
      <c r="E57" s="239">
        <f t="shared" si="6"/>
        <v>91</v>
      </c>
      <c r="F57" s="238">
        <f t="shared" si="7"/>
        <v>0.7459016393442623</v>
      </c>
    </row>
    <row r="58" spans="1:6" ht="20.25" customHeight="1">
      <c r="A58" s="235">
        <v>6</v>
      </c>
      <c r="B58" s="236" t="s">
        <v>487</v>
      </c>
      <c r="C58" s="239">
        <v>503</v>
      </c>
      <c r="D58" s="239">
        <v>1140</v>
      </c>
      <c r="E58" s="239">
        <f t="shared" si="6"/>
        <v>637</v>
      </c>
      <c r="F58" s="238">
        <f t="shared" si="7"/>
        <v>1.2664015904572565</v>
      </c>
    </row>
    <row r="59" spans="1:6" ht="20.25" customHeight="1">
      <c r="A59" s="235">
        <v>7</v>
      </c>
      <c r="B59" s="236" t="s">
        <v>553</v>
      </c>
      <c r="C59" s="239">
        <v>593</v>
      </c>
      <c r="D59" s="239">
        <v>1098</v>
      </c>
      <c r="E59" s="239">
        <f t="shared" si="6"/>
        <v>505</v>
      </c>
      <c r="F59" s="238">
        <f t="shared" si="7"/>
        <v>0.851602023608769</v>
      </c>
    </row>
    <row r="60" spans="1:6" ht="20.25" customHeight="1">
      <c r="A60" s="235">
        <v>8</v>
      </c>
      <c r="B60" s="236" t="s">
        <v>554</v>
      </c>
      <c r="C60" s="239">
        <v>127</v>
      </c>
      <c r="D60" s="239">
        <v>234</v>
      </c>
      <c r="E60" s="239">
        <f t="shared" si="6"/>
        <v>107</v>
      </c>
      <c r="F60" s="238">
        <f t="shared" si="7"/>
        <v>0.84251968503937</v>
      </c>
    </row>
    <row r="61" spans="1:6" ht="20.25" customHeight="1">
      <c r="A61" s="235">
        <v>9</v>
      </c>
      <c r="B61" s="236" t="s">
        <v>555</v>
      </c>
      <c r="C61" s="239">
        <v>81</v>
      </c>
      <c r="D61" s="239">
        <v>145</v>
      </c>
      <c r="E61" s="239">
        <f t="shared" si="6"/>
        <v>64</v>
      </c>
      <c r="F61" s="238">
        <f t="shared" si="7"/>
        <v>0.7901234567901234</v>
      </c>
    </row>
    <row r="62" spans="1:6" s="240" customFormat="1" ht="20.25" customHeight="1">
      <c r="A62" s="241"/>
      <c r="B62" s="242" t="s">
        <v>556</v>
      </c>
      <c r="C62" s="243">
        <f>+C53+C55</f>
        <v>4970746</v>
      </c>
      <c r="D62" s="243">
        <f>+D53+D55</f>
        <v>10895424</v>
      </c>
      <c r="E62" s="243">
        <f t="shared" si="6"/>
        <v>5924678</v>
      </c>
      <c r="F62" s="244">
        <f t="shared" si="7"/>
        <v>1.1919092224788794</v>
      </c>
    </row>
    <row r="63" spans="1:6" s="240" customFormat="1" ht="20.25" customHeight="1">
      <c r="A63" s="241"/>
      <c r="B63" s="242" t="s">
        <v>557</v>
      </c>
      <c r="C63" s="243">
        <f>+C54+C56</f>
        <v>2278366</v>
      </c>
      <c r="D63" s="243">
        <f>+D54+D56</f>
        <v>3554678</v>
      </c>
      <c r="E63" s="243">
        <f t="shared" si="6"/>
        <v>1276312</v>
      </c>
      <c r="F63" s="244">
        <f t="shared" si="7"/>
        <v>0.5601874325722909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0</v>
      </c>
      <c r="D66" s="237">
        <v>2620755</v>
      </c>
      <c r="E66" s="237">
        <f aca="true" t="shared" si="8" ref="E66:E76">D66-C66</f>
        <v>2620755</v>
      </c>
      <c r="F66" s="238">
        <f aca="true" t="shared" si="9" ref="F66:F76">IF(C66=0,0,E66/C66)</f>
        <v>0</v>
      </c>
    </row>
    <row r="67" spans="1:6" ht="20.25" customHeight="1">
      <c r="A67" s="235">
        <v>2</v>
      </c>
      <c r="B67" s="236" t="s">
        <v>550</v>
      </c>
      <c r="C67" s="237">
        <v>0</v>
      </c>
      <c r="D67" s="237">
        <v>970133</v>
      </c>
      <c r="E67" s="237">
        <f t="shared" si="8"/>
        <v>970133</v>
      </c>
      <c r="F67" s="238">
        <f t="shared" si="9"/>
        <v>0</v>
      </c>
    </row>
    <row r="68" spans="1:6" ht="20.25" customHeight="1">
      <c r="A68" s="235">
        <v>3</v>
      </c>
      <c r="B68" s="236" t="s">
        <v>551</v>
      </c>
      <c r="C68" s="237">
        <v>1566914</v>
      </c>
      <c r="D68" s="237">
        <v>1723085</v>
      </c>
      <c r="E68" s="237">
        <f t="shared" si="8"/>
        <v>156171</v>
      </c>
      <c r="F68" s="238">
        <f t="shared" si="9"/>
        <v>0.09966788221944535</v>
      </c>
    </row>
    <row r="69" spans="1:6" ht="20.25" customHeight="1">
      <c r="A69" s="235">
        <v>4</v>
      </c>
      <c r="B69" s="236" t="s">
        <v>552</v>
      </c>
      <c r="C69" s="237">
        <v>549225</v>
      </c>
      <c r="D69" s="237">
        <v>591695</v>
      </c>
      <c r="E69" s="237">
        <f t="shared" si="8"/>
        <v>42470</v>
      </c>
      <c r="F69" s="238">
        <f t="shared" si="9"/>
        <v>0.07732714279211617</v>
      </c>
    </row>
    <row r="70" spans="1:6" ht="20.25" customHeight="1">
      <c r="A70" s="235">
        <v>5</v>
      </c>
      <c r="B70" s="236" t="s">
        <v>488</v>
      </c>
      <c r="C70" s="239">
        <v>0</v>
      </c>
      <c r="D70" s="239">
        <v>94</v>
      </c>
      <c r="E70" s="239">
        <f t="shared" si="8"/>
        <v>94</v>
      </c>
      <c r="F70" s="238">
        <f t="shared" si="9"/>
        <v>0</v>
      </c>
    </row>
    <row r="71" spans="1:6" ht="20.25" customHeight="1">
      <c r="A71" s="235">
        <v>6</v>
      </c>
      <c r="B71" s="236" t="s">
        <v>487</v>
      </c>
      <c r="C71" s="239">
        <v>0</v>
      </c>
      <c r="D71" s="239">
        <v>455</v>
      </c>
      <c r="E71" s="239">
        <f t="shared" si="8"/>
        <v>455</v>
      </c>
      <c r="F71" s="238">
        <f t="shared" si="9"/>
        <v>0</v>
      </c>
    </row>
    <row r="72" spans="1:6" ht="20.25" customHeight="1">
      <c r="A72" s="235">
        <v>7</v>
      </c>
      <c r="B72" s="236" t="s">
        <v>553</v>
      </c>
      <c r="C72" s="239">
        <v>469</v>
      </c>
      <c r="D72" s="239">
        <v>481</v>
      </c>
      <c r="E72" s="239">
        <f t="shared" si="8"/>
        <v>12</v>
      </c>
      <c r="F72" s="238">
        <f t="shared" si="9"/>
        <v>0.0255863539445629</v>
      </c>
    </row>
    <row r="73" spans="1:6" ht="20.25" customHeight="1">
      <c r="A73" s="235">
        <v>8</v>
      </c>
      <c r="B73" s="236" t="s">
        <v>554</v>
      </c>
      <c r="C73" s="239">
        <v>101</v>
      </c>
      <c r="D73" s="239">
        <v>102</v>
      </c>
      <c r="E73" s="239">
        <f t="shared" si="8"/>
        <v>1</v>
      </c>
      <c r="F73" s="238">
        <f t="shared" si="9"/>
        <v>0.009900990099009901</v>
      </c>
    </row>
    <row r="74" spans="1:6" ht="20.25" customHeight="1">
      <c r="A74" s="235">
        <v>9</v>
      </c>
      <c r="B74" s="236" t="s">
        <v>555</v>
      </c>
      <c r="C74" s="239">
        <v>70</v>
      </c>
      <c r="D74" s="239">
        <v>82</v>
      </c>
      <c r="E74" s="239">
        <f t="shared" si="8"/>
        <v>12</v>
      </c>
      <c r="F74" s="238">
        <f t="shared" si="9"/>
        <v>0.17142857142857143</v>
      </c>
    </row>
    <row r="75" spans="1:6" s="240" customFormat="1" ht="20.25" customHeight="1">
      <c r="A75" s="241"/>
      <c r="B75" s="242" t="s">
        <v>556</v>
      </c>
      <c r="C75" s="243">
        <f>+C66+C68</f>
        <v>1566914</v>
      </c>
      <c r="D75" s="243">
        <f>+D66+D68</f>
        <v>4343840</v>
      </c>
      <c r="E75" s="243">
        <f t="shared" si="8"/>
        <v>2776926</v>
      </c>
      <c r="F75" s="244">
        <f t="shared" si="9"/>
        <v>1.7722261719532788</v>
      </c>
    </row>
    <row r="76" spans="1:6" s="240" customFormat="1" ht="20.25" customHeight="1">
      <c r="A76" s="241"/>
      <c r="B76" s="242" t="s">
        <v>557</v>
      </c>
      <c r="C76" s="243">
        <f>+C67+C69</f>
        <v>549225</v>
      </c>
      <c r="D76" s="243">
        <f>+D67+D69</f>
        <v>1561828</v>
      </c>
      <c r="E76" s="243">
        <f t="shared" si="8"/>
        <v>1012603</v>
      </c>
      <c r="F76" s="244">
        <f t="shared" si="9"/>
        <v>1.8436942965087169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552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554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557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552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554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557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550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551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552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488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487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553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554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555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556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557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740151</v>
      </c>
      <c r="D118" s="237">
        <v>1034999</v>
      </c>
      <c r="E118" s="237">
        <f aca="true" t="shared" si="16" ref="E118:E128">D118-C118</f>
        <v>294848</v>
      </c>
      <c r="F118" s="238">
        <f aca="true" t="shared" si="17" ref="F118:F128">IF(C118=0,0,E118/C118)</f>
        <v>0.39836195587116685</v>
      </c>
    </row>
    <row r="119" spans="1:6" ht="20.25" customHeight="1">
      <c r="A119" s="235">
        <v>2</v>
      </c>
      <c r="B119" s="236" t="s">
        <v>550</v>
      </c>
      <c r="C119" s="237">
        <v>276584</v>
      </c>
      <c r="D119" s="237">
        <v>384459</v>
      </c>
      <c r="E119" s="237">
        <f t="shared" si="16"/>
        <v>107875</v>
      </c>
      <c r="F119" s="238">
        <f t="shared" si="17"/>
        <v>0.39002617649610966</v>
      </c>
    </row>
    <row r="120" spans="1:6" ht="20.25" customHeight="1">
      <c r="A120" s="235">
        <v>3</v>
      </c>
      <c r="B120" s="236" t="s">
        <v>551</v>
      </c>
      <c r="C120" s="237">
        <v>277779</v>
      </c>
      <c r="D120" s="237">
        <v>1176172</v>
      </c>
      <c r="E120" s="237">
        <f t="shared" si="16"/>
        <v>898393</v>
      </c>
      <c r="F120" s="238">
        <f t="shared" si="17"/>
        <v>3.234200569517494</v>
      </c>
    </row>
    <row r="121" spans="1:6" ht="20.25" customHeight="1">
      <c r="A121" s="235">
        <v>4</v>
      </c>
      <c r="B121" s="236" t="s">
        <v>552</v>
      </c>
      <c r="C121" s="237">
        <v>158816</v>
      </c>
      <c r="D121" s="237">
        <v>676208</v>
      </c>
      <c r="E121" s="237">
        <f t="shared" si="16"/>
        <v>517392</v>
      </c>
      <c r="F121" s="238">
        <f t="shared" si="17"/>
        <v>3.2578077775538987</v>
      </c>
    </row>
    <row r="122" spans="1:6" ht="20.25" customHeight="1">
      <c r="A122" s="235">
        <v>5</v>
      </c>
      <c r="B122" s="236" t="s">
        <v>488</v>
      </c>
      <c r="C122" s="239">
        <v>20</v>
      </c>
      <c r="D122" s="239">
        <v>38</v>
      </c>
      <c r="E122" s="239">
        <f t="shared" si="16"/>
        <v>18</v>
      </c>
      <c r="F122" s="238">
        <f t="shared" si="17"/>
        <v>0.9</v>
      </c>
    </row>
    <row r="123" spans="1:6" ht="20.25" customHeight="1">
      <c r="A123" s="235">
        <v>6</v>
      </c>
      <c r="B123" s="236" t="s">
        <v>487</v>
      </c>
      <c r="C123" s="239">
        <v>123</v>
      </c>
      <c r="D123" s="239">
        <v>177</v>
      </c>
      <c r="E123" s="239">
        <f t="shared" si="16"/>
        <v>54</v>
      </c>
      <c r="F123" s="238">
        <f t="shared" si="17"/>
        <v>0.43902439024390244</v>
      </c>
    </row>
    <row r="124" spans="1:6" ht="20.25" customHeight="1">
      <c r="A124" s="235">
        <v>7</v>
      </c>
      <c r="B124" s="236" t="s">
        <v>553</v>
      </c>
      <c r="C124" s="239">
        <v>83</v>
      </c>
      <c r="D124" s="239">
        <v>328</v>
      </c>
      <c r="E124" s="239">
        <f t="shared" si="16"/>
        <v>245</v>
      </c>
      <c r="F124" s="238">
        <f t="shared" si="17"/>
        <v>2.9518072289156625</v>
      </c>
    </row>
    <row r="125" spans="1:6" ht="20.25" customHeight="1">
      <c r="A125" s="235">
        <v>8</v>
      </c>
      <c r="B125" s="236" t="s">
        <v>554</v>
      </c>
      <c r="C125" s="239">
        <v>18</v>
      </c>
      <c r="D125" s="239">
        <v>70</v>
      </c>
      <c r="E125" s="239">
        <f t="shared" si="16"/>
        <v>52</v>
      </c>
      <c r="F125" s="238">
        <f t="shared" si="17"/>
        <v>2.888888888888889</v>
      </c>
    </row>
    <row r="126" spans="1:6" ht="20.25" customHeight="1">
      <c r="A126" s="235">
        <v>9</v>
      </c>
      <c r="B126" s="236" t="s">
        <v>555</v>
      </c>
      <c r="C126" s="239">
        <v>15</v>
      </c>
      <c r="D126" s="239">
        <v>29</v>
      </c>
      <c r="E126" s="239">
        <f t="shared" si="16"/>
        <v>14</v>
      </c>
      <c r="F126" s="238">
        <f t="shared" si="17"/>
        <v>0.9333333333333333</v>
      </c>
    </row>
    <row r="127" spans="1:6" s="240" customFormat="1" ht="20.25" customHeight="1">
      <c r="A127" s="241"/>
      <c r="B127" s="242" t="s">
        <v>556</v>
      </c>
      <c r="C127" s="243">
        <f>+C118+C120</f>
        <v>1017930</v>
      </c>
      <c r="D127" s="243">
        <f>+D118+D120</f>
        <v>2211171</v>
      </c>
      <c r="E127" s="243">
        <f t="shared" si="16"/>
        <v>1193241</v>
      </c>
      <c r="F127" s="244">
        <f t="shared" si="17"/>
        <v>1.172223040877074</v>
      </c>
    </row>
    <row r="128" spans="1:6" s="240" customFormat="1" ht="20.25" customHeight="1">
      <c r="A128" s="241"/>
      <c r="B128" s="242" t="s">
        <v>557</v>
      </c>
      <c r="C128" s="243">
        <f>+C119+C121</f>
        <v>435400</v>
      </c>
      <c r="D128" s="243">
        <f>+D119+D121</f>
        <v>1060667</v>
      </c>
      <c r="E128" s="243">
        <f t="shared" si="16"/>
        <v>625267</v>
      </c>
      <c r="F128" s="244">
        <f t="shared" si="17"/>
        <v>1.4360748736793754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550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551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552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488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553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554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555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556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557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55128</v>
      </c>
      <c r="E144" s="237">
        <f aca="true" t="shared" si="20" ref="E144:E154">D144-C144</f>
        <v>55128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23601</v>
      </c>
      <c r="E145" s="237">
        <f t="shared" si="20"/>
        <v>23601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73015</v>
      </c>
      <c r="E146" s="237">
        <f t="shared" si="20"/>
        <v>73015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21568</v>
      </c>
      <c r="E147" s="237">
        <f t="shared" si="20"/>
        <v>21568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3</v>
      </c>
      <c r="E148" s="239">
        <f t="shared" si="20"/>
        <v>3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11</v>
      </c>
      <c r="E149" s="239">
        <f t="shared" si="20"/>
        <v>11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20</v>
      </c>
      <c r="E150" s="239">
        <f t="shared" si="20"/>
        <v>20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4</v>
      </c>
      <c r="E151" s="239">
        <f t="shared" si="20"/>
        <v>4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3</v>
      </c>
      <c r="E152" s="239">
        <f t="shared" si="20"/>
        <v>3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128143</v>
      </c>
      <c r="E153" s="243">
        <f t="shared" si="20"/>
        <v>128143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45169</v>
      </c>
      <c r="E154" s="243">
        <f t="shared" si="20"/>
        <v>45169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91365</v>
      </c>
      <c r="D183" s="237">
        <v>621953</v>
      </c>
      <c r="E183" s="237">
        <f aca="true" t="shared" si="26" ref="E183:E193">D183-C183</f>
        <v>530588</v>
      </c>
      <c r="F183" s="238">
        <f aca="true" t="shared" si="27" ref="F183:F193">IF(C183=0,0,E183/C183)</f>
        <v>5.807344168992502</v>
      </c>
    </row>
    <row r="184" spans="1:6" ht="20.25" customHeight="1">
      <c r="A184" s="235">
        <v>2</v>
      </c>
      <c r="B184" s="236" t="s">
        <v>550</v>
      </c>
      <c r="C184" s="237">
        <v>31031</v>
      </c>
      <c r="D184" s="237">
        <v>195731</v>
      </c>
      <c r="E184" s="237">
        <f t="shared" si="26"/>
        <v>164700</v>
      </c>
      <c r="F184" s="238">
        <f t="shared" si="27"/>
        <v>5.307595630176276</v>
      </c>
    </row>
    <row r="185" spans="1:6" ht="20.25" customHeight="1">
      <c r="A185" s="235">
        <v>3</v>
      </c>
      <c r="B185" s="236" t="s">
        <v>551</v>
      </c>
      <c r="C185" s="237">
        <v>147610</v>
      </c>
      <c r="D185" s="237">
        <v>790346</v>
      </c>
      <c r="E185" s="237">
        <f t="shared" si="26"/>
        <v>642736</v>
      </c>
      <c r="F185" s="238">
        <f t="shared" si="27"/>
        <v>4.354284940044712</v>
      </c>
    </row>
    <row r="186" spans="1:6" ht="20.25" customHeight="1">
      <c r="A186" s="235">
        <v>4</v>
      </c>
      <c r="B186" s="236" t="s">
        <v>552</v>
      </c>
      <c r="C186" s="237">
        <v>91280</v>
      </c>
      <c r="D186" s="237">
        <v>302224</v>
      </c>
      <c r="E186" s="237">
        <f t="shared" si="26"/>
        <v>210944</v>
      </c>
      <c r="F186" s="238">
        <f t="shared" si="27"/>
        <v>2.310955302366345</v>
      </c>
    </row>
    <row r="187" spans="1:6" ht="20.25" customHeight="1">
      <c r="A187" s="235">
        <v>5</v>
      </c>
      <c r="B187" s="236" t="s">
        <v>488</v>
      </c>
      <c r="C187" s="239">
        <v>4</v>
      </c>
      <c r="D187" s="239">
        <v>22</v>
      </c>
      <c r="E187" s="239">
        <f t="shared" si="26"/>
        <v>18</v>
      </c>
      <c r="F187" s="238">
        <f t="shared" si="27"/>
        <v>4.5</v>
      </c>
    </row>
    <row r="188" spans="1:6" ht="20.25" customHeight="1">
      <c r="A188" s="235">
        <v>6</v>
      </c>
      <c r="B188" s="236" t="s">
        <v>487</v>
      </c>
      <c r="C188" s="239">
        <v>23</v>
      </c>
      <c r="D188" s="239">
        <v>112</v>
      </c>
      <c r="E188" s="239">
        <f t="shared" si="26"/>
        <v>89</v>
      </c>
      <c r="F188" s="238">
        <f t="shared" si="27"/>
        <v>3.869565217391304</v>
      </c>
    </row>
    <row r="189" spans="1:6" ht="20.25" customHeight="1">
      <c r="A189" s="235">
        <v>7</v>
      </c>
      <c r="B189" s="236" t="s">
        <v>553</v>
      </c>
      <c r="C189" s="239">
        <v>44</v>
      </c>
      <c r="D189" s="239">
        <v>220</v>
      </c>
      <c r="E189" s="239">
        <f t="shared" si="26"/>
        <v>176</v>
      </c>
      <c r="F189" s="238">
        <f t="shared" si="27"/>
        <v>4</v>
      </c>
    </row>
    <row r="190" spans="1:6" ht="20.25" customHeight="1">
      <c r="A190" s="235">
        <v>8</v>
      </c>
      <c r="B190" s="236" t="s">
        <v>554</v>
      </c>
      <c r="C190" s="239">
        <v>9</v>
      </c>
      <c r="D190" s="239">
        <v>47</v>
      </c>
      <c r="E190" s="239">
        <f t="shared" si="26"/>
        <v>38</v>
      </c>
      <c r="F190" s="238">
        <f t="shared" si="27"/>
        <v>4.222222222222222</v>
      </c>
    </row>
    <row r="191" spans="1:6" ht="20.25" customHeight="1">
      <c r="A191" s="235">
        <v>9</v>
      </c>
      <c r="B191" s="236" t="s">
        <v>555</v>
      </c>
      <c r="C191" s="239">
        <v>4</v>
      </c>
      <c r="D191" s="239">
        <v>15</v>
      </c>
      <c r="E191" s="239">
        <f t="shared" si="26"/>
        <v>11</v>
      </c>
      <c r="F191" s="238">
        <f t="shared" si="27"/>
        <v>2.75</v>
      </c>
    </row>
    <row r="192" spans="1:6" s="240" customFormat="1" ht="20.25" customHeight="1">
      <c r="A192" s="241"/>
      <c r="B192" s="242" t="s">
        <v>556</v>
      </c>
      <c r="C192" s="243">
        <f>+C183+C185</f>
        <v>238975</v>
      </c>
      <c r="D192" s="243">
        <f>+D183+D185</f>
        <v>1412299</v>
      </c>
      <c r="E192" s="243">
        <f t="shared" si="26"/>
        <v>1173324</v>
      </c>
      <c r="F192" s="244">
        <f t="shared" si="27"/>
        <v>4.909819018725808</v>
      </c>
    </row>
    <row r="193" spans="1:6" s="240" customFormat="1" ht="20.25" customHeight="1">
      <c r="A193" s="241"/>
      <c r="B193" s="242" t="s">
        <v>557</v>
      </c>
      <c r="C193" s="243">
        <f>+C184+C186</f>
        <v>122311</v>
      </c>
      <c r="D193" s="243">
        <f>+D184+D186</f>
        <v>497955</v>
      </c>
      <c r="E193" s="243">
        <f t="shared" si="26"/>
        <v>375644</v>
      </c>
      <c r="F193" s="244">
        <f t="shared" si="27"/>
        <v>3.0712200865008055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6851803</v>
      </c>
      <c r="D198" s="243">
        <f t="shared" si="28"/>
        <v>13851610</v>
      </c>
      <c r="E198" s="243">
        <f aca="true" t="shared" si="29" ref="E198:E208">D198-C198</f>
        <v>6999807</v>
      </c>
      <c r="F198" s="251">
        <f aca="true" t="shared" si="30" ref="F198:F208">IF(C198=0,0,E198/C198)</f>
        <v>1.0216007377912062</v>
      </c>
    </row>
    <row r="199" spans="1:6" ht="20.25" customHeight="1">
      <c r="A199" s="249"/>
      <c r="B199" s="250" t="s">
        <v>576</v>
      </c>
      <c r="C199" s="243">
        <f t="shared" si="28"/>
        <v>2985480</v>
      </c>
      <c r="D199" s="243">
        <f t="shared" si="28"/>
        <v>4899403</v>
      </c>
      <c r="E199" s="243">
        <f t="shared" si="29"/>
        <v>1913923</v>
      </c>
      <c r="F199" s="251">
        <f t="shared" si="30"/>
        <v>0.6410771467234749</v>
      </c>
    </row>
    <row r="200" spans="1:6" ht="20.25" customHeight="1">
      <c r="A200" s="249"/>
      <c r="B200" s="250" t="s">
        <v>577</v>
      </c>
      <c r="C200" s="243">
        <f t="shared" si="28"/>
        <v>4532818</v>
      </c>
      <c r="D200" s="243">
        <f t="shared" si="28"/>
        <v>9238802</v>
      </c>
      <c r="E200" s="243">
        <f t="shared" si="29"/>
        <v>4705984</v>
      </c>
      <c r="F200" s="251">
        <f t="shared" si="30"/>
        <v>1.0382027251038979</v>
      </c>
    </row>
    <row r="201" spans="1:6" ht="20.25" customHeight="1">
      <c r="A201" s="249"/>
      <c r="B201" s="250" t="s">
        <v>578</v>
      </c>
      <c r="C201" s="243">
        <f t="shared" si="28"/>
        <v>1975049</v>
      </c>
      <c r="D201" s="243">
        <f t="shared" si="28"/>
        <v>3267824</v>
      </c>
      <c r="E201" s="243">
        <f t="shared" si="29"/>
        <v>1292775</v>
      </c>
      <c r="F201" s="251">
        <f t="shared" si="30"/>
        <v>0.6545533807009345</v>
      </c>
    </row>
    <row r="202" spans="1:6" ht="20.25" customHeight="1">
      <c r="A202" s="249"/>
      <c r="B202" s="250" t="s">
        <v>579</v>
      </c>
      <c r="C202" s="252">
        <f t="shared" si="28"/>
        <v>255</v>
      </c>
      <c r="D202" s="252">
        <f t="shared" si="28"/>
        <v>448</v>
      </c>
      <c r="E202" s="252">
        <f t="shared" si="29"/>
        <v>193</v>
      </c>
      <c r="F202" s="251">
        <f t="shared" si="30"/>
        <v>0.7568627450980392</v>
      </c>
    </row>
    <row r="203" spans="1:6" ht="20.25" customHeight="1">
      <c r="A203" s="249"/>
      <c r="B203" s="250" t="s">
        <v>580</v>
      </c>
      <c r="C203" s="252">
        <f t="shared" si="28"/>
        <v>1192</v>
      </c>
      <c r="D203" s="252">
        <f t="shared" si="28"/>
        <v>2296</v>
      </c>
      <c r="E203" s="252">
        <f t="shared" si="29"/>
        <v>1104</v>
      </c>
      <c r="F203" s="251">
        <f t="shared" si="30"/>
        <v>0.9261744966442953</v>
      </c>
    </row>
    <row r="204" spans="1:6" ht="39.75" customHeight="1">
      <c r="A204" s="249"/>
      <c r="B204" s="250" t="s">
        <v>581</v>
      </c>
      <c r="C204" s="252">
        <f t="shared" si="28"/>
        <v>1356</v>
      </c>
      <c r="D204" s="252">
        <f t="shared" si="28"/>
        <v>2577</v>
      </c>
      <c r="E204" s="252">
        <f t="shared" si="29"/>
        <v>1221</v>
      </c>
      <c r="F204" s="251">
        <f t="shared" si="30"/>
        <v>0.9004424778761062</v>
      </c>
    </row>
    <row r="205" spans="1:6" ht="39.75" customHeight="1">
      <c r="A205" s="249"/>
      <c r="B205" s="250" t="s">
        <v>582</v>
      </c>
      <c r="C205" s="252">
        <f t="shared" si="28"/>
        <v>291</v>
      </c>
      <c r="D205" s="252">
        <f t="shared" si="28"/>
        <v>548</v>
      </c>
      <c r="E205" s="252">
        <f t="shared" si="29"/>
        <v>257</v>
      </c>
      <c r="F205" s="251">
        <f t="shared" si="30"/>
        <v>0.8831615120274914</v>
      </c>
    </row>
    <row r="206" spans="1:6" ht="39.75" customHeight="1">
      <c r="A206" s="249"/>
      <c r="B206" s="250" t="s">
        <v>583</v>
      </c>
      <c r="C206" s="252">
        <f t="shared" si="28"/>
        <v>183</v>
      </c>
      <c r="D206" s="252">
        <f t="shared" si="28"/>
        <v>331</v>
      </c>
      <c r="E206" s="252">
        <f t="shared" si="29"/>
        <v>148</v>
      </c>
      <c r="F206" s="251">
        <f t="shared" si="30"/>
        <v>0.8087431693989071</v>
      </c>
    </row>
    <row r="207" spans="1:6" ht="20.25" customHeight="1">
      <c r="A207" s="249"/>
      <c r="B207" s="242" t="s">
        <v>584</v>
      </c>
      <c r="C207" s="243">
        <f>+C198+C200</f>
        <v>11384621</v>
      </c>
      <c r="D207" s="243">
        <f>+D198+D200</f>
        <v>23090412</v>
      </c>
      <c r="E207" s="243">
        <f t="shared" si="29"/>
        <v>11705791</v>
      </c>
      <c r="F207" s="251">
        <f t="shared" si="30"/>
        <v>1.0282108644635601</v>
      </c>
    </row>
    <row r="208" spans="1:6" ht="20.25" customHeight="1">
      <c r="A208" s="249"/>
      <c r="B208" s="242" t="s">
        <v>585</v>
      </c>
      <c r="C208" s="243">
        <f>+C199+C201</f>
        <v>4960529</v>
      </c>
      <c r="D208" s="243">
        <f>+D199+D201</f>
        <v>8167227</v>
      </c>
      <c r="E208" s="243">
        <f t="shared" si="29"/>
        <v>3206698</v>
      </c>
      <c r="F208" s="251">
        <f t="shared" si="30"/>
        <v>0.646442748343977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FILING&amp;RDANBURY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5781666</v>
      </c>
      <c r="D14" s="237">
        <v>1939426</v>
      </c>
      <c r="E14" s="237">
        <f aca="true" t="shared" si="0" ref="E14:E24">D14-C14</f>
        <v>-3842240</v>
      </c>
      <c r="F14" s="238">
        <f aca="true" t="shared" si="1" ref="F14:F24">IF(C14=0,0,E14/C14)</f>
        <v>-0.664555856391566</v>
      </c>
    </row>
    <row r="15" spans="1:6" ht="20.25" customHeight="1">
      <c r="A15" s="235">
        <v>2</v>
      </c>
      <c r="B15" s="236" t="s">
        <v>550</v>
      </c>
      <c r="C15" s="237">
        <v>1584393</v>
      </c>
      <c r="D15" s="237">
        <v>490986</v>
      </c>
      <c r="E15" s="237">
        <f t="shared" si="0"/>
        <v>-1093407</v>
      </c>
      <c r="F15" s="238">
        <f t="shared" si="1"/>
        <v>-0.6901109762539975</v>
      </c>
    </row>
    <row r="16" spans="1:6" ht="20.25" customHeight="1">
      <c r="A16" s="235">
        <v>3</v>
      </c>
      <c r="B16" s="236" t="s">
        <v>551</v>
      </c>
      <c r="C16" s="237">
        <v>13188793</v>
      </c>
      <c r="D16" s="237">
        <v>3775471</v>
      </c>
      <c r="E16" s="237">
        <f t="shared" si="0"/>
        <v>-9413322</v>
      </c>
      <c r="F16" s="238">
        <f t="shared" si="1"/>
        <v>-0.7137364275866639</v>
      </c>
    </row>
    <row r="17" spans="1:6" ht="20.25" customHeight="1">
      <c r="A17" s="235">
        <v>4</v>
      </c>
      <c r="B17" s="236" t="s">
        <v>552</v>
      </c>
      <c r="C17" s="237">
        <v>4026653</v>
      </c>
      <c r="D17" s="237">
        <v>1012314</v>
      </c>
      <c r="E17" s="237">
        <f t="shared" si="0"/>
        <v>-3014339</v>
      </c>
      <c r="F17" s="238">
        <f t="shared" si="1"/>
        <v>-0.748596663283377</v>
      </c>
    </row>
    <row r="18" spans="1:6" ht="20.25" customHeight="1">
      <c r="A18" s="235">
        <v>5</v>
      </c>
      <c r="B18" s="236" t="s">
        <v>488</v>
      </c>
      <c r="C18" s="239">
        <v>488</v>
      </c>
      <c r="D18" s="239">
        <v>150</v>
      </c>
      <c r="E18" s="239">
        <f t="shared" si="0"/>
        <v>-338</v>
      </c>
      <c r="F18" s="238">
        <f t="shared" si="1"/>
        <v>-0.6926229508196722</v>
      </c>
    </row>
    <row r="19" spans="1:6" ht="20.25" customHeight="1">
      <c r="A19" s="235">
        <v>6</v>
      </c>
      <c r="B19" s="236" t="s">
        <v>487</v>
      </c>
      <c r="C19" s="239">
        <v>1540</v>
      </c>
      <c r="D19" s="239">
        <v>415</v>
      </c>
      <c r="E19" s="239">
        <f t="shared" si="0"/>
        <v>-1125</v>
      </c>
      <c r="F19" s="238">
        <f t="shared" si="1"/>
        <v>-0.7305194805194806</v>
      </c>
    </row>
    <row r="20" spans="1:6" ht="20.25" customHeight="1">
      <c r="A20" s="235">
        <v>7</v>
      </c>
      <c r="B20" s="236" t="s">
        <v>553</v>
      </c>
      <c r="C20" s="239">
        <v>6699</v>
      </c>
      <c r="D20" s="239">
        <v>1602</v>
      </c>
      <c r="E20" s="239">
        <f t="shared" si="0"/>
        <v>-5097</v>
      </c>
      <c r="F20" s="238">
        <f t="shared" si="1"/>
        <v>-0.7608598298253471</v>
      </c>
    </row>
    <row r="21" spans="1:6" ht="20.25" customHeight="1">
      <c r="A21" s="235">
        <v>8</v>
      </c>
      <c r="B21" s="236" t="s">
        <v>554</v>
      </c>
      <c r="C21" s="239">
        <v>5571</v>
      </c>
      <c r="D21" s="239">
        <v>1474</v>
      </c>
      <c r="E21" s="239">
        <f t="shared" si="0"/>
        <v>-4097</v>
      </c>
      <c r="F21" s="238">
        <f t="shared" si="1"/>
        <v>-0.7354155447854963</v>
      </c>
    </row>
    <row r="22" spans="1:6" ht="20.25" customHeight="1">
      <c r="A22" s="235">
        <v>9</v>
      </c>
      <c r="B22" s="236" t="s">
        <v>555</v>
      </c>
      <c r="C22" s="239">
        <v>111</v>
      </c>
      <c r="D22" s="239">
        <v>39</v>
      </c>
      <c r="E22" s="239">
        <f t="shared" si="0"/>
        <v>-72</v>
      </c>
      <c r="F22" s="238">
        <f t="shared" si="1"/>
        <v>-0.6486486486486487</v>
      </c>
    </row>
    <row r="23" spans="1:6" s="240" customFormat="1" ht="39.75" customHeight="1">
      <c r="A23" s="245"/>
      <c r="B23" s="242" t="s">
        <v>556</v>
      </c>
      <c r="C23" s="243">
        <f>+C14+C16</f>
        <v>18970459</v>
      </c>
      <c r="D23" s="243">
        <f>+D14+D16</f>
        <v>5714897</v>
      </c>
      <c r="E23" s="243">
        <f t="shared" si="0"/>
        <v>-13255562</v>
      </c>
      <c r="F23" s="244">
        <f t="shared" si="1"/>
        <v>-0.6987475632508418</v>
      </c>
    </row>
    <row r="24" spans="1:6" s="240" customFormat="1" ht="39.75" customHeight="1">
      <c r="A24" s="245"/>
      <c r="B24" s="242" t="s">
        <v>585</v>
      </c>
      <c r="C24" s="243">
        <f>+C15+C17</f>
        <v>5611046</v>
      </c>
      <c r="D24" s="243">
        <f>+D15+D17</f>
        <v>1503300</v>
      </c>
      <c r="E24" s="243">
        <f t="shared" si="0"/>
        <v>-4107746</v>
      </c>
      <c r="F24" s="244">
        <f t="shared" si="1"/>
        <v>-0.7320820396054497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1445843</v>
      </c>
      <c r="D26" s="237">
        <v>5421018</v>
      </c>
      <c r="E26" s="237">
        <f aca="true" t="shared" si="2" ref="E26:E36">D26-C26</f>
        <v>3975175</v>
      </c>
      <c r="F26" s="238">
        <f aca="true" t="shared" si="3" ref="F26:F36">IF(C26=0,0,E26/C26)</f>
        <v>2.749382194332303</v>
      </c>
    </row>
    <row r="27" spans="1:6" ht="20.25" customHeight="1">
      <c r="A27" s="235">
        <v>2</v>
      </c>
      <c r="B27" s="236" t="s">
        <v>550</v>
      </c>
      <c r="C27" s="237">
        <v>644380</v>
      </c>
      <c r="D27" s="237">
        <v>1502416</v>
      </c>
      <c r="E27" s="237">
        <f t="shared" si="2"/>
        <v>858036</v>
      </c>
      <c r="F27" s="238">
        <f t="shared" si="3"/>
        <v>1.3315683292467178</v>
      </c>
    </row>
    <row r="28" spans="1:6" ht="20.25" customHeight="1">
      <c r="A28" s="235">
        <v>3</v>
      </c>
      <c r="B28" s="236" t="s">
        <v>551</v>
      </c>
      <c r="C28" s="237">
        <v>2397261</v>
      </c>
      <c r="D28" s="237">
        <v>10403657</v>
      </c>
      <c r="E28" s="237">
        <f t="shared" si="2"/>
        <v>8006396</v>
      </c>
      <c r="F28" s="238">
        <f t="shared" si="3"/>
        <v>3.3398098913718615</v>
      </c>
    </row>
    <row r="29" spans="1:6" ht="20.25" customHeight="1">
      <c r="A29" s="235">
        <v>4</v>
      </c>
      <c r="B29" s="236" t="s">
        <v>552</v>
      </c>
      <c r="C29" s="237">
        <v>796452</v>
      </c>
      <c r="D29" s="237">
        <v>2774930</v>
      </c>
      <c r="E29" s="237">
        <f t="shared" si="2"/>
        <v>1978478</v>
      </c>
      <c r="F29" s="238">
        <f t="shared" si="3"/>
        <v>2.4841145480204707</v>
      </c>
    </row>
    <row r="30" spans="1:6" ht="20.25" customHeight="1">
      <c r="A30" s="235">
        <v>5</v>
      </c>
      <c r="B30" s="236" t="s">
        <v>488</v>
      </c>
      <c r="C30" s="239">
        <v>148</v>
      </c>
      <c r="D30" s="239">
        <v>391</v>
      </c>
      <c r="E30" s="239">
        <f t="shared" si="2"/>
        <v>243</v>
      </c>
      <c r="F30" s="238">
        <f t="shared" si="3"/>
        <v>1.6418918918918919</v>
      </c>
    </row>
    <row r="31" spans="1:6" ht="20.25" customHeight="1">
      <c r="A31" s="235">
        <v>6</v>
      </c>
      <c r="B31" s="236" t="s">
        <v>487</v>
      </c>
      <c r="C31" s="239">
        <v>447</v>
      </c>
      <c r="D31" s="239">
        <v>1275</v>
      </c>
      <c r="E31" s="239">
        <f t="shared" si="2"/>
        <v>828</v>
      </c>
      <c r="F31" s="238">
        <f t="shared" si="3"/>
        <v>1.8523489932885906</v>
      </c>
    </row>
    <row r="32" spans="1:6" ht="20.25" customHeight="1">
      <c r="A32" s="235">
        <v>7</v>
      </c>
      <c r="B32" s="236" t="s">
        <v>553</v>
      </c>
      <c r="C32" s="239">
        <v>1218</v>
      </c>
      <c r="D32" s="239">
        <v>4415</v>
      </c>
      <c r="E32" s="239">
        <f t="shared" si="2"/>
        <v>3197</v>
      </c>
      <c r="F32" s="238">
        <f t="shared" si="3"/>
        <v>2.6247947454844005</v>
      </c>
    </row>
    <row r="33" spans="1:6" ht="20.25" customHeight="1">
      <c r="A33" s="235">
        <v>8</v>
      </c>
      <c r="B33" s="236" t="s">
        <v>554</v>
      </c>
      <c r="C33" s="239">
        <v>1013</v>
      </c>
      <c r="D33" s="239">
        <v>4061</v>
      </c>
      <c r="E33" s="239">
        <f t="shared" si="2"/>
        <v>3048</v>
      </c>
      <c r="F33" s="238">
        <f t="shared" si="3"/>
        <v>3.0088845014807504</v>
      </c>
    </row>
    <row r="34" spans="1:6" ht="20.25" customHeight="1">
      <c r="A34" s="235">
        <v>9</v>
      </c>
      <c r="B34" s="236" t="s">
        <v>555</v>
      </c>
      <c r="C34" s="239">
        <v>22</v>
      </c>
      <c r="D34" s="239">
        <v>77</v>
      </c>
      <c r="E34" s="239">
        <f t="shared" si="2"/>
        <v>55</v>
      </c>
      <c r="F34" s="238">
        <f t="shared" si="3"/>
        <v>2.5</v>
      </c>
    </row>
    <row r="35" spans="1:6" s="240" customFormat="1" ht="39.75" customHeight="1">
      <c r="A35" s="245"/>
      <c r="B35" s="242" t="s">
        <v>556</v>
      </c>
      <c r="C35" s="243">
        <f>+C26+C28</f>
        <v>3843104</v>
      </c>
      <c r="D35" s="243">
        <f>+D26+D28</f>
        <v>15824675</v>
      </c>
      <c r="E35" s="243">
        <f t="shared" si="2"/>
        <v>11981571</v>
      </c>
      <c r="F35" s="244">
        <f t="shared" si="3"/>
        <v>3.117680656053024</v>
      </c>
    </row>
    <row r="36" spans="1:6" s="240" customFormat="1" ht="39.75" customHeight="1">
      <c r="A36" s="245"/>
      <c r="B36" s="242" t="s">
        <v>585</v>
      </c>
      <c r="C36" s="243">
        <f>+C27+C29</f>
        <v>1440832</v>
      </c>
      <c r="D36" s="243">
        <f>+D27+D29</f>
        <v>4277346</v>
      </c>
      <c r="E36" s="243">
        <f t="shared" si="2"/>
        <v>2836514</v>
      </c>
      <c r="F36" s="244">
        <f t="shared" si="3"/>
        <v>1.9686639386132456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1581777</v>
      </c>
      <c r="D38" s="237">
        <v>0</v>
      </c>
      <c r="E38" s="237">
        <f aca="true" t="shared" si="4" ref="E38:E48">D38-C38</f>
        <v>-1581777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496935</v>
      </c>
      <c r="D39" s="237">
        <v>0</v>
      </c>
      <c r="E39" s="237">
        <f t="shared" si="4"/>
        <v>-496935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2806041</v>
      </c>
      <c r="D40" s="237">
        <v>0</v>
      </c>
      <c r="E40" s="237">
        <f t="shared" si="4"/>
        <v>-2806041</v>
      </c>
      <c r="F40" s="238">
        <f t="shared" si="5"/>
        <v>-1</v>
      </c>
    </row>
    <row r="41" spans="1:6" ht="20.25" customHeight="1">
      <c r="A41" s="235">
        <v>4</v>
      </c>
      <c r="B41" s="236" t="s">
        <v>552</v>
      </c>
      <c r="C41" s="237">
        <v>925584</v>
      </c>
      <c r="D41" s="237">
        <v>0</v>
      </c>
      <c r="E41" s="237">
        <f t="shared" si="4"/>
        <v>-925584</v>
      </c>
      <c r="F41" s="238">
        <f t="shared" si="5"/>
        <v>-1</v>
      </c>
    </row>
    <row r="42" spans="1:6" ht="20.25" customHeight="1">
      <c r="A42" s="235">
        <v>5</v>
      </c>
      <c r="B42" s="236" t="s">
        <v>488</v>
      </c>
      <c r="C42" s="239">
        <v>152</v>
      </c>
      <c r="D42" s="239">
        <v>0</v>
      </c>
      <c r="E42" s="239">
        <f t="shared" si="4"/>
        <v>-152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458</v>
      </c>
      <c r="D43" s="239">
        <v>0</v>
      </c>
      <c r="E43" s="239">
        <f t="shared" si="4"/>
        <v>-458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1425</v>
      </c>
      <c r="D44" s="239">
        <v>0</v>
      </c>
      <c r="E44" s="239">
        <f t="shared" si="4"/>
        <v>-1425</v>
      </c>
      <c r="F44" s="238">
        <f t="shared" si="5"/>
        <v>-1</v>
      </c>
    </row>
    <row r="45" spans="1:6" ht="20.25" customHeight="1">
      <c r="A45" s="235">
        <v>8</v>
      </c>
      <c r="B45" s="236" t="s">
        <v>554</v>
      </c>
      <c r="C45" s="239">
        <v>1186</v>
      </c>
      <c r="D45" s="239">
        <v>0</v>
      </c>
      <c r="E45" s="239">
        <f t="shared" si="4"/>
        <v>-1186</v>
      </c>
      <c r="F45" s="238">
        <f t="shared" si="5"/>
        <v>-1</v>
      </c>
    </row>
    <row r="46" spans="1:6" ht="20.25" customHeight="1">
      <c r="A46" s="235">
        <v>9</v>
      </c>
      <c r="B46" s="236" t="s">
        <v>555</v>
      </c>
      <c r="C46" s="239">
        <v>35</v>
      </c>
      <c r="D46" s="239">
        <v>0</v>
      </c>
      <c r="E46" s="239">
        <f t="shared" si="4"/>
        <v>-35</v>
      </c>
      <c r="F46" s="238">
        <f t="shared" si="5"/>
        <v>-1</v>
      </c>
    </row>
    <row r="47" spans="1:6" s="240" customFormat="1" ht="39.75" customHeight="1">
      <c r="A47" s="245"/>
      <c r="B47" s="242" t="s">
        <v>556</v>
      </c>
      <c r="C47" s="243">
        <f>+C38+C40</f>
        <v>4387818</v>
      </c>
      <c r="D47" s="243">
        <f>+D38+D40</f>
        <v>0</v>
      </c>
      <c r="E47" s="243">
        <f t="shared" si="4"/>
        <v>-4387818</v>
      </c>
      <c r="F47" s="244">
        <f t="shared" si="5"/>
        <v>-1</v>
      </c>
    </row>
    <row r="48" spans="1:6" s="240" customFormat="1" ht="39.75" customHeight="1">
      <c r="A48" s="245"/>
      <c r="B48" s="242" t="s">
        <v>585</v>
      </c>
      <c r="C48" s="243">
        <f>+C39+C41</f>
        <v>1422519</v>
      </c>
      <c r="D48" s="243">
        <f>+D39+D41</f>
        <v>0</v>
      </c>
      <c r="E48" s="243">
        <f t="shared" si="4"/>
        <v>-1422519</v>
      </c>
      <c r="F48" s="244">
        <f t="shared" si="5"/>
        <v>-1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545151</v>
      </c>
      <c r="D50" s="237">
        <v>491958</v>
      </c>
      <c r="E50" s="237">
        <f aca="true" t="shared" si="6" ref="E50:E60">D50-C50</f>
        <v>-53193</v>
      </c>
      <c r="F50" s="238">
        <f aca="true" t="shared" si="7" ref="F50:F60">IF(C50=0,0,E50/C50)</f>
        <v>-0.09757480037640948</v>
      </c>
    </row>
    <row r="51" spans="1:6" ht="20.25" customHeight="1">
      <c r="A51" s="235">
        <v>2</v>
      </c>
      <c r="B51" s="236" t="s">
        <v>550</v>
      </c>
      <c r="C51" s="237">
        <v>188770</v>
      </c>
      <c r="D51" s="237">
        <v>131694</v>
      </c>
      <c r="E51" s="237">
        <f t="shared" si="6"/>
        <v>-57076</v>
      </c>
      <c r="F51" s="238">
        <f t="shared" si="7"/>
        <v>-0.30235736610690256</v>
      </c>
    </row>
    <row r="52" spans="1:6" ht="20.25" customHeight="1">
      <c r="A52" s="235">
        <v>3</v>
      </c>
      <c r="B52" s="236" t="s">
        <v>551</v>
      </c>
      <c r="C52" s="237">
        <v>107262</v>
      </c>
      <c r="D52" s="237">
        <v>118274</v>
      </c>
      <c r="E52" s="237">
        <f t="shared" si="6"/>
        <v>11012</v>
      </c>
      <c r="F52" s="238">
        <f t="shared" si="7"/>
        <v>0.10266450373850944</v>
      </c>
    </row>
    <row r="53" spans="1:6" ht="20.25" customHeight="1">
      <c r="A53" s="235">
        <v>4</v>
      </c>
      <c r="B53" s="236" t="s">
        <v>552</v>
      </c>
      <c r="C53" s="237">
        <v>31433</v>
      </c>
      <c r="D53" s="237">
        <v>27489</v>
      </c>
      <c r="E53" s="237">
        <f t="shared" si="6"/>
        <v>-3944</v>
      </c>
      <c r="F53" s="238">
        <f t="shared" si="7"/>
        <v>-0.12547322877230935</v>
      </c>
    </row>
    <row r="54" spans="1:6" ht="20.25" customHeight="1">
      <c r="A54" s="235">
        <v>5</v>
      </c>
      <c r="B54" s="236" t="s">
        <v>488</v>
      </c>
      <c r="C54" s="239">
        <v>31</v>
      </c>
      <c r="D54" s="239">
        <v>22</v>
      </c>
      <c r="E54" s="239">
        <f t="shared" si="6"/>
        <v>-9</v>
      </c>
      <c r="F54" s="238">
        <f t="shared" si="7"/>
        <v>-0.2903225806451613</v>
      </c>
    </row>
    <row r="55" spans="1:6" ht="20.25" customHeight="1">
      <c r="A55" s="235">
        <v>6</v>
      </c>
      <c r="B55" s="236" t="s">
        <v>487</v>
      </c>
      <c r="C55" s="239">
        <v>151</v>
      </c>
      <c r="D55" s="239">
        <v>118</v>
      </c>
      <c r="E55" s="239">
        <f t="shared" si="6"/>
        <v>-33</v>
      </c>
      <c r="F55" s="238">
        <f t="shared" si="7"/>
        <v>-0.2185430463576159</v>
      </c>
    </row>
    <row r="56" spans="1:6" ht="20.25" customHeight="1">
      <c r="A56" s="235">
        <v>7</v>
      </c>
      <c r="B56" s="236" t="s">
        <v>553</v>
      </c>
      <c r="C56" s="239">
        <v>54</v>
      </c>
      <c r="D56" s="239">
        <v>50</v>
      </c>
      <c r="E56" s="239">
        <f t="shared" si="6"/>
        <v>-4</v>
      </c>
      <c r="F56" s="238">
        <f t="shared" si="7"/>
        <v>-0.07407407407407407</v>
      </c>
    </row>
    <row r="57" spans="1:6" ht="20.25" customHeight="1">
      <c r="A57" s="235">
        <v>8</v>
      </c>
      <c r="B57" s="236" t="s">
        <v>554</v>
      </c>
      <c r="C57" s="239">
        <v>45</v>
      </c>
      <c r="D57" s="239">
        <v>46</v>
      </c>
      <c r="E57" s="239">
        <f t="shared" si="6"/>
        <v>1</v>
      </c>
      <c r="F57" s="238">
        <f t="shared" si="7"/>
        <v>0.022222222222222223</v>
      </c>
    </row>
    <row r="58" spans="1:6" ht="20.25" customHeight="1">
      <c r="A58" s="235">
        <v>9</v>
      </c>
      <c r="B58" s="236" t="s">
        <v>555</v>
      </c>
      <c r="C58" s="239">
        <v>5</v>
      </c>
      <c r="D58" s="239">
        <v>15</v>
      </c>
      <c r="E58" s="239">
        <f t="shared" si="6"/>
        <v>10</v>
      </c>
      <c r="F58" s="238">
        <f t="shared" si="7"/>
        <v>2</v>
      </c>
    </row>
    <row r="59" spans="1:6" s="240" customFormat="1" ht="39.75" customHeight="1">
      <c r="A59" s="245"/>
      <c r="B59" s="242" t="s">
        <v>556</v>
      </c>
      <c r="C59" s="243">
        <f>+C50+C52</f>
        <v>652413</v>
      </c>
      <c r="D59" s="243">
        <f>+D50+D52</f>
        <v>610232</v>
      </c>
      <c r="E59" s="243">
        <f t="shared" si="6"/>
        <v>-42181</v>
      </c>
      <c r="F59" s="244">
        <f t="shared" si="7"/>
        <v>-0.06465383123880118</v>
      </c>
    </row>
    <row r="60" spans="1:6" s="240" customFormat="1" ht="39.75" customHeight="1">
      <c r="A60" s="245"/>
      <c r="B60" s="242" t="s">
        <v>585</v>
      </c>
      <c r="C60" s="243">
        <f>+C51+C53</f>
        <v>220203</v>
      </c>
      <c r="D60" s="243">
        <f>+D51+D53</f>
        <v>159183</v>
      </c>
      <c r="E60" s="243">
        <f t="shared" si="6"/>
        <v>-61020</v>
      </c>
      <c r="F60" s="244">
        <f t="shared" si="7"/>
        <v>-0.27710794130870153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0</v>
      </c>
      <c r="D74" s="237">
        <v>0</v>
      </c>
      <c r="E74" s="237">
        <f aca="true" t="shared" si="10" ref="E74:E84">D74-C74</f>
        <v>0</v>
      </c>
      <c r="F74" s="238">
        <f aca="true" t="shared" si="11" ref="F74:F84">IF(C74=0,0,E74/C74)</f>
        <v>0</v>
      </c>
    </row>
    <row r="75" spans="1:6" ht="20.25" customHeight="1">
      <c r="A75" s="235">
        <v>2</v>
      </c>
      <c r="B75" s="236" t="s">
        <v>550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>
      <c r="A76" s="235">
        <v>3</v>
      </c>
      <c r="B76" s="236" t="s">
        <v>551</v>
      </c>
      <c r="C76" s="237">
        <v>568823</v>
      </c>
      <c r="D76" s="237">
        <v>0</v>
      </c>
      <c r="E76" s="237">
        <f t="shared" si="10"/>
        <v>-568823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160779</v>
      </c>
      <c r="D77" s="237">
        <v>0</v>
      </c>
      <c r="E77" s="237">
        <f t="shared" si="10"/>
        <v>-160779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>
      <c r="A79" s="235">
        <v>6</v>
      </c>
      <c r="B79" s="236" t="s">
        <v>487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>
      <c r="A80" s="235">
        <v>7</v>
      </c>
      <c r="B80" s="236" t="s">
        <v>553</v>
      </c>
      <c r="C80" s="239">
        <v>289</v>
      </c>
      <c r="D80" s="239">
        <v>0</v>
      </c>
      <c r="E80" s="239">
        <f t="shared" si="10"/>
        <v>-289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241</v>
      </c>
      <c r="D81" s="239">
        <v>0</v>
      </c>
      <c r="E81" s="239">
        <f t="shared" si="10"/>
        <v>-241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16</v>
      </c>
      <c r="D82" s="239">
        <v>0</v>
      </c>
      <c r="E82" s="239">
        <f t="shared" si="10"/>
        <v>-16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568823</v>
      </c>
      <c r="D83" s="243">
        <f>+D74+D76</f>
        <v>0</v>
      </c>
      <c r="E83" s="243">
        <f t="shared" si="10"/>
        <v>-568823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160779</v>
      </c>
      <c r="D84" s="243">
        <f>+D75+D77</f>
        <v>0</v>
      </c>
      <c r="E84" s="243">
        <f t="shared" si="10"/>
        <v>-160779</v>
      </c>
      <c r="F84" s="244">
        <f t="shared" si="11"/>
        <v>-1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1446945</v>
      </c>
      <c r="E86" s="237">
        <f aca="true" t="shared" si="12" ref="E86:E96">D86-C86</f>
        <v>1446945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353494</v>
      </c>
      <c r="E87" s="237">
        <f t="shared" si="12"/>
        <v>353494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2300020</v>
      </c>
      <c r="E88" s="237">
        <f t="shared" si="12"/>
        <v>2300020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594679</v>
      </c>
      <c r="E89" s="237">
        <f t="shared" si="12"/>
        <v>594679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75</v>
      </c>
      <c r="E90" s="239">
        <f t="shared" si="12"/>
        <v>75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316</v>
      </c>
      <c r="E91" s="239">
        <f t="shared" si="12"/>
        <v>316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976</v>
      </c>
      <c r="E92" s="239">
        <f t="shared" si="12"/>
        <v>976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898</v>
      </c>
      <c r="E93" s="239">
        <f t="shared" si="12"/>
        <v>898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24</v>
      </c>
      <c r="E94" s="239">
        <f t="shared" si="12"/>
        <v>24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3746965</v>
      </c>
      <c r="E95" s="243">
        <f t="shared" si="12"/>
        <v>3746965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948173</v>
      </c>
      <c r="E96" s="243">
        <f t="shared" si="12"/>
        <v>948173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3486112</v>
      </c>
      <c r="E98" s="237">
        <f aca="true" t="shared" si="14" ref="E98:E108">D98-C98</f>
        <v>3486112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889134</v>
      </c>
      <c r="E99" s="237">
        <f t="shared" si="14"/>
        <v>889134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7537428</v>
      </c>
      <c r="E100" s="237">
        <f t="shared" si="14"/>
        <v>7537428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1947772</v>
      </c>
      <c r="E101" s="237">
        <f t="shared" si="14"/>
        <v>1947772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288</v>
      </c>
      <c r="E102" s="239">
        <f t="shared" si="14"/>
        <v>288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797</v>
      </c>
      <c r="E103" s="239">
        <f t="shared" si="14"/>
        <v>797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3200</v>
      </c>
      <c r="E104" s="239">
        <f t="shared" si="14"/>
        <v>3200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2942</v>
      </c>
      <c r="E105" s="239">
        <f t="shared" si="14"/>
        <v>2942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66</v>
      </c>
      <c r="E106" s="239">
        <f t="shared" si="14"/>
        <v>66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11023540</v>
      </c>
      <c r="E107" s="243">
        <f t="shared" si="14"/>
        <v>11023540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2836906</v>
      </c>
      <c r="E108" s="243">
        <f t="shared" si="14"/>
        <v>2836906</v>
      </c>
      <c r="F108" s="244">
        <f t="shared" si="15"/>
        <v>0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9354437</v>
      </c>
      <c r="D112" s="243">
        <f t="shared" si="16"/>
        <v>12785459</v>
      </c>
      <c r="E112" s="243">
        <f aca="true" t="shared" si="17" ref="E112:E122">D112-C112</f>
        <v>3431022</v>
      </c>
      <c r="F112" s="244">
        <f aca="true" t="shared" si="18" ref="F112:F122">IF(C112=0,0,E112/C112)</f>
        <v>0.36678017073609026</v>
      </c>
    </row>
    <row r="113" spans="1:6" ht="20.25" customHeight="1">
      <c r="A113" s="249"/>
      <c r="B113" s="250" t="s">
        <v>576</v>
      </c>
      <c r="C113" s="243">
        <f t="shared" si="16"/>
        <v>2914478</v>
      </c>
      <c r="D113" s="243">
        <f t="shared" si="16"/>
        <v>3367724</v>
      </c>
      <c r="E113" s="243">
        <f t="shared" si="17"/>
        <v>453246</v>
      </c>
      <c r="F113" s="244">
        <f t="shared" si="18"/>
        <v>0.15551532727301423</v>
      </c>
    </row>
    <row r="114" spans="1:6" ht="20.25" customHeight="1">
      <c r="A114" s="249"/>
      <c r="B114" s="250" t="s">
        <v>577</v>
      </c>
      <c r="C114" s="243">
        <f t="shared" si="16"/>
        <v>19068180</v>
      </c>
      <c r="D114" s="243">
        <f t="shared" si="16"/>
        <v>24134850</v>
      </c>
      <c r="E114" s="243">
        <f t="shared" si="17"/>
        <v>5066670</v>
      </c>
      <c r="F114" s="244">
        <f t="shared" si="18"/>
        <v>0.26571335072356145</v>
      </c>
    </row>
    <row r="115" spans="1:6" ht="20.25" customHeight="1">
      <c r="A115" s="249"/>
      <c r="B115" s="250" t="s">
        <v>578</v>
      </c>
      <c r="C115" s="243">
        <f t="shared" si="16"/>
        <v>5940901</v>
      </c>
      <c r="D115" s="243">
        <f t="shared" si="16"/>
        <v>6357184</v>
      </c>
      <c r="E115" s="243">
        <f t="shared" si="17"/>
        <v>416283</v>
      </c>
      <c r="F115" s="244">
        <f t="shared" si="18"/>
        <v>0.07007068456451303</v>
      </c>
    </row>
    <row r="116" spans="1:6" ht="20.25" customHeight="1">
      <c r="A116" s="249"/>
      <c r="B116" s="250" t="s">
        <v>579</v>
      </c>
      <c r="C116" s="252">
        <f t="shared" si="16"/>
        <v>819</v>
      </c>
      <c r="D116" s="252">
        <f t="shared" si="16"/>
        <v>926</v>
      </c>
      <c r="E116" s="252">
        <f t="shared" si="17"/>
        <v>107</v>
      </c>
      <c r="F116" s="244">
        <f t="shared" si="18"/>
        <v>0.13064713064713065</v>
      </c>
    </row>
    <row r="117" spans="1:6" ht="20.25" customHeight="1">
      <c r="A117" s="249"/>
      <c r="B117" s="250" t="s">
        <v>580</v>
      </c>
      <c r="C117" s="252">
        <f t="shared" si="16"/>
        <v>2596</v>
      </c>
      <c r="D117" s="252">
        <f t="shared" si="16"/>
        <v>2921</v>
      </c>
      <c r="E117" s="252">
        <f t="shared" si="17"/>
        <v>325</v>
      </c>
      <c r="F117" s="244">
        <f t="shared" si="18"/>
        <v>0.12519260400616333</v>
      </c>
    </row>
    <row r="118" spans="1:6" ht="39.75" customHeight="1">
      <c r="A118" s="249"/>
      <c r="B118" s="250" t="s">
        <v>581</v>
      </c>
      <c r="C118" s="252">
        <f t="shared" si="16"/>
        <v>9685</v>
      </c>
      <c r="D118" s="252">
        <f t="shared" si="16"/>
        <v>10243</v>
      </c>
      <c r="E118" s="252">
        <f t="shared" si="17"/>
        <v>558</v>
      </c>
      <c r="F118" s="244">
        <f t="shared" si="18"/>
        <v>0.057614868353123384</v>
      </c>
    </row>
    <row r="119" spans="1:6" ht="39.75" customHeight="1">
      <c r="A119" s="249"/>
      <c r="B119" s="250" t="s">
        <v>582</v>
      </c>
      <c r="C119" s="252">
        <f t="shared" si="16"/>
        <v>8056</v>
      </c>
      <c r="D119" s="252">
        <f t="shared" si="16"/>
        <v>9421</v>
      </c>
      <c r="E119" s="252">
        <f t="shared" si="17"/>
        <v>1365</v>
      </c>
      <c r="F119" s="244">
        <f t="shared" si="18"/>
        <v>0.16943892750744788</v>
      </c>
    </row>
    <row r="120" spans="1:6" ht="39.75" customHeight="1">
      <c r="A120" s="249"/>
      <c r="B120" s="250" t="s">
        <v>583</v>
      </c>
      <c r="C120" s="252">
        <f t="shared" si="16"/>
        <v>189</v>
      </c>
      <c r="D120" s="252">
        <f t="shared" si="16"/>
        <v>221</v>
      </c>
      <c r="E120" s="252">
        <f t="shared" si="17"/>
        <v>32</v>
      </c>
      <c r="F120" s="244">
        <f t="shared" si="18"/>
        <v>0.1693121693121693</v>
      </c>
    </row>
    <row r="121" spans="1:6" ht="39.75" customHeight="1">
      <c r="A121" s="249"/>
      <c r="B121" s="242" t="s">
        <v>556</v>
      </c>
      <c r="C121" s="243">
        <f>+C112+C114</f>
        <v>28422617</v>
      </c>
      <c r="D121" s="243">
        <f>+D112+D114</f>
        <v>36920309</v>
      </c>
      <c r="E121" s="243">
        <f t="shared" si="17"/>
        <v>8497692</v>
      </c>
      <c r="F121" s="244">
        <f t="shared" si="18"/>
        <v>0.2989764102299236</v>
      </c>
    </row>
    <row r="122" spans="1:6" ht="39.75" customHeight="1">
      <c r="A122" s="249"/>
      <c r="B122" s="242" t="s">
        <v>585</v>
      </c>
      <c r="C122" s="243">
        <f>+C113+C115</f>
        <v>8855379</v>
      </c>
      <c r="D122" s="243">
        <f>+D113+D115</f>
        <v>9724908</v>
      </c>
      <c r="E122" s="243">
        <f t="shared" si="17"/>
        <v>869529</v>
      </c>
      <c r="F122" s="244">
        <f t="shared" si="18"/>
        <v>0.09819218353048469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FILING&amp;RDANBURY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34272558</v>
      </c>
      <c r="D13" s="23">
        <v>46525880</v>
      </c>
      <c r="E13" s="23">
        <f aca="true" t="shared" si="0" ref="E13:E22">D13-C13</f>
        <v>12253322</v>
      </c>
      <c r="F13" s="24">
        <f aca="true" t="shared" si="1" ref="F13:F22">IF(C13=0,0,E13/C13)</f>
        <v>0.3575257499017144</v>
      </c>
    </row>
    <row r="14" spans="1:6" ht="24" customHeight="1">
      <c r="A14" s="21">
        <v>2</v>
      </c>
      <c r="B14" s="22" t="s">
        <v>132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133</v>
      </c>
      <c r="C15" s="23">
        <v>50682570</v>
      </c>
      <c r="D15" s="23">
        <v>45303281</v>
      </c>
      <c r="E15" s="23">
        <f t="shared" si="0"/>
        <v>-5379289</v>
      </c>
      <c r="F15" s="24">
        <f t="shared" si="1"/>
        <v>-0.10613686322536525</v>
      </c>
    </row>
    <row r="16" spans="1:6" ht="34.5" customHeight="1">
      <c r="A16" s="21">
        <v>4</v>
      </c>
      <c r="B16" s="22" t="s">
        <v>134</v>
      </c>
      <c r="C16" s="23">
        <v>1777234</v>
      </c>
      <c r="D16" s="23">
        <v>1756854</v>
      </c>
      <c r="E16" s="23">
        <f t="shared" si="0"/>
        <v>-20380</v>
      </c>
      <c r="F16" s="24">
        <f t="shared" si="1"/>
        <v>-0.011467257547402313</v>
      </c>
    </row>
    <row r="17" spans="1:6" ht="24" customHeight="1">
      <c r="A17" s="21">
        <v>5</v>
      </c>
      <c r="B17" s="22" t="s">
        <v>135</v>
      </c>
      <c r="C17" s="23">
        <v>14922412</v>
      </c>
      <c r="D17" s="23">
        <v>12947858</v>
      </c>
      <c r="E17" s="23">
        <f t="shared" si="0"/>
        <v>-1974554</v>
      </c>
      <c r="F17" s="24">
        <f t="shared" si="1"/>
        <v>-0.13232137003052857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8432437</v>
      </c>
      <c r="D19" s="23">
        <v>8410999</v>
      </c>
      <c r="E19" s="23">
        <f t="shared" si="0"/>
        <v>-21438</v>
      </c>
      <c r="F19" s="24">
        <f t="shared" si="1"/>
        <v>-0.002542325545983919</v>
      </c>
    </row>
    <row r="20" spans="1:6" ht="24" customHeight="1">
      <c r="A20" s="21">
        <v>8</v>
      </c>
      <c r="B20" s="22" t="s">
        <v>138</v>
      </c>
      <c r="C20" s="23">
        <v>5033441</v>
      </c>
      <c r="D20" s="23">
        <v>6615531</v>
      </c>
      <c r="E20" s="23">
        <f t="shared" si="0"/>
        <v>1582090</v>
      </c>
      <c r="F20" s="24">
        <f t="shared" si="1"/>
        <v>0.31431579311250496</v>
      </c>
    </row>
    <row r="21" spans="1:6" ht="24" customHeight="1">
      <c r="A21" s="21">
        <v>9</v>
      </c>
      <c r="B21" s="22" t="s">
        <v>139</v>
      </c>
      <c r="C21" s="23">
        <v>582774</v>
      </c>
      <c r="D21" s="23">
        <v>1136440</v>
      </c>
      <c r="E21" s="23">
        <f t="shared" si="0"/>
        <v>553666</v>
      </c>
      <c r="F21" s="24">
        <f t="shared" si="1"/>
        <v>0.9500526790831437</v>
      </c>
    </row>
    <row r="22" spans="1:6" ht="24" customHeight="1">
      <c r="A22" s="25"/>
      <c r="B22" s="26" t="s">
        <v>140</v>
      </c>
      <c r="C22" s="27">
        <f>SUM(C13:C21)</f>
        <v>115703426</v>
      </c>
      <c r="D22" s="27">
        <f>SUM(D13:D21)</f>
        <v>122696843</v>
      </c>
      <c r="E22" s="27">
        <f t="shared" si="0"/>
        <v>6993417</v>
      </c>
      <c r="F22" s="28">
        <f t="shared" si="1"/>
        <v>0.06044260953863199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2856663</v>
      </c>
      <c r="D25" s="23">
        <v>2800407</v>
      </c>
      <c r="E25" s="23">
        <f>D25-C25</f>
        <v>-56256</v>
      </c>
      <c r="F25" s="24">
        <f>IF(C25=0,0,E25/C25)</f>
        <v>-0.019692907423801826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146</v>
      </c>
      <c r="C28" s="23">
        <v>61002697</v>
      </c>
      <c r="D28" s="23">
        <v>64261149</v>
      </c>
      <c r="E28" s="23">
        <f>D28-C28</f>
        <v>3258452</v>
      </c>
      <c r="F28" s="24">
        <f>IF(C28=0,0,E28/C28)</f>
        <v>0.053414884263231835</v>
      </c>
    </row>
    <row r="29" spans="1:6" ht="34.5" customHeight="1">
      <c r="A29" s="25"/>
      <c r="B29" s="26" t="s">
        <v>147</v>
      </c>
      <c r="C29" s="27">
        <f>SUM(C25:C28)</f>
        <v>63859360</v>
      </c>
      <c r="D29" s="27">
        <f>SUM(D25:D28)</f>
        <v>67061556</v>
      </c>
      <c r="E29" s="27">
        <f>D29-C29</f>
        <v>3202196</v>
      </c>
      <c r="F29" s="28">
        <f>IF(C29=0,0,E29/C29)</f>
        <v>0.05014450504984704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164418176</v>
      </c>
      <c r="D32" s="23">
        <v>198001685</v>
      </c>
      <c r="E32" s="23">
        <f>D32-C32</f>
        <v>33583509</v>
      </c>
      <c r="F32" s="24">
        <f>IF(C32=0,0,E32/C32)</f>
        <v>0.20425666928697714</v>
      </c>
    </row>
    <row r="33" spans="1:6" ht="24" customHeight="1">
      <c r="A33" s="21">
        <v>7</v>
      </c>
      <c r="B33" s="22" t="s">
        <v>150</v>
      </c>
      <c r="C33" s="23">
        <v>16398783</v>
      </c>
      <c r="D33" s="23">
        <v>14295188</v>
      </c>
      <c r="E33" s="23">
        <f>D33-C33</f>
        <v>-2103595</v>
      </c>
      <c r="F33" s="24">
        <f>IF(C33=0,0,E33/C33)</f>
        <v>-0.12827750693450848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402589860</v>
      </c>
      <c r="D36" s="23">
        <v>430173950</v>
      </c>
      <c r="E36" s="23">
        <f>D36-C36</f>
        <v>27584090</v>
      </c>
      <c r="F36" s="24">
        <f>IF(C36=0,0,E36/C36)</f>
        <v>0.06851660397010496</v>
      </c>
    </row>
    <row r="37" spans="1:6" ht="24" customHeight="1">
      <c r="A37" s="21">
        <v>2</v>
      </c>
      <c r="B37" s="22" t="s">
        <v>154</v>
      </c>
      <c r="C37" s="23">
        <v>236178706</v>
      </c>
      <c r="D37" s="23">
        <v>261006951</v>
      </c>
      <c r="E37" s="23">
        <f>D37-C37</f>
        <v>24828245</v>
      </c>
      <c r="F37" s="23">
        <f>IF(C37=0,0,E37/C37)</f>
        <v>0.10512482442003049</v>
      </c>
    </row>
    <row r="38" spans="1:6" ht="24" customHeight="1">
      <c r="A38" s="25"/>
      <c r="B38" s="26" t="s">
        <v>155</v>
      </c>
      <c r="C38" s="27">
        <f>C36-C37</f>
        <v>166411154</v>
      </c>
      <c r="D38" s="27">
        <f>D36-D37</f>
        <v>169166999</v>
      </c>
      <c r="E38" s="27">
        <f>D38-C38</f>
        <v>2755845</v>
      </c>
      <c r="F38" s="28">
        <f>IF(C38=0,0,E38/C38)</f>
        <v>0.016560458441385484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13442247</v>
      </c>
      <c r="D40" s="23">
        <v>12550101</v>
      </c>
      <c r="E40" s="23">
        <f>D40-C40</f>
        <v>-892146</v>
      </c>
      <c r="F40" s="24">
        <f>IF(C40=0,0,E40/C40)</f>
        <v>-0.06636881467808173</v>
      </c>
    </row>
    <row r="41" spans="1:6" ht="24" customHeight="1">
      <c r="A41" s="25"/>
      <c r="B41" s="26" t="s">
        <v>157</v>
      </c>
      <c r="C41" s="27">
        <f>+C38+C40</f>
        <v>179853401</v>
      </c>
      <c r="D41" s="27">
        <f>+D38+D40</f>
        <v>181717100</v>
      </c>
      <c r="E41" s="27">
        <f>D41-C41</f>
        <v>1863699</v>
      </c>
      <c r="F41" s="28">
        <f>IF(C41=0,0,E41/C41)</f>
        <v>0.010362322812010655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540233146</v>
      </c>
      <c r="D43" s="27">
        <f>D22+D29+D31+D32+D33+D41</f>
        <v>583772372</v>
      </c>
      <c r="E43" s="27">
        <f>D43-C43</f>
        <v>43539226</v>
      </c>
      <c r="F43" s="28">
        <f>IF(C43=0,0,E43/C43)</f>
        <v>0.0805933999466223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41199441</v>
      </c>
      <c r="D49" s="23">
        <v>33808015</v>
      </c>
      <c r="E49" s="23">
        <f aca="true" t="shared" si="2" ref="E49:E56">D49-C49</f>
        <v>-7391426</v>
      </c>
      <c r="F49" s="24">
        <f aca="true" t="shared" si="3" ref="F49:F56">IF(C49=0,0,E49/C49)</f>
        <v>-0.1794059778626608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12531989</v>
      </c>
      <c r="D50" s="23">
        <v>14768602</v>
      </c>
      <c r="E50" s="23">
        <f t="shared" si="2"/>
        <v>2236613</v>
      </c>
      <c r="F50" s="24">
        <f t="shared" si="3"/>
        <v>0.17847230794728594</v>
      </c>
    </row>
    <row r="51" spans="1:6" ht="24" customHeight="1">
      <c r="A51" s="21">
        <f t="shared" si="4"/>
        <v>3</v>
      </c>
      <c r="B51" s="22" t="s">
        <v>164</v>
      </c>
      <c r="C51" s="23">
        <v>2936533</v>
      </c>
      <c r="D51" s="23">
        <v>8795411</v>
      </c>
      <c r="E51" s="23">
        <f t="shared" si="2"/>
        <v>5858878</v>
      </c>
      <c r="F51" s="24">
        <f t="shared" si="3"/>
        <v>1.9951684520487254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3388547</v>
      </c>
      <c r="D53" s="23">
        <v>3966139</v>
      </c>
      <c r="E53" s="23">
        <f t="shared" si="2"/>
        <v>577592</v>
      </c>
      <c r="F53" s="24">
        <f t="shared" si="3"/>
        <v>0.1704541799184134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169</v>
      </c>
      <c r="C56" s="27">
        <f>SUM(C49:C55)</f>
        <v>60056510</v>
      </c>
      <c r="D56" s="27">
        <f>SUM(D49:D55)</f>
        <v>61338167</v>
      </c>
      <c r="E56" s="27">
        <f t="shared" si="2"/>
        <v>1281657</v>
      </c>
      <c r="F56" s="28">
        <f t="shared" si="3"/>
        <v>0.02134085047566034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122717154</v>
      </c>
      <c r="D60" s="23">
        <v>119676912</v>
      </c>
      <c r="E60" s="23">
        <f>D60-C60</f>
        <v>-3040242</v>
      </c>
      <c r="F60" s="24">
        <f>IF(C60=0,0,E60/C60)</f>
        <v>-0.02477438484272541</v>
      </c>
    </row>
    <row r="61" spans="1:6" ht="24" customHeight="1">
      <c r="A61" s="25"/>
      <c r="B61" s="26" t="s">
        <v>173</v>
      </c>
      <c r="C61" s="27">
        <f>SUM(C59:C60)</f>
        <v>122717154</v>
      </c>
      <c r="D61" s="27">
        <f>SUM(D59:D60)</f>
        <v>119676912</v>
      </c>
      <c r="E61" s="27">
        <f>D61-C61</f>
        <v>-3040242</v>
      </c>
      <c r="F61" s="28">
        <f>IF(C61=0,0,E61/C61)</f>
        <v>-0.02477438484272541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>
      <c r="A64" s="21">
        <v>4</v>
      </c>
      <c r="B64" s="22" t="s">
        <v>175</v>
      </c>
      <c r="C64" s="23">
        <v>68054746</v>
      </c>
      <c r="D64" s="23">
        <v>163559466</v>
      </c>
      <c r="E64" s="23">
        <f>D64-C64</f>
        <v>95504720</v>
      </c>
      <c r="F64" s="24">
        <f>IF(C64=0,0,E64/C64)</f>
        <v>1.4033513548048508</v>
      </c>
    </row>
    <row r="65" spans="1:6" ht="24" customHeight="1">
      <c r="A65" s="25"/>
      <c r="B65" s="26" t="s">
        <v>176</v>
      </c>
      <c r="C65" s="27">
        <f>SUM(C61:C64)</f>
        <v>190771900</v>
      </c>
      <c r="D65" s="27">
        <f>SUM(D61:D64)</f>
        <v>283236378</v>
      </c>
      <c r="E65" s="27">
        <f>D65-C65</f>
        <v>92464478</v>
      </c>
      <c r="F65" s="28">
        <f>IF(C65=0,0,E65/C65)</f>
        <v>0.4846860465299135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261470903</v>
      </c>
      <c r="D70" s="23">
        <v>183488285</v>
      </c>
      <c r="E70" s="23">
        <f>D70-C70</f>
        <v>-77982618</v>
      </c>
      <c r="F70" s="24">
        <f>IF(C70=0,0,E70/C70)</f>
        <v>-0.2982458740351694</v>
      </c>
    </row>
    <row r="71" spans="1:6" ht="24" customHeight="1">
      <c r="A71" s="21">
        <v>2</v>
      </c>
      <c r="B71" s="22" t="s">
        <v>180</v>
      </c>
      <c r="C71" s="23">
        <v>11969285</v>
      </c>
      <c r="D71" s="23">
        <v>28603447</v>
      </c>
      <c r="E71" s="23">
        <f>D71-C71</f>
        <v>16634162</v>
      </c>
      <c r="F71" s="24">
        <f>IF(C71=0,0,E71/C71)</f>
        <v>1.3897373151362007</v>
      </c>
    </row>
    <row r="72" spans="1:6" ht="24" customHeight="1">
      <c r="A72" s="21">
        <v>3</v>
      </c>
      <c r="B72" s="22" t="s">
        <v>181</v>
      </c>
      <c r="C72" s="23">
        <v>15964548</v>
      </c>
      <c r="D72" s="23">
        <v>27106095</v>
      </c>
      <c r="E72" s="23">
        <f>D72-C72</f>
        <v>11141547</v>
      </c>
      <c r="F72" s="24">
        <f>IF(C72=0,0,E72/C72)</f>
        <v>0.6978930440122701</v>
      </c>
    </row>
    <row r="73" spans="1:6" ht="24" customHeight="1">
      <c r="A73" s="21"/>
      <c r="B73" s="26" t="s">
        <v>182</v>
      </c>
      <c r="C73" s="27">
        <f>SUM(C70:C72)</f>
        <v>289404736</v>
      </c>
      <c r="D73" s="27">
        <f>SUM(D70:D72)</f>
        <v>239197827</v>
      </c>
      <c r="E73" s="27">
        <f>D73-C73</f>
        <v>-50206909</v>
      </c>
      <c r="F73" s="28">
        <f>IF(C73=0,0,E73/C73)</f>
        <v>-0.1734833703619833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540233146</v>
      </c>
      <c r="D75" s="27">
        <f>D56+D65+D67+D73</f>
        <v>583772372</v>
      </c>
      <c r="E75" s="27">
        <f>D75-C75</f>
        <v>43539226</v>
      </c>
      <c r="F75" s="28">
        <f>IF(C75=0,0,E75/C75)</f>
        <v>0.0805933999466223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FILING&amp;RDANBURY HEALTH SYSTEMS,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955033783</v>
      </c>
      <c r="D12" s="51">
        <v>1063362218</v>
      </c>
      <c r="E12" s="51">
        <f aca="true" t="shared" si="0" ref="E12:E19">D12-C12</f>
        <v>108328435</v>
      </c>
      <c r="F12" s="70">
        <f aca="true" t="shared" si="1" ref="F12:F19">IF(C12=0,0,E12/C12)</f>
        <v>0.1134289036977449</v>
      </c>
    </row>
    <row r="13" spans="1:6" ht="22.5" customHeight="1">
      <c r="A13" s="25">
        <v>2</v>
      </c>
      <c r="B13" s="48" t="s">
        <v>187</v>
      </c>
      <c r="C13" s="51">
        <v>475480123</v>
      </c>
      <c r="D13" s="51">
        <v>550978662</v>
      </c>
      <c r="E13" s="51">
        <f t="shared" si="0"/>
        <v>75498539</v>
      </c>
      <c r="F13" s="70">
        <f t="shared" si="1"/>
        <v>0.15878379631024028</v>
      </c>
    </row>
    <row r="14" spans="1:6" ht="22.5" customHeight="1">
      <c r="A14" s="25">
        <v>3</v>
      </c>
      <c r="B14" s="48" t="s">
        <v>188</v>
      </c>
      <c r="C14" s="51">
        <v>9657765</v>
      </c>
      <c r="D14" s="51">
        <v>12266705</v>
      </c>
      <c r="E14" s="51">
        <f t="shared" si="0"/>
        <v>2608940</v>
      </c>
      <c r="F14" s="70">
        <f t="shared" si="1"/>
        <v>0.27013910568335425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469895895</v>
      </c>
      <c r="D16" s="27">
        <f>D12-D13-D14-D15</f>
        <v>500116851</v>
      </c>
      <c r="E16" s="27">
        <f t="shared" si="0"/>
        <v>30220956</v>
      </c>
      <c r="F16" s="28">
        <f t="shared" si="1"/>
        <v>0.06431415196763955</v>
      </c>
    </row>
    <row r="17" spans="1:7" ht="22.5" customHeight="1">
      <c r="A17" s="25">
        <v>5</v>
      </c>
      <c r="B17" s="48" t="s">
        <v>191</v>
      </c>
      <c r="C17" s="51">
        <v>9787234</v>
      </c>
      <c r="D17" s="51">
        <v>11334024</v>
      </c>
      <c r="E17" s="51">
        <f t="shared" si="0"/>
        <v>1546790</v>
      </c>
      <c r="F17" s="70">
        <f t="shared" si="1"/>
        <v>0.15804158764365908</v>
      </c>
      <c r="G17" s="64"/>
    </row>
    <row r="18" spans="1:7" ht="33" customHeight="1">
      <c r="A18" s="25">
        <v>6</v>
      </c>
      <c r="B18" s="45" t="s">
        <v>192</v>
      </c>
      <c r="C18" s="51">
        <v>901999</v>
      </c>
      <c r="D18" s="51">
        <v>925886</v>
      </c>
      <c r="E18" s="51">
        <f t="shared" si="0"/>
        <v>23887</v>
      </c>
      <c r="F18" s="70">
        <f t="shared" si="1"/>
        <v>0.02648229100032262</v>
      </c>
      <c r="G18" s="64"/>
    </row>
    <row r="19" spans="1:6" ht="22.5" customHeight="1">
      <c r="A19" s="29"/>
      <c r="B19" s="71" t="s">
        <v>193</v>
      </c>
      <c r="C19" s="27">
        <f>SUM(C16:C18)</f>
        <v>480585128</v>
      </c>
      <c r="D19" s="27">
        <f>SUM(D16:D18)</f>
        <v>512376761</v>
      </c>
      <c r="E19" s="27">
        <f t="shared" si="0"/>
        <v>31791633</v>
      </c>
      <c r="F19" s="28">
        <f t="shared" si="1"/>
        <v>0.06615192844669135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273157683</v>
      </c>
      <c r="D22" s="51">
        <v>288524076</v>
      </c>
      <c r="E22" s="51">
        <f aca="true" t="shared" si="2" ref="E22:E31">D22-C22</f>
        <v>15366393</v>
      </c>
      <c r="F22" s="70">
        <f aca="true" t="shared" si="3" ref="F22:F31">IF(C22=0,0,E22/C22)</f>
        <v>0.05625466152456711</v>
      </c>
    </row>
    <row r="23" spans="1:6" ht="22.5" customHeight="1">
      <c r="A23" s="25">
        <v>2</v>
      </c>
      <c r="B23" s="48" t="s">
        <v>196</v>
      </c>
      <c r="C23" s="51">
        <v>0</v>
      </c>
      <c r="D23" s="51">
        <v>0</v>
      </c>
      <c r="E23" s="51">
        <f t="shared" si="2"/>
        <v>0</v>
      </c>
      <c r="F23" s="70">
        <f t="shared" si="3"/>
        <v>0</v>
      </c>
    </row>
    <row r="24" spans="1:7" ht="22.5" customHeight="1">
      <c r="A24" s="25">
        <v>3</v>
      </c>
      <c r="B24" s="48" t="s">
        <v>197</v>
      </c>
      <c r="C24" s="51">
        <v>0</v>
      </c>
      <c r="D24" s="51">
        <v>0</v>
      </c>
      <c r="E24" s="51">
        <f t="shared" si="2"/>
        <v>0</v>
      </c>
      <c r="F24" s="70">
        <f t="shared" si="3"/>
        <v>0</v>
      </c>
      <c r="G24" s="64"/>
    </row>
    <row r="25" spans="1:6" ht="22.5" customHeight="1">
      <c r="A25" s="25">
        <v>4</v>
      </c>
      <c r="B25" s="48" t="s">
        <v>198</v>
      </c>
      <c r="C25" s="51">
        <v>0</v>
      </c>
      <c r="D25" s="51">
        <v>0</v>
      </c>
      <c r="E25" s="51">
        <f t="shared" si="2"/>
        <v>0</v>
      </c>
      <c r="F25" s="70">
        <f t="shared" si="3"/>
        <v>0</v>
      </c>
    </row>
    <row r="26" spans="1:6" ht="22.5" customHeight="1">
      <c r="A26" s="25">
        <v>5</v>
      </c>
      <c r="B26" s="48" t="s">
        <v>199</v>
      </c>
      <c r="C26" s="51">
        <v>22381405</v>
      </c>
      <c r="D26" s="51">
        <v>25227586</v>
      </c>
      <c r="E26" s="51">
        <f t="shared" si="2"/>
        <v>2846181</v>
      </c>
      <c r="F26" s="70">
        <f t="shared" si="3"/>
        <v>0.12716721760765243</v>
      </c>
    </row>
    <row r="27" spans="1:6" ht="22.5" customHeight="1">
      <c r="A27" s="25">
        <v>6</v>
      </c>
      <c r="B27" s="48" t="s">
        <v>200</v>
      </c>
      <c r="C27" s="51">
        <v>15900244</v>
      </c>
      <c r="D27" s="51">
        <v>17033519</v>
      </c>
      <c r="E27" s="51">
        <f t="shared" si="2"/>
        <v>1133275</v>
      </c>
      <c r="F27" s="70">
        <f t="shared" si="3"/>
        <v>0.07127406346720214</v>
      </c>
    </row>
    <row r="28" spans="1:6" ht="22.5" customHeight="1">
      <c r="A28" s="25">
        <v>7</v>
      </c>
      <c r="B28" s="48" t="s">
        <v>201</v>
      </c>
      <c r="C28" s="51">
        <v>6169732</v>
      </c>
      <c r="D28" s="51">
        <v>5130485</v>
      </c>
      <c r="E28" s="51">
        <f t="shared" si="2"/>
        <v>-1039247</v>
      </c>
      <c r="F28" s="70">
        <f t="shared" si="3"/>
        <v>-0.16844281080604473</v>
      </c>
    </row>
    <row r="29" spans="1:6" ht="22.5" customHeight="1">
      <c r="A29" s="25">
        <v>8</v>
      </c>
      <c r="B29" s="48" t="s">
        <v>202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6" ht="22.5" customHeight="1">
      <c r="A30" s="25">
        <v>9</v>
      </c>
      <c r="B30" s="48" t="s">
        <v>203</v>
      </c>
      <c r="C30" s="51">
        <v>146807507</v>
      </c>
      <c r="D30" s="51">
        <v>150097175</v>
      </c>
      <c r="E30" s="51">
        <f t="shared" si="2"/>
        <v>3289668</v>
      </c>
      <c r="F30" s="70">
        <f t="shared" si="3"/>
        <v>0.02240803666804314</v>
      </c>
    </row>
    <row r="31" spans="1:6" ht="22.5" customHeight="1">
      <c r="A31" s="29"/>
      <c r="B31" s="71" t="s">
        <v>204</v>
      </c>
      <c r="C31" s="27">
        <f>SUM(C22:C30)</f>
        <v>464416571</v>
      </c>
      <c r="D31" s="27">
        <f>SUM(D22:D30)</f>
        <v>486012841</v>
      </c>
      <c r="E31" s="27">
        <f t="shared" si="2"/>
        <v>21596270</v>
      </c>
      <c r="F31" s="28">
        <f t="shared" si="3"/>
        <v>0.04650193672783481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16168557</v>
      </c>
      <c r="D33" s="27">
        <f>+D19-D31</f>
        <v>26363920</v>
      </c>
      <c r="E33" s="27">
        <f>D33-C33</f>
        <v>10195363</v>
      </c>
      <c r="F33" s="28">
        <f>IF(C33=0,0,E33/C33)</f>
        <v>0.6305672794424388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-31454561</v>
      </c>
      <c r="D36" s="51">
        <v>7298367</v>
      </c>
      <c r="E36" s="51">
        <f>D36-C36</f>
        <v>38752928</v>
      </c>
      <c r="F36" s="70">
        <f>IF(C36=0,0,E36/C36)</f>
        <v>-1.2320288939972808</v>
      </c>
    </row>
    <row r="37" spans="1:6" ht="22.5" customHeight="1">
      <c r="A37" s="44">
        <v>2</v>
      </c>
      <c r="B37" s="48" t="s">
        <v>208</v>
      </c>
      <c r="C37" s="51">
        <v>3104133</v>
      </c>
      <c r="D37" s="51">
        <v>1560358</v>
      </c>
      <c r="E37" s="51">
        <f>D37-C37</f>
        <v>-1543775</v>
      </c>
      <c r="F37" s="70">
        <f>IF(C37=0,0,E37/C37)</f>
        <v>-0.4973288837817194</v>
      </c>
    </row>
    <row r="38" spans="1:6" ht="22.5" customHeight="1">
      <c r="A38" s="44">
        <v>3</v>
      </c>
      <c r="B38" s="48" t="s">
        <v>209</v>
      </c>
      <c r="C38" s="51">
        <v>-2038936</v>
      </c>
      <c r="D38" s="51">
        <v>2916925</v>
      </c>
      <c r="E38" s="51">
        <f>D38-C38</f>
        <v>4955861</v>
      </c>
      <c r="F38" s="70">
        <f>IF(C38=0,0,E38/C38)</f>
        <v>-2.4306113580808812</v>
      </c>
    </row>
    <row r="39" spans="1:6" ht="22.5" customHeight="1">
      <c r="A39" s="20"/>
      <c r="B39" s="71" t="s">
        <v>210</v>
      </c>
      <c r="C39" s="27">
        <f>SUM(C36:C38)</f>
        <v>-30389364</v>
      </c>
      <c r="D39" s="27">
        <f>SUM(D36:D38)</f>
        <v>11775650</v>
      </c>
      <c r="E39" s="27">
        <f>D39-C39</f>
        <v>42165014</v>
      </c>
      <c r="F39" s="28">
        <f>IF(C39=0,0,E39/C39)</f>
        <v>-1.3874924792766312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-14220807</v>
      </c>
      <c r="D41" s="27">
        <f>D33+D39</f>
        <v>38139570</v>
      </c>
      <c r="E41" s="27">
        <f>D41-C41</f>
        <v>52360377</v>
      </c>
      <c r="F41" s="28">
        <f>IF(C41=0,0,E41/C41)</f>
        <v>-3.6819553911391947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-14220807</v>
      </c>
      <c r="D48" s="27">
        <f>D41+D46</f>
        <v>38139570</v>
      </c>
      <c r="E48" s="27">
        <f>D48-C48</f>
        <v>52360377</v>
      </c>
      <c r="F48" s="28">
        <f>IF(C48=0,0,E48/C48)</f>
        <v>-3.6819553911391947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FILING&amp;R&amp;8DANBURY HEALTH SYSTEMS,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2010-08-17T20:44:16Z</cp:lastPrinted>
  <dcterms:created xsi:type="dcterms:W3CDTF">2006-08-03T13:49:12Z</dcterms:created>
  <dcterms:modified xsi:type="dcterms:W3CDTF">2010-08-17T20:44:19Z</dcterms:modified>
  <cp:category/>
  <cp:version/>
  <cp:contentType/>
  <cp:contentStatus/>
</cp:coreProperties>
</file>