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firstSheet="7" activeTab="18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<sst xmlns="http://schemas.openxmlformats.org/spreadsheetml/2006/main" count="2300" uniqueCount="978">
  <si>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</si>
  <si>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</si>
  <si>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</si>
  <si>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</si>
  <si>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</si>
  <si>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</si>
  <si>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</si>
  <si>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</si>
  <si>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</si>
  <si>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</si>
  <si>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</si>
  <si>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</si>
  <si>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</si>
  <si>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</si>
  <si>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</si>
  <si>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</si>
  <si>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</si>
  <si>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</si>
  <si>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</si>
  <si>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</si>
  <si>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</si>
  <si>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</si>
  <si>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</si>
  <si>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</si>
  <si>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</si>
  <si>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</si>
  <si>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</si>
  <si>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</si>
  <si>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</si>
  <si>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</si>
  <si>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</si>
  <si>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</si>
  <si>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</si>
  <si>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</si>
  <si>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</si>
  <si>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</si>
  <si>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</si>
  <si>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</si>
  <si>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</si>
  <si>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</si>
  <si>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</si>
  <si>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</si>
  <si>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</si>
  <si>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</si>
  <si>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</si>
  <si>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</si>
  <si>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</si>
  <si>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</si>
  <si>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</si>
  <si>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</si>
  <si>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</si>
  <si>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</si>
  <si>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</si>
  <si>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</si>
  <si>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</si>
  <si>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</si>
  <si>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</si>
  <si>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</si>
  <si>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</si>
  <si>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</si>
  <si>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</si>
  <si>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</si>
  <si>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</si>
  <si>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</si>
  <si>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</si>
  <si>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</si>
  <si>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</si>
  <si>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</si>
  <si>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</si>
  <si>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</si>
  <si>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</si>
  <si>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</si>
  <si>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</si>
  <si>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</si>
  <si>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</si>
  <si>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</si>
  <si>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</si>
  <si>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</si>
  <si>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</si>
  <si>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</si>
  <si>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</si>
  <si>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</si>
  <si>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</si>
  <si>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</si>
  <si>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</si>
  <si>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</si>
  <si>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</si>
  <si>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</si>
  <si>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</si>
  <si>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</si>
  <si>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</si>
  <si>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</si>
  <si>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</si>
  <si>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</si>
  <si>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</si>
  <si>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</si>
  <si>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</si>
  <si>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</si>
  <si>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</si>
  <si>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</si>
  <si>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</si>
  <si>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</si>
  <si>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</si>
  <si>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</si>
  <si>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</si>
  <si>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</si>
  <si>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</si>
  <si>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</si>
  <si>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</si>
  <si>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</si>
  <si>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</si>
  <si>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</si>
  <si>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</si>
  <si>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</si>
  <si>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</si>
  <si>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BRISTOL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</si>
  <si>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</si>
  <si>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</si>
  <si>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</si>
  <si>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</si>
  <si>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</si>
  <si>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</si>
  <si>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</si>
  <si>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</si>
  <si>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</si>
  <si>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</si>
  <si>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</si>
  <si>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</si>
  <si>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</si>
  <si>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</si>
  <si>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</si>
  <si>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</si>
  <si>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</si>
  <si>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</si>
  <si>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</si>
  <si>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</si>
  <si>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</si>
  <si>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</si>
  <si>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</si>
  <si>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</si>
  <si>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</si>
  <si>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</si>
  <si>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</si>
  <si>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</si>
  <si>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</si>
  <si>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</si>
  <si>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</si>
  <si>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</si>
  <si>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</si>
  <si>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</si>
  <si>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</si>
  <si>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</si>
  <si>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</si>
  <si>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</si>
  <si>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</si>
  <si>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</si>
  <si>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</si>
  <si>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</si>
  <si>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</si>
  <si>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</si>
  <si>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</si>
  <si>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</si>
  <si>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</si>
  <si>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</si>
  <si>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</si>
  <si>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</si>
  <si>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</si>
  <si>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</si>
  <si>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</si>
  <si>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</si>
  <si>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</si>
  <si>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</si>
  <si>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</si>
  <si>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</si>
  <si>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</si>
  <si>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</si>
  <si>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</si>
  <si>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</si>
  <si>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</si>
  <si>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</si>
  <si>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</si>
  <si>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</si>
  <si>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</si>
  <si>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</si>
  <si>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</si>
  <si>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</si>
  <si>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</si>
  <si>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</si>
  <si>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</si>
  <si>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</si>
  <si>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</si>
  <si>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</si>
  <si>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</si>
  <si>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</si>
  <si>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</si>
  <si>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</si>
  <si>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</si>
  <si>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</si>
  <si>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</si>
  <si>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</si>
  <si>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</si>
  <si>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</si>
  <si>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</si>
  <si>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</si>
  <si>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</si>
  <si>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</si>
  <si>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</si>
  <si>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</si>
  <si>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</si>
  <si>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</si>
  <si>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</si>
  <si>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</si>
  <si>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</si>
  <si>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</si>
  <si>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</si>
  <si>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</si>
  <si>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</si>
  <si>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</si>
  <si>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</si>
  <si>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</si>
  <si>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</si>
  <si>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</si>
  <si>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</si>
  <si>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</si>
  <si>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</si>
  <si>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</si>
  <si>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</si>
  <si>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</si>
  <si>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</si>
  <si>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</si>
  <si>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</si>
  <si>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</si>
  <si>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</si>
  <si>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</si>
  <si>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</si>
  <si>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</si>
  <si>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</si>
  <si>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</si>
  <si>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</si>
  <si>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</si>
  <si>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</si>
  <si>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</si>
  <si>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</si>
  <si>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</si>
  <si>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</si>
  <si>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</si>
  <si>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</si>
  <si>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</si>
  <si>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</si>
  <si>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</si>
  <si>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</si>
  <si>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</si>
  <si>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</si>
  <si>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</si>
  <si>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</si>
  <si>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</si>
  <si>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</si>
  <si>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</si>
  <si>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</si>
  <si>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</si>
  <si>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</si>
  <si>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</si>
  <si>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</si>
  <si>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</si>
  <si>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</si>
  <si>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</si>
  <si>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</si>
  <si>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</si>
  <si>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</si>
  <si>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</si>
  <si>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</si>
  <si>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</si>
  <si>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</si>
  <si>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</si>
  <si>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</si>
  <si>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</si>
  <si>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</si>
  <si>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</si>
  <si>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</si>
  <si>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</si>
  <si>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</si>
  <si>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</si>
  <si>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</si>
  <si>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</si>
  <si>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</si>
  <si>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</si>
  <si>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</si>
  <si>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</si>
  <si>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</si>
  <si>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</si>
  <si>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</si>
  <si>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</si>
  <si>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</si>
  <si>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</si>
  <si>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</si>
  <si>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</si>
  <si>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</si>
  <si>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</si>
  <si>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</si>
  <si>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</si>
  <si>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</si>
  <si>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</si>
  <si>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</si>
  <si>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</si>
  <si>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</si>
  <si>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</si>
  <si>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</si>
  <si>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</si>
  <si>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</si>
  <si>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</si>
  <si>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</si>
  <si>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</si>
  <si>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</si>
  <si>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</si>
  <si>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</si>
  <si>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</si>
  <si>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</si>
  <si>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</si>
  <si>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</si>
  <si>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</si>
  <si>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</si>
  <si>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</si>
  <si>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</si>
  <si>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</si>
  <si>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</si>
  <si>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</si>
  <si>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</si>
  <si>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</si>
  <si>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</si>
  <si>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</si>
  <si>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</si>
  <si>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</si>
  <si>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</si>
  <si>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</si>
  <si>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</si>
  <si>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</si>
  <si>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</si>
  <si>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</si>
  <si>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</si>
  <si>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</si>
  <si>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</si>
  <si>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</si>
  <si>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</si>
  <si>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</si>
  <si>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</si>
  <si>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</si>
  <si>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</si>
  <si>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</si>
  <si>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</si>
  <si>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</si>
  <si>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</si>
  <si>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</si>
  <si>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</si>
  <si>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</si>
  <si>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</si>
  <si>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</si>
  <si>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</si>
  <si>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</si>
  <si>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</si>
  <si>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</si>
  <si>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</si>
  <si>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</si>
  <si>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</si>
  <si>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</si>
  <si>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</si>
  <si>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</si>
  <si>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</si>
  <si>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</si>
  <si>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</si>
  <si>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</si>
  <si>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</si>
  <si>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</si>
  <si>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</si>
  <si>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</si>
  <si>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</si>
  <si>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</si>
  <si>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</si>
  <si>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</si>
  <si>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</si>
  <si>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</si>
  <si>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</si>
  <si>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</si>
  <si>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</si>
  <si>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</si>
  <si>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</si>
  <si>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</si>
  <si>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</si>
  <si>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</si>
  <si>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</si>
  <si>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</si>
  <si>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</si>
  <si>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</si>
  <si>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</si>
  <si>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</si>
  <si>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</si>
  <si>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</si>
  <si>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</si>
  <si>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</si>
  <si>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</si>
  <si>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</si>
  <si>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</si>
  <si>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</si>
  <si>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</si>
  <si>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</si>
  <si>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</si>
  <si>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</si>
  <si>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</si>
  <si>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</si>
  <si>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</si>
  <si>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</si>
  <si>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</si>
  <si>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</si>
  <si>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</si>
  <si>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</si>
  <si>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</si>
  <si>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</si>
  <si>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</si>
  <si>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</si>
  <si>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</si>
  <si>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</si>
  <si>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</si>
  <si>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</si>
  <si>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</si>
  <si>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</si>
  <si>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</si>
  <si>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</si>
  <si>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</si>
  <si>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</si>
  <si>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</si>
  <si>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</si>
  <si>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</si>
  <si>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</si>
  <si>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</si>
  <si>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</si>
  <si>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</si>
  <si>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</si>
  <si>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</si>
  <si>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</si>
  <si>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</si>
  <si>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</si>
  <si>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</si>
  <si>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</si>
  <si>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</si>
  <si>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</si>
  <si>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</si>
  <si>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</si>
  <si>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</si>
  <si>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</si>
  <si>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</si>
  <si>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</si>
  <si>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</si>
  <si>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</si>
  <si>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</si>
  <si>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</si>
  <si>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</si>
  <si>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</si>
  <si>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</si>
  <si>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</si>
  <si>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</si>
  <si>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</si>
  <si>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</si>
  <si>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</si>
  <si>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</si>
  <si>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</si>
  <si>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</si>
  <si>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</si>
  <si>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</si>
  <si>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</si>
  <si>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</si>
  <si>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</si>
  <si>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</si>
  <si>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</si>
  <si>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</si>
  <si>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</si>
  <si>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</si>
  <si>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</si>
  <si>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</si>
  <si>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</si>
  <si>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</si>
  <si>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</si>
  <si>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</si>
  <si>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</si>
  <si>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</si>
  <si>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</si>
  <si>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</si>
  <si>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</si>
  <si>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</si>
  <si>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</si>
  <si>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</si>
  <si>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</si>
  <si>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</si>
  <si>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</si>
  <si>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</si>
  <si>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</si>
  <si>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</si>
  <si>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</si>
  <si>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</si>
  <si>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</si>
  <si>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</si>
  <si>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</si>
  <si>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</si>
  <si>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</si>
  <si>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</si>
  <si>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</si>
  <si>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</si>
  <si>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</si>
  <si>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</si>
  <si>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</si>
  <si>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</si>
  <si>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</si>
  <si>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</si>
  <si>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</si>
  <si>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</si>
  <si>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</si>
  <si>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</si>
  <si>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</si>
  <si>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</si>
  <si>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</si>
  <si>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</si>
  <si>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</si>
  <si>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</si>
  <si>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</si>
  <si>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</si>
  <si>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</si>
  <si>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</si>
  <si>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</si>
  <si>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</si>
  <si>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</si>
  <si>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</si>
  <si>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</si>
  <si>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</si>
  <si>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</si>
  <si>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</si>
  <si>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</si>
  <si>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</si>
  <si>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</si>
  <si>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</si>
  <si>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</si>
  <si>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</si>
  <si>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</si>
  <si>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</si>
  <si>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</si>
  <si>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</si>
  <si>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</si>
  <si>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</si>
  <si>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</si>
  <si>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</si>
  <si>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</si>
  <si>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</si>
  <si>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</si>
  <si>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</si>
  <si>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</si>
  <si>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</si>
  <si>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</si>
  <si>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</si>
  <si>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</si>
  <si>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</si>
  <si>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</si>
  <si>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</si>
  <si>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</si>
  <si>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</si>
  <si>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</si>
  <si>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</si>
  <si>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</si>
  <si>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</si>
  <si>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</si>
  <si>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</si>
  <si>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</si>
  <si>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</si>
  <si>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</si>
  <si>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</si>
  <si>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</si>
  <si>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</si>
  <si>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</si>
  <si>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</si>
  <si>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</si>
  <si>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</si>
  <si>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</si>
  <si>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</si>
  <si>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</si>
  <si>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</si>
  <si>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</si>
  <si>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</si>
  <si>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</si>
  <si>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</si>
  <si>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</si>
  <si>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</si>
  <si>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</si>
  <si>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</si>
  <si>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</si>
  <si>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</si>
  <si>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</si>
  <si>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</si>
  <si>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</si>
  <si>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BRISTOL HOSPITAL &amp; HEALTH CARE GROUP,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</si>
  <si>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</si>
  <si>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</si>
  <si>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</si>
  <si>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</si>
  <si>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</si>
  <si>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</si>
  <si>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</si>
  <si>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</si>
  <si>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</si>
  <si>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</si>
  <si>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</si>
  <si>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</si>
  <si>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</si>
  <si>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</si>
  <si>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</si>
  <si>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</si>
  <si>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</si>
  <si>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</si>
  <si>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</si>
  <si>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</si>
  <si>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</si>
  <si>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</si>
  <si>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</si>
  <si>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</si>
  <si>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</si>
  <si>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</si>
  <si>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</si>
  <si>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</si>
  <si>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</si>
  <si>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</si>
  <si>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</si>
  <si>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</si>
  <si>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</si>
  <si>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</si>
  <si>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</si>
  <si>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</si>
  <si>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</si>
  <si>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</si>
  <si>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</si>
  <si>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</si>
  <si>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</si>
  <si>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</si>
  <si>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</si>
  <si>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</si>
  <si>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</si>
  <si>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</si>
  <si>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</si>
  <si>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</si>
  <si>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</si>
  <si>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</si>
  <si>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</si>
  <si>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</si>
  <si>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</si>
  <si>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</si>
  <si>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</si>
  <si>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</si>
  <si>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</si>
  <si>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</si>
  <si>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</si>
  <si>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</si>
  <si>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</si>
  <si>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</si>
  <si>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</si>
  <si>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</si>
  <si>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</si>
  <si>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</si>
  <si>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</si>
  <si>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</si>
  <si>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</si>
  <si>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</si>
  <si>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</si>
  <si>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</si>
  <si>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</si>
  <si>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</si>
  <si>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</si>
  <si>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</si>
  <si>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</si>
  <si>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</si>
  <si>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</si>
  <si>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</si>
  <si>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</si>
  <si>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</si>
  <si>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</si>
  <si>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</si>
  <si>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</si>
  <si>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</si>
  <si>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</si>
  <si>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</si>
  <si>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</si>
  <si>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</si>
  <si>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</si>
  <si>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</si>
  <si>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</si>
  <si>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</si>
  <si>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</si>
  <si>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</si>
  <si>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</si>
  <si>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</si>
  <si>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</si>
  <si>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</si>
  <si>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</si>
  <si>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</si>
  <si>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</si>
  <si>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Bristol Hospital Campus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</si>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</sst>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115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118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3254877</v>
      </c>
      <c r="D13" s="23">
        <v>6746197</v>
      </c>
      <c r="E13" s="23">
        <f aca="true" t="shared" si="0" ref="E13:E22">D13-C13</f>
        <v>3491320</v>
      </c>
      <c r="F13" s="24">
        <f aca="true" t="shared" si="1" ref="F13:F22">IF(C13=0,0,E13/C13)</f>
        <v>1.0726426835791336</v>
      </c>
    </row>
    <row r="14" spans="1:6" ht="24" customHeight="1">
      <c r="A14" s="21">
        <v>2</v>
      </c>
      <c r="B14" s="22" t="s">
        <v>132</v>
      </c>
      <c r="C14" s="23">
        <v>95129</v>
      </c>
      <c r="D14" s="23">
        <v>96062</v>
      </c>
      <c r="E14" s="23">
        <f t="shared" si="0"/>
        <v>933</v>
      </c>
      <c r="F14" s="24">
        <f t="shared" si="1"/>
        <v>0.009807734760167773</v>
      </c>
    </row>
    <row r="15" spans="1:6" ht="29.25" customHeight="1">
      <c r="A15" s="21">
        <v>3</v>
      </c>
      <c r="B15" s="22" t="s">
        <v>133</v>
      </c>
      <c r="C15" s="23">
        <v>16477565</v>
      </c>
      <c r="D15" s="23">
        <v>16448223</v>
      </c>
      <c r="E15" s="23">
        <f t="shared" si="0"/>
        <v>-29342</v>
      </c>
      <c r="F15" s="24">
        <f t="shared" si="1"/>
        <v>-0.0017807242757045716</v>
      </c>
    </row>
    <row r="16" spans="1:6" ht="24" customHeight="1">
      <c r="A16" s="21">
        <v>4</v>
      </c>
      <c r="B16" s="22" t="s">
        <v>134</v>
      </c>
      <c r="C16" s="23">
        <v>386744</v>
      </c>
      <c r="D16" s="23">
        <v>690043</v>
      </c>
      <c r="E16" s="23">
        <f t="shared" si="0"/>
        <v>303299</v>
      </c>
      <c r="F16" s="24">
        <f t="shared" si="1"/>
        <v>0.7842371180936226</v>
      </c>
    </row>
    <row r="17" spans="1:6" ht="24" customHeight="1">
      <c r="A17" s="21">
        <v>5</v>
      </c>
      <c r="B17" s="22" t="s">
        <v>135</v>
      </c>
      <c r="C17" s="23">
        <v>1920681</v>
      </c>
      <c r="D17" s="23">
        <v>1258994</v>
      </c>
      <c r="E17" s="23">
        <f t="shared" si="0"/>
        <v>-661687</v>
      </c>
      <c r="F17" s="24">
        <f t="shared" si="1"/>
        <v>-0.3445064537005364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1211581</v>
      </c>
      <c r="D19" s="23">
        <v>1641730</v>
      </c>
      <c r="E19" s="23">
        <f t="shared" si="0"/>
        <v>430149</v>
      </c>
      <c r="F19" s="24">
        <f t="shared" si="1"/>
        <v>0.3550311535093403</v>
      </c>
    </row>
    <row r="20" spans="1:6" ht="24" customHeight="1">
      <c r="A20" s="21">
        <v>8</v>
      </c>
      <c r="B20" s="22" t="s">
        <v>138</v>
      </c>
      <c r="C20" s="23">
        <v>1382032</v>
      </c>
      <c r="D20" s="23">
        <v>1348803</v>
      </c>
      <c r="E20" s="23">
        <f t="shared" si="0"/>
        <v>-33229</v>
      </c>
      <c r="F20" s="24">
        <f t="shared" si="1"/>
        <v>-0.024043582203595863</v>
      </c>
    </row>
    <row r="21" spans="1:6" ht="24" customHeight="1">
      <c r="A21" s="21">
        <v>9</v>
      </c>
      <c r="B21" s="22" t="s">
        <v>139</v>
      </c>
      <c r="C21" s="23">
        <v>1396942</v>
      </c>
      <c r="D21" s="23">
        <v>809889</v>
      </c>
      <c r="E21" s="23">
        <f t="shared" si="0"/>
        <v>-587053</v>
      </c>
      <c r="F21" s="24">
        <f t="shared" si="1"/>
        <v>-0.42024149893123697</v>
      </c>
    </row>
    <row r="22" spans="1:6" ht="24" customHeight="1">
      <c r="A22" s="25"/>
      <c r="B22" s="26" t="s">
        <v>140</v>
      </c>
      <c r="C22" s="27">
        <f>SUM(C13:C21)</f>
        <v>26125551</v>
      </c>
      <c r="D22" s="27">
        <f>SUM(D13:D21)</f>
        <v>29039941</v>
      </c>
      <c r="E22" s="27">
        <f t="shared" si="0"/>
        <v>2914390</v>
      </c>
      <c r="F22" s="28">
        <f t="shared" si="1"/>
        <v>0.11155324532676841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5489709</v>
      </c>
      <c r="D26" s="23">
        <v>5202451</v>
      </c>
      <c r="E26" s="23">
        <f>D26-C26</f>
        <v>-287258</v>
      </c>
      <c r="F26" s="24">
        <f>IF(C26=0,0,E26/C26)</f>
        <v>-0.05232663516408611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146</v>
      </c>
      <c r="C28" s="23">
        <v>5721634</v>
      </c>
      <c r="D28" s="23">
        <v>12609680</v>
      </c>
      <c r="E28" s="23">
        <f>D28-C28</f>
        <v>6888046</v>
      </c>
      <c r="F28" s="24">
        <f>IF(C28=0,0,E28/C28)</f>
        <v>1.203859946302053</v>
      </c>
    </row>
    <row r="29" spans="1:6" ht="24" customHeight="1">
      <c r="A29" s="25"/>
      <c r="B29" s="26" t="s">
        <v>147</v>
      </c>
      <c r="C29" s="27">
        <f>SUM(C25:C28)</f>
        <v>11211343</v>
      </c>
      <c r="D29" s="27">
        <f>SUM(D25:D28)</f>
        <v>17812131</v>
      </c>
      <c r="E29" s="27">
        <f>D29-C29</f>
        <v>6600788</v>
      </c>
      <c r="F29" s="28">
        <f>IF(C29=0,0,E29/C29)</f>
        <v>0.5887597944331915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148</v>
      </c>
      <c r="C31" s="23">
        <v>3821455</v>
      </c>
      <c r="D31" s="23">
        <v>4024158</v>
      </c>
      <c r="E31" s="23">
        <f>D31-C31</f>
        <v>202703</v>
      </c>
      <c r="F31" s="24">
        <f>IF(C31=0,0,E31/C31)</f>
        <v>0.05304340885866771</v>
      </c>
    </row>
    <row r="32" spans="1:6" ht="24" customHeight="1">
      <c r="A32" s="21">
        <v>6</v>
      </c>
      <c r="B32" s="22" t="s">
        <v>149</v>
      </c>
      <c r="C32" s="23">
        <v>5049813</v>
      </c>
      <c r="D32" s="23">
        <v>5552518</v>
      </c>
      <c r="E32" s="23">
        <f>D32-C32</f>
        <v>502705</v>
      </c>
      <c r="F32" s="24">
        <f>IF(C32=0,0,E32/C32)</f>
        <v>0.09954923083290411</v>
      </c>
    </row>
    <row r="33" spans="1:6" ht="24" customHeight="1">
      <c r="A33" s="21">
        <v>7</v>
      </c>
      <c r="B33" s="22" t="s">
        <v>150</v>
      </c>
      <c r="C33" s="23">
        <v>7235426</v>
      </c>
      <c r="D33" s="23">
        <v>2839871</v>
      </c>
      <c r="E33" s="23">
        <f>D33-C33</f>
        <v>-4395555</v>
      </c>
      <c r="F33" s="24">
        <f>IF(C33=0,0,E33/C33)</f>
        <v>-0.6075046583297238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151</v>
      </c>
      <c r="B35" s="30" t="s">
        <v>152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153</v>
      </c>
      <c r="C36" s="23">
        <v>120373016</v>
      </c>
      <c r="D36" s="23">
        <v>122729903</v>
      </c>
      <c r="E36" s="23">
        <f>D36-C36</f>
        <v>2356887</v>
      </c>
      <c r="F36" s="24">
        <f>IF(C36=0,0,E36/C36)</f>
        <v>0.01957986165271459</v>
      </c>
    </row>
    <row r="37" spans="1:6" ht="24" customHeight="1">
      <c r="A37" s="21">
        <v>2</v>
      </c>
      <c r="B37" s="22" t="s">
        <v>154</v>
      </c>
      <c r="C37" s="23">
        <v>83066063</v>
      </c>
      <c r="D37" s="23">
        <v>88333810</v>
      </c>
      <c r="E37" s="23">
        <f>D37-C37</f>
        <v>5267747</v>
      </c>
      <c r="F37" s="24">
        <f>IF(C37=0,0,E37/C37)</f>
        <v>0.06341635572640537</v>
      </c>
    </row>
    <row r="38" spans="1:6" ht="24" customHeight="1">
      <c r="A38" s="25"/>
      <c r="B38" s="26" t="s">
        <v>155</v>
      </c>
      <c r="C38" s="27">
        <f>C36-C37</f>
        <v>37306953</v>
      </c>
      <c r="D38" s="27">
        <f>D36-D37</f>
        <v>34396093</v>
      </c>
      <c r="E38" s="27">
        <f>D38-C38</f>
        <v>-2910860</v>
      </c>
      <c r="F38" s="28">
        <f>IF(C38=0,0,E38/C38)</f>
        <v>-0.07802459772043029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156</v>
      </c>
      <c r="C40" s="23">
        <v>449988</v>
      </c>
      <c r="D40" s="23">
        <v>764061</v>
      </c>
      <c r="E40" s="23">
        <f>D40-C40</f>
        <v>314073</v>
      </c>
      <c r="F40" s="24">
        <f>IF(C40=0,0,E40/C40)</f>
        <v>0.6979586122296595</v>
      </c>
    </row>
    <row r="41" spans="1:6" ht="24" customHeight="1">
      <c r="A41" s="25"/>
      <c r="B41" s="26" t="s">
        <v>157</v>
      </c>
      <c r="C41" s="27">
        <f>+C38+C40</f>
        <v>37756941</v>
      </c>
      <c r="D41" s="27">
        <f>+D38+D40</f>
        <v>35160154</v>
      </c>
      <c r="E41" s="27">
        <f>D41-C41</f>
        <v>-2596787</v>
      </c>
      <c r="F41" s="28">
        <f>IF(C41=0,0,E41/C41)</f>
        <v>-0.06877641385195904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158</v>
      </c>
      <c r="C43" s="27">
        <f>C22+C29+C31+C32+C33+C41</f>
        <v>91200529</v>
      </c>
      <c r="D43" s="27">
        <f>D22+D29+D31+D32+D33+D41</f>
        <v>94428773</v>
      </c>
      <c r="E43" s="27">
        <f>D43-C43</f>
        <v>3228244</v>
      </c>
      <c r="F43" s="28">
        <f>IF(C43=0,0,E43/C43)</f>
        <v>0.035397206961376285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162</v>
      </c>
      <c r="C49" s="23">
        <v>7889724</v>
      </c>
      <c r="D49" s="23">
        <v>7979787</v>
      </c>
      <c r="E49" s="23">
        <f aca="true" t="shared" si="2" ref="E49:E56">D49-C49</f>
        <v>90063</v>
      </c>
      <c r="F49" s="24">
        <f aca="true" t="shared" si="3" ref="F49:F56">IF(C49=0,0,E49/C49)</f>
        <v>0.011415228213306322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6259822</v>
      </c>
      <c r="D50" s="23">
        <v>6561782</v>
      </c>
      <c r="E50" s="23">
        <f t="shared" si="2"/>
        <v>301960</v>
      </c>
      <c r="F50" s="24">
        <f t="shared" si="3"/>
        <v>0.0482377933430056</v>
      </c>
    </row>
    <row r="51" spans="1:6" ht="24" customHeight="1">
      <c r="A51" s="21">
        <f t="shared" si="4"/>
        <v>3</v>
      </c>
      <c r="B51" s="22" t="s">
        <v>164</v>
      </c>
      <c r="C51" s="23">
        <v>394236</v>
      </c>
      <c r="D51" s="23">
        <v>971897</v>
      </c>
      <c r="E51" s="23">
        <f t="shared" si="2"/>
        <v>577661</v>
      </c>
      <c r="F51" s="24">
        <f t="shared" si="3"/>
        <v>1.4652669974330097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1337309</v>
      </c>
      <c r="D53" s="23">
        <v>908760</v>
      </c>
      <c r="E53" s="23">
        <f t="shared" si="2"/>
        <v>-428549</v>
      </c>
      <c r="F53" s="24">
        <f t="shared" si="3"/>
        <v>-0.32045622963727904</v>
      </c>
    </row>
    <row r="54" spans="1:6" ht="24" customHeight="1">
      <c r="A54" s="21">
        <f t="shared" si="4"/>
        <v>6</v>
      </c>
      <c r="B54" s="22" t="s">
        <v>167</v>
      </c>
      <c r="C54" s="23">
        <v>6410</v>
      </c>
      <c r="D54" s="23">
        <v>6738</v>
      </c>
      <c r="E54" s="23">
        <f t="shared" si="2"/>
        <v>328</v>
      </c>
      <c r="F54" s="24">
        <f t="shared" si="3"/>
        <v>0.05117004680187207</v>
      </c>
    </row>
    <row r="55" spans="1:6" ht="24" customHeight="1">
      <c r="A55" s="21">
        <f t="shared" si="4"/>
        <v>7</v>
      </c>
      <c r="B55" s="22" t="s">
        <v>168</v>
      </c>
      <c r="C55" s="23">
        <v>7081067</v>
      </c>
      <c r="D55" s="23">
        <v>6750000</v>
      </c>
      <c r="E55" s="23">
        <f t="shared" si="2"/>
        <v>-331067</v>
      </c>
      <c r="F55" s="24">
        <f t="shared" si="3"/>
        <v>-0.04675382961353141</v>
      </c>
    </row>
    <row r="56" spans="1:6" ht="24" customHeight="1">
      <c r="A56" s="25"/>
      <c r="B56" s="26" t="s">
        <v>169</v>
      </c>
      <c r="C56" s="27">
        <f>SUM(C49:C55)</f>
        <v>22968568</v>
      </c>
      <c r="D56" s="27">
        <f>SUM(D49:D55)</f>
        <v>23178964</v>
      </c>
      <c r="E56" s="27">
        <f t="shared" si="2"/>
        <v>210396</v>
      </c>
      <c r="F56" s="28">
        <f t="shared" si="3"/>
        <v>0.009160170542630259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171</v>
      </c>
      <c r="C59" s="23">
        <v>27950820</v>
      </c>
      <c r="D59" s="23">
        <v>27049643</v>
      </c>
      <c r="E59" s="23">
        <f>D59-C59</f>
        <v>-901177</v>
      </c>
      <c r="F59" s="24">
        <f>IF(C59=0,0,E59/C59)</f>
        <v>-0.03224152278895574</v>
      </c>
    </row>
    <row r="60" spans="1:6" ht="24" customHeight="1">
      <c r="A60" s="21">
        <v>2</v>
      </c>
      <c r="B60" s="22" t="s">
        <v>172</v>
      </c>
      <c r="C60" s="23">
        <v>319228</v>
      </c>
      <c r="D60" s="23">
        <v>312490</v>
      </c>
      <c r="E60" s="23">
        <f>D60-C60</f>
        <v>-6738</v>
      </c>
      <c r="F60" s="24">
        <f>IF(C60=0,0,E60/C60)</f>
        <v>-0.021107171050158507</v>
      </c>
    </row>
    <row r="61" spans="1:6" ht="24" customHeight="1">
      <c r="A61" s="25"/>
      <c r="B61" s="26" t="s">
        <v>173</v>
      </c>
      <c r="C61" s="27">
        <f>SUM(C59:C60)</f>
        <v>28270048</v>
      </c>
      <c r="D61" s="27">
        <f>SUM(D59:D60)</f>
        <v>27362133</v>
      </c>
      <c r="E61" s="27">
        <f>D61-C61</f>
        <v>-907915</v>
      </c>
      <c r="F61" s="28">
        <f>IF(C61=0,0,E61/C61)</f>
        <v>-0.032115792658010345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174</v>
      </c>
      <c r="C63" s="23">
        <v>2783218</v>
      </c>
      <c r="D63" s="23">
        <v>21959738</v>
      </c>
      <c r="E63" s="23">
        <f>D63-C63</f>
        <v>19176520</v>
      </c>
      <c r="F63" s="24">
        <f>IF(C63=0,0,E63/C63)</f>
        <v>6.890053168670223</v>
      </c>
    </row>
    <row r="64" spans="1:6" ht="24" customHeight="1">
      <c r="A64" s="21">
        <v>4</v>
      </c>
      <c r="B64" s="22" t="s">
        <v>175</v>
      </c>
      <c r="C64" s="23">
        <v>10754256</v>
      </c>
      <c r="D64" s="23">
        <v>14688678</v>
      </c>
      <c r="E64" s="23">
        <f>D64-C64</f>
        <v>3934422</v>
      </c>
      <c r="F64" s="24">
        <f>IF(C64=0,0,E64/C64)</f>
        <v>0.3658479024490397</v>
      </c>
    </row>
    <row r="65" spans="1:6" ht="24" customHeight="1">
      <c r="A65" s="25"/>
      <c r="B65" s="26" t="s">
        <v>176</v>
      </c>
      <c r="C65" s="27">
        <f>SUM(C61:C64)</f>
        <v>41807522</v>
      </c>
      <c r="D65" s="27">
        <f>SUM(D61:D64)</f>
        <v>64010549</v>
      </c>
      <c r="E65" s="27">
        <f>D65-C65</f>
        <v>22203027</v>
      </c>
      <c r="F65" s="28">
        <f>IF(C65=0,0,E65/C65)</f>
        <v>0.5310773262285193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151</v>
      </c>
      <c r="B69" s="41" t="s">
        <v>178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179</v>
      </c>
      <c r="C70" s="23">
        <v>18132104</v>
      </c>
      <c r="D70" s="23">
        <v>-255398</v>
      </c>
      <c r="E70" s="23">
        <f>D70-C70</f>
        <v>-18387502</v>
      </c>
      <c r="F70" s="24">
        <f>IF(C70=0,0,E70/C70)</f>
        <v>-1.0140854034369096</v>
      </c>
    </row>
    <row r="71" spans="1:6" ht="24" customHeight="1">
      <c r="A71" s="21">
        <v>2</v>
      </c>
      <c r="B71" s="22" t="s">
        <v>180</v>
      </c>
      <c r="C71" s="23">
        <v>1650070</v>
      </c>
      <c r="D71" s="23">
        <v>939739</v>
      </c>
      <c r="E71" s="23">
        <f>D71-C71</f>
        <v>-710331</v>
      </c>
      <c r="F71" s="24">
        <f>IF(C71=0,0,E71/C71)</f>
        <v>-0.43048537334779735</v>
      </c>
    </row>
    <row r="72" spans="1:6" ht="24" customHeight="1">
      <c r="A72" s="21">
        <v>3</v>
      </c>
      <c r="B72" s="22" t="s">
        <v>181</v>
      </c>
      <c r="C72" s="23">
        <v>6642265</v>
      </c>
      <c r="D72" s="23">
        <v>6554919</v>
      </c>
      <c r="E72" s="23">
        <f>D72-C72</f>
        <v>-87346</v>
      </c>
      <c r="F72" s="24">
        <f>IF(C72=0,0,E72/C72)</f>
        <v>-0.013150032406114481</v>
      </c>
    </row>
    <row r="73" spans="1:6" ht="24" customHeight="1">
      <c r="A73" s="21"/>
      <c r="B73" s="26" t="s">
        <v>182</v>
      </c>
      <c r="C73" s="27">
        <f>SUM(C70:C72)</f>
        <v>26424439</v>
      </c>
      <c r="D73" s="27">
        <f>SUM(D70:D72)</f>
        <v>7239260</v>
      </c>
      <c r="E73" s="27">
        <f>D73-C73</f>
        <v>-19185179</v>
      </c>
      <c r="F73" s="28">
        <f>IF(C73=0,0,E73/C73)</f>
        <v>-0.7260392169536692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183</v>
      </c>
      <c r="C75" s="27">
        <f>C56+C65+C67+C73</f>
        <v>91200529</v>
      </c>
      <c r="D75" s="27">
        <f>D56+D65+D67+D73</f>
        <v>94428773</v>
      </c>
      <c r="E75" s="27">
        <f>D75-C75</f>
        <v>3228244</v>
      </c>
      <c r="F75" s="28">
        <f>IF(C75=0,0,E75/C75)</f>
        <v>0.035397206961376285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FILING&amp;RBRISTOL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116</v>
      </c>
      <c r="B2" s="696"/>
      <c r="C2" s="696"/>
      <c r="D2" s="696"/>
      <c r="E2" s="697"/>
    </row>
    <row r="3" spans="1:5" ht="24" customHeight="1">
      <c r="A3" s="695" t="s">
        <v>117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125</v>
      </c>
      <c r="D7" s="59" t="s">
        <v>125</v>
      </c>
      <c r="E7" s="59" t="s">
        <v>125</v>
      </c>
      <c r="F7" s="59"/>
    </row>
    <row r="8" spans="1:6" ht="24" customHeight="1">
      <c r="A8" s="61" t="s">
        <v>123</v>
      </c>
      <c r="B8" s="62" t="s">
        <v>124</v>
      </c>
      <c r="C8" s="264" t="s">
        <v>422</v>
      </c>
      <c r="D8" s="264" t="s">
        <v>119</v>
      </c>
      <c r="E8" s="264" t="s">
        <v>120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129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135099011</v>
      </c>
      <c r="D11" s="51">
        <v>143841159</v>
      </c>
      <c r="E11" s="51">
        <v>151167549</v>
      </c>
      <c r="F11" s="28"/>
    </row>
    <row r="12" spans="1:6" ht="24" customHeight="1">
      <c r="A12" s="44">
        <v>2</v>
      </c>
      <c r="B12" s="48" t="s">
        <v>191</v>
      </c>
      <c r="C12" s="49">
        <v>4936257</v>
      </c>
      <c r="D12" s="49">
        <v>8012741</v>
      </c>
      <c r="E12" s="49">
        <v>6200797</v>
      </c>
      <c r="F12" s="28"/>
    </row>
    <row r="13" spans="1:6" s="56" customFormat="1" ht="24" customHeight="1">
      <c r="A13" s="44">
        <v>3</v>
      </c>
      <c r="B13" s="48" t="s">
        <v>193</v>
      </c>
      <c r="C13" s="51">
        <f>+C11+C12</f>
        <v>140035268</v>
      </c>
      <c r="D13" s="51">
        <f>+D11+D12</f>
        <v>151853900</v>
      </c>
      <c r="E13" s="51">
        <f>+E11+E12</f>
        <v>157368346</v>
      </c>
      <c r="F13" s="70"/>
    </row>
    <row r="14" spans="1:6" s="56" customFormat="1" ht="24" customHeight="1">
      <c r="A14" s="44">
        <v>4</v>
      </c>
      <c r="B14" s="48" t="s">
        <v>204</v>
      </c>
      <c r="C14" s="49">
        <v>143760621</v>
      </c>
      <c r="D14" s="49">
        <v>152682842</v>
      </c>
      <c r="E14" s="49">
        <v>157751440</v>
      </c>
      <c r="F14" s="70"/>
    </row>
    <row r="15" spans="1:6" s="56" customFormat="1" ht="24" customHeight="1">
      <c r="A15" s="44">
        <v>5</v>
      </c>
      <c r="B15" s="48" t="s">
        <v>205</v>
      </c>
      <c r="C15" s="51">
        <f>+C13-C14</f>
        <v>-3725353</v>
      </c>
      <c r="D15" s="51">
        <f>+D13-D14</f>
        <v>-828942</v>
      </c>
      <c r="E15" s="51">
        <f>+E13-E14</f>
        <v>-383094</v>
      </c>
      <c r="F15" s="70"/>
    </row>
    <row r="16" spans="1:6" s="56" customFormat="1" ht="24" customHeight="1">
      <c r="A16" s="44">
        <v>6</v>
      </c>
      <c r="B16" s="48" t="s">
        <v>210</v>
      </c>
      <c r="C16" s="49">
        <v>11184854</v>
      </c>
      <c r="D16" s="49">
        <v>-800315</v>
      </c>
      <c r="E16" s="49">
        <v>390865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7459501</v>
      </c>
      <c r="D17" s="51">
        <f>D15+D16</f>
        <v>-1629257</v>
      </c>
      <c r="E17" s="51">
        <f>E15+E16</f>
        <v>7771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141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-0.02463529952713568</v>
      </c>
      <c r="D20" s="169">
        <f>IF(+D27=0,0,+D24/+D27)</f>
        <v>-0.005487734700238991</v>
      </c>
      <c r="E20" s="169">
        <f>IF(+E27=0,0,+E24/+E27)</f>
        <v>-0.0024283463233091347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0.07396405883074211</v>
      </c>
      <c r="D21" s="169">
        <f>IF(+D27=0,0,+D26/+D27)</f>
        <v>-0.005298219171693277</v>
      </c>
      <c r="E21" s="169">
        <f>IF(+E27=0,0,+E26/+E27)</f>
        <v>0.002477604936804609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0.04932875930360643</v>
      </c>
      <c r="D22" s="169">
        <f>IF(+D27=0,0,+D28/+D27)</f>
        <v>-0.010785953871932269</v>
      </c>
      <c r="E22" s="169">
        <f>IF(+E27=0,0,+E28/+E27)</f>
        <v>4.925861349547444E-05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205</v>
      </c>
      <c r="C24" s="51">
        <f>+C15</f>
        <v>-3725353</v>
      </c>
      <c r="D24" s="51">
        <f>+D15</f>
        <v>-828942</v>
      </c>
      <c r="E24" s="51">
        <f>+E15</f>
        <v>-383094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193</v>
      </c>
      <c r="C25" s="51">
        <f>+C13</f>
        <v>140035268</v>
      </c>
      <c r="D25" s="51">
        <f>+D13</f>
        <v>151853900</v>
      </c>
      <c r="E25" s="51">
        <f>+E13</f>
        <v>157368346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210</v>
      </c>
      <c r="C26" s="51">
        <f>+C16</f>
        <v>11184854</v>
      </c>
      <c r="D26" s="51">
        <f>+D16</f>
        <v>-800315</v>
      </c>
      <c r="E26" s="51">
        <f>+E16</f>
        <v>390865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151220122</v>
      </c>
      <c r="D27" s="51">
        <f>SUM(D25:D26)</f>
        <v>151053585</v>
      </c>
      <c r="E27" s="51">
        <f>SUM(E25:E26)</f>
        <v>157759211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7459501</v>
      </c>
      <c r="D28" s="51">
        <f>+D17</f>
        <v>-1629257</v>
      </c>
      <c r="E28" s="51">
        <f>+E17</f>
        <v>7771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151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34845027</v>
      </c>
      <c r="D31" s="51">
        <v>20022942</v>
      </c>
      <c r="E31" s="52">
        <v>1045617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43927164</v>
      </c>
      <c r="D32" s="51">
        <v>28391605</v>
      </c>
      <c r="E32" s="51">
        <v>8710815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43927164</v>
      </c>
      <c r="D33" s="51">
        <f>+D32-C32</f>
        <v>-15535559</v>
      </c>
      <c r="E33" s="51">
        <f>+E32-D32</f>
        <v>-19680790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-0.35366633275027726</v>
      </c>
      <c r="E34" s="171">
        <f>IF(D32=0,0,+E33/D32)</f>
        <v>-0.6931904695067432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1.213127323431323</v>
      </c>
      <c r="D38" s="269">
        <f>IF(+D40=0,0,+D39/+D40)</f>
        <v>1.283801261730662</v>
      </c>
      <c r="E38" s="269">
        <f>IF(+E40=0,0,+E39/+E40)</f>
        <v>1.4413366176630371</v>
      </c>
      <c r="F38" s="28"/>
    </row>
    <row r="39" spans="1:6" ht="24" customHeight="1">
      <c r="A39" s="17">
        <v>2</v>
      </c>
      <c r="B39" s="45" t="s">
        <v>140</v>
      </c>
      <c r="C39" s="270">
        <v>32574554</v>
      </c>
      <c r="D39" s="270">
        <v>32933581</v>
      </c>
      <c r="E39" s="270">
        <v>36679300</v>
      </c>
      <c r="F39" s="28"/>
    </row>
    <row r="40" spans="1:5" ht="24" customHeight="1">
      <c r="A40" s="17">
        <v>3</v>
      </c>
      <c r="B40" s="45" t="s">
        <v>169</v>
      </c>
      <c r="C40" s="270">
        <v>26851719</v>
      </c>
      <c r="D40" s="270">
        <v>25653177</v>
      </c>
      <c r="E40" s="270">
        <v>25448115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17.019321784137585</v>
      </c>
      <c r="D42" s="271">
        <f>IF((D48/365)=0,0,+D45/(D48/365))</f>
        <v>19.29069799075379</v>
      </c>
      <c r="E42" s="271">
        <f>IF((E48/365)=0,0,+E45/(E48/365))</f>
        <v>25.914226401779192</v>
      </c>
    </row>
    <row r="43" spans="1:5" ht="24" customHeight="1">
      <c r="A43" s="17">
        <v>5</v>
      </c>
      <c r="B43" s="188" t="s">
        <v>131</v>
      </c>
      <c r="C43" s="272">
        <v>4312716</v>
      </c>
      <c r="D43" s="272">
        <v>6161025</v>
      </c>
      <c r="E43" s="272">
        <v>9448477</v>
      </c>
    </row>
    <row r="44" spans="1:5" ht="24" customHeight="1">
      <c r="A44" s="17">
        <v>6</v>
      </c>
      <c r="B44" s="273" t="s">
        <v>132</v>
      </c>
      <c r="C44" s="274">
        <v>2085307</v>
      </c>
      <c r="D44" s="274">
        <v>1572924</v>
      </c>
      <c r="E44" s="274">
        <v>1329434</v>
      </c>
    </row>
    <row r="45" spans="1:5" ht="24" customHeight="1">
      <c r="A45" s="17">
        <v>7</v>
      </c>
      <c r="B45" s="45" t="s">
        <v>461</v>
      </c>
      <c r="C45" s="270">
        <f>+C43+C44</f>
        <v>6398023</v>
      </c>
      <c r="D45" s="270">
        <f>+D43+D44</f>
        <v>7733949</v>
      </c>
      <c r="E45" s="270">
        <f>+E43+E44</f>
        <v>10777911</v>
      </c>
    </row>
    <row r="46" spans="1:5" ht="24" customHeight="1">
      <c r="A46" s="17">
        <v>8</v>
      </c>
      <c r="B46" s="45" t="s">
        <v>439</v>
      </c>
      <c r="C46" s="270">
        <f>+C14</f>
        <v>143760621</v>
      </c>
      <c r="D46" s="270">
        <f>+D14</f>
        <v>152682842</v>
      </c>
      <c r="E46" s="270">
        <f>+E14</f>
        <v>157751440</v>
      </c>
    </row>
    <row r="47" spans="1:5" ht="24" customHeight="1">
      <c r="A47" s="17">
        <v>9</v>
      </c>
      <c r="B47" s="45" t="s">
        <v>462</v>
      </c>
      <c r="C47" s="270">
        <v>6547257</v>
      </c>
      <c r="D47" s="270">
        <v>6348511</v>
      </c>
      <c r="E47" s="270">
        <v>5945345</v>
      </c>
    </row>
    <row r="48" spans="1:5" ht="24" customHeight="1">
      <c r="A48" s="17">
        <v>10</v>
      </c>
      <c r="B48" s="45" t="s">
        <v>463</v>
      </c>
      <c r="C48" s="270">
        <f>+C46-C47</f>
        <v>137213364</v>
      </c>
      <c r="D48" s="270">
        <f>+D46-D47</f>
        <v>146334331</v>
      </c>
      <c r="E48" s="270">
        <f>+E46-E47</f>
        <v>151806095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52.50737427678134</v>
      </c>
      <c r="D50" s="278">
        <f>IF((D55/365)=0,0,+D54/(D55/365))</f>
        <v>50.33698192045296</v>
      </c>
      <c r="E50" s="278">
        <f>IF((E55/365)=0,0,+E54/(E55/365))</f>
        <v>45.819434103545596</v>
      </c>
    </row>
    <row r="51" spans="1:5" ht="24" customHeight="1">
      <c r="A51" s="17">
        <v>12</v>
      </c>
      <c r="B51" s="188" t="s">
        <v>465</v>
      </c>
      <c r="C51" s="279">
        <v>20907311</v>
      </c>
      <c r="D51" s="279">
        <v>20231304</v>
      </c>
      <c r="E51" s="279">
        <v>19948367</v>
      </c>
    </row>
    <row r="52" spans="1:5" ht="24" customHeight="1">
      <c r="A52" s="17">
        <v>13</v>
      </c>
      <c r="B52" s="188" t="s">
        <v>136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164</v>
      </c>
      <c r="C53" s="270">
        <v>1472532</v>
      </c>
      <c r="D53" s="270">
        <v>394236</v>
      </c>
      <c r="E53" s="270">
        <v>971897</v>
      </c>
    </row>
    <row r="54" spans="1:5" ht="32.25" customHeight="1">
      <c r="A54" s="17">
        <v>15</v>
      </c>
      <c r="B54" s="45" t="s">
        <v>466</v>
      </c>
      <c r="C54" s="280">
        <f>+C51+C52-C53</f>
        <v>19434779</v>
      </c>
      <c r="D54" s="280">
        <f>+D51+D52-D53</f>
        <v>19837068</v>
      </c>
      <c r="E54" s="280">
        <f>+E51+E52-E53</f>
        <v>18976470</v>
      </c>
    </row>
    <row r="55" spans="1:5" ht="24" customHeight="1">
      <c r="A55" s="17">
        <v>16</v>
      </c>
      <c r="B55" s="45" t="s">
        <v>190</v>
      </c>
      <c r="C55" s="270">
        <f>+C11</f>
        <v>135099011</v>
      </c>
      <c r="D55" s="270">
        <f>+D11</f>
        <v>143841159</v>
      </c>
      <c r="E55" s="270">
        <f>+E11</f>
        <v>151167549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71.42800926446202</v>
      </c>
      <c r="D57" s="283">
        <f>IF((D61/365)=0,0,+D58/(D61/365))</f>
        <v>63.98641754818287</v>
      </c>
      <c r="E57" s="283">
        <f>IF((E61/365)=0,0,+E58/(E61/365))</f>
        <v>61.18701607468396</v>
      </c>
    </row>
    <row r="58" spans="1:5" ht="24" customHeight="1">
      <c r="A58" s="17">
        <v>18</v>
      </c>
      <c r="B58" s="45" t="s">
        <v>169</v>
      </c>
      <c r="C58" s="281">
        <f>+C40</f>
        <v>26851719</v>
      </c>
      <c r="D58" s="281">
        <f>+D40</f>
        <v>25653177</v>
      </c>
      <c r="E58" s="281">
        <f>+E40</f>
        <v>25448115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143760621</v>
      </c>
      <c r="D59" s="281">
        <f t="shared" si="0"/>
        <v>152682842</v>
      </c>
      <c r="E59" s="281">
        <f t="shared" si="0"/>
        <v>157751440</v>
      </c>
    </row>
    <row r="60" spans="1:5" ht="24" customHeight="1">
      <c r="A60" s="17">
        <v>20</v>
      </c>
      <c r="B60" s="45" t="s">
        <v>462</v>
      </c>
      <c r="C60" s="176">
        <f t="shared" si="0"/>
        <v>6547257</v>
      </c>
      <c r="D60" s="176">
        <f t="shared" si="0"/>
        <v>6348511</v>
      </c>
      <c r="E60" s="176">
        <f t="shared" si="0"/>
        <v>5945345</v>
      </c>
    </row>
    <row r="61" spans="1:5" ht="24" customHeight="1">
      <c r="A61" s="17">
        <v>21</v>
      </c>
      <c r="B61" s="45" t="s">
        <v>468</v>
      </c>
      <c r="C61" s="281">
        <f>+C59-C60</f>
        <v>137213364</v>
      </c>
      <c r="D61" s="281">
        <f>+D59-D60</f>
        <v>146334331</v>
      </c>
      <c r="E61" s="281">
        <f>+E59-E60</f>
        <v>151806095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37.723163815947885</v>
      </c>
      <c r="D65" s="284">
        <f>IF(D67=0,0,(D66/D67)*100)</f>
        <v>27.479540369063336</v>
      </c>
      <c r="E65" s="284">
        <f>IF(E67=0,0,(E66/E67)*100)</f>
        <v>8.199773543632668</v>
      </c>
    </row>
    <row r="66" spans="1:5" ht="24" customHeight="1">
      <c r="A66" s="17">
        <v>2</v>
      </c>
      <c r="B66" s="45" t="s">
        <v>182</v>
      </c>
      <c r="C66" s="281">
        <f>+C32</f>
        <v>43927164</v>
      </c>
      <c r="D66" s="281">
        <f>+D32</f>
        <v>28391605</v>
      </c>
      <c r="E66" s="281">
        <f>+E32</f>
        <v>8710815</v>
      </c>
    </row>
    <row r="67" spans="1:5" ht="24" customHeight="1">
      <c r="A67" s="17">
        <v>3</v>
      </c>
      <c r="B67" s="45" t="s">
        <v>158</v>
      </c>
      <c r="C67" s="281">
        <v>116446129</v>
      </c>
      <c r="D67" s="281">
        <v>103319068</v>
      </c>
      <c r="E67" s="281">
        <v>106232385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22.220290342211552</v>
      </c>
      <c r="D69" s="284">
        <f>IF(D75=0,0,(D72/D75)*100)</f>
        <v>7.853489432574574</v>
      </c>
      <c r="E69" s="284">
        <f>IF(E75=0,0,(E72/E75)*100)</f>
        <v>10.167888153018525</v>
      </c>
    </row>
    <row r="70" spans="1:5" ht="24" customHeight="1">
      <c r="A70" s="17">
        <v>5</v>
      </c>
      <c r="B70" s="45" t="s">
        <v>473</v>
      </c>
      <c r="C70" s="281">
        <f>+C28</f>
        <v>7459501</v>
      </c>
      <c r="D70" s="281">
        <f>+D28</f>
        <v>-1629257</v>
      </c>
      <c r="E70" s="281">
        <f>+E28</f>
        <v>7771</v>
      </c>
    </row>
    <row r="71" spans="1:5" ht="24" customHeight="1">
      <c r="A71" s="17">
        <v>6</v>
      </c>
      <c r="B71" s="45" t="s">
        <v>462</v>
      </c>
      <c r="C71" s="176">
        <f>+C47</f>
        <v>6547257</v>
      </c>
      <c r="D71" s="176">
        <f>+D47</f>
        <v>6348511</v>
      </c>
      <c r="E71" s="176">
        <f>+E47</f>
        <v>5945345</v>
      </c>
    </row>
    <row r="72" spans="1:5" ht="24" customHeight="1">
      <c r="A72" s="17">
        <v>7</v>
      </c>
      <c r="B72" s="45" t="s">
        <v>474</v>
      </c>
      <c r="C72" s="281">
        <f>+C70+C71</f>
        <v>14006758</v>
      </c>
      <c r="D72" s="281">
        <f>+D70+D71</f>
        <v>4719254</v>
      </c>
      <c r="E72" s="281">
        <f>+E70+E71</f>
        <v>5953116</v>
      </c>
    </row>
    <row r="73" spans="1:5" ht="24" customHeight="1">
      <c r="A73" s="17">
        <v>8</v>
      </c>
      <c r="B73" s="45" t="s">
        <v>169</v>
      </c>
      <c r="C73" s="270">
        <f>+C40</f>
        <v>26851719</v>
      </c>
      <c r="D73" s="270">
        <f>+D40</f>
        <v>25653177</v>
      </c>
      <c r="E73" s="270">
        <f>+E40</f>
        <v>25448115</v>
      </c>
    </row>
    <row r="74" spans="1:5" ht="24" customHeight="1">
      <c r="A74" s="17">
        <v>9</v>
      </c>
      <c r="B74" s="45" t="s">
        <v>173</v>
      </c>
      <c r="C74" s="281">
        <v>36184172</v>
      </c>
      <c r="D74" s="281">
        <v>34437997</v>
      </c>
      <c r="E74" s="281">
        <v>33100090</v>
      </c>
    </row>
    <row r="75" spans="1:5" ht="24" customHeight="1">
      <c r="A75" s="17">
        <v>10</v>
      </c>
      <c r="B75" s="285" t="s">
        <v>475</v>
      </c>
      <c r="C75" s="270">
        <f>+C73+C74</f>
        <v>63035891</v>
      </c>
      <c r="D75" s="270">
        <f>+D73+D74</f>
        <v>60091174</v>
      </c>
      <c r="E75" s="270">
        <f>+E73+E74</f>
        <v>58548205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45.167355591223696</v>
      </c>
      <c r="D77" s="286">
        <f>IF(D80=0,0,(D78/D80)*100)</f>
        <v>54.81173826311999</v>
      </c>
      <c r="E77" s="286">
        <f>IF(E80=0,0,(E78/E80)*100)</f>
        <v>79.1661649036298</v>
      </c>
    </row>
    <row r="78" spans="1:5" ht="24" customHeight="1">
      <c r="A78" s="17">
        <v>12</v>
      </c>
      <c r="B78" s="45" t="s">
        <v>173</v>
      </c>
      <c r="C78" s="270">
        <f>+C74</f>
        <v>36184172</v>
      </c>
      <c r="D78" s="270">
        <f>+D74</f>
        <v>34437997</v>
      </c>
      <c r="E78" s="270">
        <f>+E74</f>
        <v>33100090</v>
      </c>
    </row>
    <row r="79" spans="1:5" ht="24" customHeight="1">
      <c r="A79" s="17">
        <v>13</v>
      </c>
      <c r="B79" s="45" t="s">
        <v>182</v>
      </c>
      <c r="C79" s="270">
        <f>+C32</f>
        <v>43927164</v>
      </c>
      <c r="D79" s="270">
        <f>+D32</f>
        <v>28391605</v>
      </c>
      <c r="E79" s="270">
        <f>+E32</f>
        <v>8710815</v>
      </c>
    </row>
    <row r="80" spans="1:5" ht="24" customHeight="1">
      <c r="A80" s="17">
        <v>14</v>
      </c>
      <c r="B80" s="45" t="s">
        <v>477</v>
      </c>
      <c r="C80" s="270">
        <f>+C78+C79</f>
        <v>80111336</v>
      </c>
      <c r="D80" s="270">
        <f>+D78+D79</f>
        <v>62829602</v>
      </c>
      <c r="E80" s="270">
        <f>+E78+E79</f>
        <v>41810905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FILING&amp;R&amp;8BRISTOL HOSPITAL &amp;AMP; HEALTH CARE GROUP,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115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116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117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123</v>
      </c>
      <c r="B9" s="291" t="s">
        <v>124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22739</v>
      </c>
      <c r="D11" s="297">
        <v>78</v>
      </c>
      <c r="E11" s="297">
        <v>86</v>
      </c>
      <c r="F11" s="298">
        <f>IF(D11=0,0,$C11/(D11*365))</f>
        <v>0.7987003863716192</v>
      </c>
      <c r="G11" s="298">
        <f>IF(E11=0,0,$C11/(E11*365))</f>
        <v>0.7244026760114686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3089</v>
      </c>
      <c r="D13" s="297">
        <v>14</v>
      </c>
      <c r="E13" s="297">
        <v>14</v>
      </c>
      <c r="F13" s="298">
        <f>IF(D13=0,0,$C13/(D13*365))</f>
        <v>0.6045009784735812</v>
      </c>
      <c r="G13" s="298">
        <f>IF(E13=0,0,$C13/(E13*365))</f>
        <v>0.6045009784735812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4410</v>
      </c>
      <c r="D16" s="297">
        <v>14</v>
      </c>
      <c r="E16" s="297">
        <v>16</v>
      </c>
      <c r="F16" s="298">
        <f t="shared" si="0"/>
        <v>0.863013698630137</v>
      </c>
      <c r="G16" s="298">
        <f t="shared" si="0"/>
        <v>0.7551369863013698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4410</v>
      </c>
      <c r="D17" s="300">
        <f>SUM(D15:D16)</f>
        <v>14</v>
      </c>
      <c r="E17" s="300">
        <f>SUM(E15:E16)</f>
        <v>16</v>
      </c>
      <c r="F17" s="301">
        <f t="shared" si="0"/>
        <v>0.863013698630137</v>
      </c>
      <c r="G17" s="301">
        <f t="shared" si="0"/>
        <v>0.7551369863013698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1608</v>
      </c>
      <c r="D21" s="297">
        <v>15</v>
      </c>
      <c r="E21" s="297">
        <v>15</v>
      </c>
      <c r="F21" s="298">
        <f>IF(D21=0,0,$C21/(D21*365))</f>
        <v>0.2936986301369863</v>
      </c>
      <c r="G21" s="298">
        <f>IF(E21=0,0,$C21/(E21*365))</f>
        <v>0.2936986301369863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1518</v>
      </c>
      <c r="D23" s="297">
        <v>8</v>
      </c>
      <c r="E23" s="297">
        <v>20</v>
      </c>
      <c r="F23" s="298">
        <f>IF(D23=0,0,$C23/(D23*365))</f>
        <v>0.5198630136986301</v>
      </c>
      <c r="G23" s="298">
        <f>IF(E23=0,0,$C23/(E23*365))</f>
        <v>0.20794520547945206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410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294</v>
      </c>
      <c r="D27" s="297">
        <v>3</v>
      </c>
      <c r="E27" s="297">
        <v>3</v>
      </c>
      <c r="F27" s="298">
        <f>IF(D27=0,0,$C27/(D27*365))</f>
        <v>0.2684931506849315</v>
      </c>
      <c r="G27" s="298">
        <f>IF(E27=0,0,$C27/(E27*365))</f>
        <v>0.2684931506849315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32140</v>
      </c>
      <c r="D31" s="300">
        <f>SUM(D10:D29)-D17-D23</f>
        <v>124</v>
      </c>
      <c r="E31" s="300">
        <f>SUM(E10:E29)-E17-E23</f>
        <v>134</v>
      </c>
      <c r="F31" s="301">
        <f>IF(D31=0,0,$C31/(D31*365))</f>
        <v>0.7101193106495802</v>
      </c>
      <c r="G31" s="301">
        <f>IF(E31=0,0,$C31/(E31*365))</f>
        <v>0.6571253322428952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33658</v>
      </c>
      <c r="D33" s="300">
        <f>SUM(D10:D29)-D17</f>
        <v>132</v>
      </c>
      <c r="E33" s="300">
        <f>SUM(E10:E29)-E17</f>
        <v>154</v>
      </c>
      <c r="F33" s="301">
        <f>IF(D33=0,0,$C33/(D33*365))</f>
        <v>0.6985886259858862</v>
      </c>
      <c r="G33" s="301">
        <f>IF(E33=0,0,$C33/(E33*365))</f>
        <v>0.5987902508450453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33658</v>
      </c>
      <c r="D36" s="300">
        <f>+D33</f>
        <v>132</v>
      </c>
      <c r="E36" s="300">
        <f>+E33</f>
        <v>154</v>
      </c>
      <c r="F36" s="301">
        <f>+F33</f>
        <v>0.6985886259858862</v>
      </c>
      <c r="G36" s="301">
        <f>+G33</f>
        <v>0.5987902508450453</v>
      </c>
      <c r="H36" s="125"/>
      <c r="I36" s="299"/>
    </row>
    <row r="37" spans="1:9" ht="15.75" customHeight="1">
      <c r="A37" s="293"/>
      <c r="B37" s="135" t="s">
        <v>633</v>
      </c>
      <c r="C37" s="300">
        <v>33258</v>
      </c>
      <c r="D37" s="302">
        <v>115</v>
      </c>
      <c r="E37" s="302">
        <v>154</v>
      </c>
      <c r="F37" s="301">
        <f>IF(D37=0,0,$C37/(D37*365))</f>
        <v>0.7923287671232877</v>
      </c>
      <c r="G37" s="301">
        <f>IF(E37=0,0,$C37/(E37*365))</f>
        <v>0.5916740793453122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400</v>
      </c>
      <c r="D38" s="300">
        <f>+D36-D37</f>
        <v>17</v>
      </c>
      <c r="E38" s="300">
        <f>+E36-E37</f>
        <v>0</v>
      </c>
      <c r="F38" s="301">
        <f>+F36-F37</f>
        <v>-0.09374014113740148</v>
      </c>
      <c r="G38" s="301">
        <f>+G36-G37</f>
        <v>0.007116171499733093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0.012027181430031873</v>
      </c>
      <c r="D40" s="148">
        <f>IF(D37=0,0,D38/D37)</f>
        <v>0.14782608695652175</v>
      </c>
      <c r="E40" s="148">
        <f>IF(E37=0,0,E38/E37)</f>
        <v>0</v>
      </c>
      <c r="F40" s="148">
        <f>IF(F37=0,0,F38/F37)</f>
        <v>-0.11830965254201777</v>
      </c>
      <c r="G40" s="148">
        <f>IF(G37=0,0,G38/G37)</f>
        <v>0.012027181430031786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154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 r:id="rId1"/>
  <headerFooter alignWithMargins="0">
    <oddHeader>&amp;LOFFICE OF HEALTH CARE ACCESS&amp;CTWELVE MONTHS ACTUAL FILING&amp;RBRISTOL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129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3992</v>
      </c>
      <c r="D12" s="296">
        <v>3998</v>
      </c>
      <c r="E12" s="296">
        <f>+D12-C12</f>
        <v>6</v>
      </c>
      <c r="F12" s="316">
        <f>IF(C12=0,0,+E12/C12)</f>
        <v>0.001503006012024048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5173</v>
      </c>
      <c r="D13" s="296">
        <v>5228</v>
      </c>
      <c r="E13" s="296">
        <f>+D13-C13</f>
        <v>55</v>
      </c>
      <c r="F13" s="316">
        <f>IF(C13=0,0,+E13/C13)</f>
        <v>0.010632128358786004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4999</v>
      </c>
      <c r="D14" s="296">
        <v>5450</v>
      </c>
      <c r="E14" s="296">
        <f>+D14-C14</f>
        <v>451</v>
      </c>
      <c r="F14" s="316">
        <f>IF(C14=0,0,+E14/C14)</f>
        <v>0.09021804360872174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14164</v>
      </c>
      <c r="D16" s="300">
        <f>SUM(D12:D15)</f>
        <v>14676</v>
      </c>
      <c r="E16" s="300">
        <f>+D16-C16</f>
        <v>512</v>
      </c>
      <c r="F16" s="309">
        <f>IF(C16=0,0,+E16/C16)</f>
        <v>0.036147980796385204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141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476</v>
      </c>
      <c r="D19" s="296">
        <v>394</v>
      </c>
      <c r="E19" s="296">
        <f>+D19-C19</f>
        <v>-82</v>
      </c>
      <c r="F19" s="316">
        <f>IF(C19=0,0,+E19/C19)</f>
        <v>-0.1722689075630252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2912</v>
      </c>
      <c r="D20" s="296">
        <v>3049</v>
      </c>
      <c r="E20" s="296">
        <f>+D20-C20</f>
        <v>137</v>
      </c>
      <c r="F20" s="316">
        <f>IF(C20=0,0,+E20/C20)</f>
        <v>0.047046703296703296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117</v>
      </c>
      <c r="D21" s="296">
        <v>108</v>
      </c>
      <c r="E21" s="296">
        <f>+D21-C21</f>
        <v>-9</v>
      </c>
      <c r="F21" s="316">
        <f>IF(C21=0,0,+E21/C21)</f>
        <v>-0.07692307692307693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3505</v>
      </c>
      <c r="D23" s="300">
        <f>SUM(D19:D22)</f>
        <v>3551</v>
      </c>
      <c r="E23" s="300">
        <f>+D23-C23</f>
        <v>46</v>
      </c>
      <c r="F23" s="309">
        <f>IF(C23=0,0,+E23/C23)</f>
        <v>0.013124108416547788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151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545</v>
      </c>
      <c r="D27" s="296">
        <v>363</v>
      </c>
      <c r="E27" s="296">
        <f>+D27-C27</f>
        <v>-182</v>
      </c>
      <c r="F27" s="316">
        <f>IF(C27=0,0,+E27/C27)</f>
        <v>-0.3339449541284404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545</v>
      </c>
      <c r="D30" s="300">
        <f>SUM(D26:D29)</f>
        <v>363</v>
      </c>
      <c r="E30" s="300">
        <f>+D30-C30</f>
        <v>-182</v>
      </c>
      <c r="F30" s="309">
        <f>IF(C30=0,0,+E30/C30)</f>
        <v>-0.3339449541284404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127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1468</v>
      </c>
      <c r="D63" s="296">
        <v>1536</v>
      </c>
      <c r="E63" s="296">
        <f>+D63-C63</f>
        <v>68</v>
      </c>
      <c r="F63" s="316">
        <f>IF(C63=0,0,+E63/C63)</f>
        <v>0.04632152588555858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4454</v>
      </c>
      <c r="D64" s="296">
        <v>3969</v>
      </c>
      <c r="E64" s="296">
        <f>+D64-C64</f>
        <v>-485</v>
      </c>
      <c r="F64" s="316">
        <f>IF(C64=0,0,+E64/C64)</f>
        <v>-0.10889088459811405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5922</v>
      </c>
      <c r="D65" s="300">
        <f>SUM(D63:D64)</f>
        <v>5505</v>
      </c>
      <c r="E65" s="300">
        <f>+D65-C65</f>
        <v>-417</v>
      </c>
      <c r="F65" s="309">
        <f>IF(C65=0,0,+E65/C65)</f>
        <v>-0.07041540020263425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552</v>
      </c>
      <c r="D68" s="296">
        <v>576</v>
      </c>
      <c r="E68" s="296">
        <f>+D68-C68</f>
        <v>24</v>
      </c>
      <c r="F68" s="316">
        <f>IF(C68=0,0,+E68/C68)</f>
        <v>0.043478260869565216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2065</v>
      </c>
      <c r="D69" s="296">
        <v>1878</v>
      </c>
      <c r="E69" s="296">
        <f>+D69-C69</f>
        <v>-187</v>
      </c>
      <c r="F69" s="318">
        <f>IF(C69=0,0,+E69/C69)</f>
        <v>-0.09055690072639225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2617</v>
      </c>
      <c r="D70" s="300">
        <f>SUM(D68:D69)</f>
        <v>2454</v>
      </c>
      <c r="E70" s="300">
        <f>+D70-C70</f>
        <v>-163</v>
      </c>
      <c r="F70" s="309">
        <f>IF(C70=0,0,+E70/C70)</f>
        <v>-0.06228505922812381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5723</v>
      </c>
      <c r="D73" s="319">
        <v>5501</v>
      </c>
      <c r="E73" s="296">
        <f>+D73-C73</f>
        <v>-222</v>
      </c>
      <c r="F73" s="316">
        <f>IF(C73=0,0,+E73/C73)</f>
        <v>-0.03879084396295649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34410</v>
      </c>
      <c r="D74" s="319">
        <v>33551</v>
      </c>
      <c r="E74" s="296">
        <f>+D74-C74</f>
        <v>-859</v>
      </c>
      <c r="F74" s="316">
        <f>IF(C74=0,0,+E74/C74)</f>
        <v>-0.024963673350770123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40133</v>
      </c>
      <c r="D75" s="300">
        <f>SUM(D73:D74)</f>
        <v>39052</v>
      </c>
      <c r="E75" s="300">
        <f>SUM(E73:E74)</f>
        <v>-1081</v>
      </c>
      <c r="F75" s="309">
        <f>IF(C75=0,0,+E75/C75)</f>
        <v>-0.026935439663120127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23855</v>
      </c>
      <c r="D81" s="319">
        <v>25328</v>
      </c>
      <c r="E81" s="296">
        <f t="shared" si="0"/>
        <v>1473</v>
      </c>
      <c r="F81" s="316">
        <f t="shared" si="1"/>
        <v>0.06174806120310208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23855</v>
      </c>
      <c r="D84" s="320">
        <f>SUM(D79:D83)</f>
        <v>25328</v>
      </c>
      <c r="E84" s="300">
        <f t="shared" si="0"/>
        <v>1473</v>
      </c>
      <c r="F84" s="309">
        <f t="shared" si="1"/>
        <v>0.06174806120310208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72723</v>
      </c>
      <c r="D87" s="322">
        <v>85587</v>
      </c>
      <c r="E87" s="323">
        <f aca="true" t="shared" si="2" ref="E87:E92">+D87-C87</f>
        <v>12864</v>
      </c>
      <c r="F87" s="318">
        <f aca="true" t="shared" si="3" ref="F87:F92">IF(C87=0,0,+E87/C87)</f>
        <v>0.17689039231054823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378</v>
      </c>
      <c r="C88" s="322">
        <v>3070</v>
      </c>
      <c r="D88" s="322">
        <v>3048</v>
      </c>
      <c r="E88" s="296">
        <f t="shared" si="2"/>
        <v>-22</v>
      </c>
      <c r="F88" s="316">
        <f t="shared" si="3"/>
        <v>-0.0071661237785016286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5395</v>
      </c>
      <c r="D89" s="322">
        <v>8675</v>
      </c>
      <c r="E89" s="296">
        <f t="shared" si="2"/>
        <v>3280</v>
      </c>
      <c r="F89" s="316">
        <f t="shared" si="3"/>
        <v>0.607970342910102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3273</v>
      </c>
      <c r="D91" s="322">
        <v>3864</v>
      </c>
      <c r="E91" s="296">
        <f t="shared" si="2"/>
        <v>591</v>
      </c>
      <c r="F91" s="316">
        <f t="shared" si="3"/>
        <v>0.18056828597616864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84461</v>
      </c>
      <c r="D92" s="320">
        <f>SUM(D87:D91)</f>
        <v>101174</v>
      </c>
      <c r="E92" s="300">
        <f t="shared" si="2"/>
        <v>16713</v>
      </c>
      <c r="F92" s="309">
        <f t="shared" si="3"/>
        <v>0.19787831069961284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276.2</v>
      </c>
      <c r="D96" s="325">
        <v>285.8</v>
      </c>
      <c r="E96" s="326">
        <f>+D96-C96</f>
        <v>9.600000000000023</v>
      </c>
      <c r="F96" s="316">
        <f>IF(C96=0,0,+E96/C96)</f>
        <v>0.03475742215785671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3.7</v>
      </c>
      <c r="D97" s="325">
        <v>2.6</v>
      </c>
      <c r="E97" s="326">
        <f>+D97-C97</f>
        <v>-1.1</v>
      </c>
      <c r="F97" s="316">
        <f>IF(C97=0,0,+E97/C97)</f>
        <v>-0.2972972972972973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625.2</v>
      </c>
      <c r="D98" s="325">
        <v>611</v>
      </c>
      <c r="E98" s="326">
        <f>+D98-C98</f>
        <v>-14.200000000000045</v>
      </c>
      <c r="F98" s="316">
        <f>IF(C98=0,0,+E98/C98)</f>
        <v>-0.02271273192578382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905.1</v>
      </c>
      <c r="D99" s="327">
        <f>SUM(D96:D98)</f>
        <v>899.4000000000001</v>
      </c>
      <c r="E99" s="327">
        <f>+D99-C99</f>
        <v>-5.699999999999932</v>
      </c>
      <c r="F99" s="309">
        <f>IF(C99=0,0,+E99/C99)</f>
        <v>-0.006297646668876292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FILING&amp;RBRISTOL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225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4454</v>
      </c>
      <c r="D12" s="296">
        <v>3969</v>
      </c>
      <c r="E12" s="296">
        <f>+D12-C12</f>
        <v>-485</v>
      </c>
      <c r="F12" s="316">
        <f>IF(C12=0,0,+E12/C12)</f>
        <v>-0.10889088459811405</v>
      </c>
    </row>
    <row r="13" spans="1:6" ht="15.75" customHeight="1">
      <c r="A13" s="294"/>
      <c r="B13" s="135" t="s">
        <v>699</v>
      </c>
      <c r="C13" s="300">
        <f>SUM(C11:C12)</f>
        <v>4454</v>
      </c>
      <c r="D13" s="300">
        <f>SUM(D11:D12)</f>
        <v>3969</v>
      </c>
      <c r="E13" s="300">
        <f>+D13-C13</f>
        <v>-485</v>
      </c>
      <c r="F13" s="309">
        <f>IF(C13=0,0,+E13/C13)</f>
        <v>-0.10889088459811405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239</v>
      </c>
      <c r="B15" s="291" t="s">
        <v>673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698</v>
      </c>
      <c r="C16" s="296">
        <v>2065</v>
      </c>
      <c r="D16" s="296">
        <v>1878</v>
      </c>
      <c r="E16" s="296">
        <f>+D16-C16</f>
        <v>-187</v>
      </c>
      <c r="F16" s="316">
        <f>IF(C16=0,0,+E16/C16)</f>
        <v>-0.09055690072639225</v>
      </c>
    </row>
    <row r="17" spans="1:6" ht="15.75" customHeight="1">
      <c r="A17" s="294"/>
      <c r="B17" s="135" t="s">
        <v>700</v>
      </c>
      <c r="C17" s="300">
        <f>SUM(C15:C16)</f>
        <v>2065</v>
      </c>
      <c r="D17" s="300">
        <f>SUM(D15:D16)</f>
        <v>1878</v>
      </c>
      <c r="E17" s="300">
        <f>+D17-C17</f>
        <v>-187</v>
      </c>
      <c r="F17" s="309">
        <f>IF(C17=0,0,+E17/C17)</f>
        <v>-0.09055690072639225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256</v>
      </c>
      <c r="B19" s="291" t="s">
        <v>701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698</v>
      </c>
      <c r="C20" s="296">
        <v>34410</v>
      </c>
      <c r="D20" s="296">
        <v>33551</v>
      </c>
      <c r="E20" s="296">
        <f>+D20-C20</f>
        <v>-859</v>
      </c>
      <c r="F20" s="316">
        <f>IF(C20=0,0,+E20/C20)</f>
        <v>-0.024963673350770123</v>
      </c>
    </row>
    <row r="21" spans="1:6" ht="15.75" customHeight="1">
      <c r="A21" s="294"/>
      <c r="B21" s="135" t="s">
        <v>702</v>
      </c>
      <c r="C21" s="300">
        <f>SUM(C19:C20)</f>
        <v>34410</v>
      </c>
      <c r="D21" s="300">
        <f>SUM(D19:D20)</f>
        <v>33551</v>
      </c>
      <c r="E21" s="300">
        <f>+D21-C21</f>
        <v>-859</v>
      </c>
      <c r="F21" s="309">
        <f>IF(C21=0,0,+E21/C21)</f>
        <v>-0.024963673350770123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703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704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705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FILING&amp;RBRISTOL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286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115</v>
      </c>
      <c r="B1" s="705"/>
      <c r="C1" s="705"/>
      <c r="D1" s="705"/>
      <c r="E1" s="705"/>
      <c r="F1" s="705"/>
    </row>
    <row r="2" spans="1:6" ht="15.75" customHeight="1">
      <c r="A2" s="706" t="s">
        <v>706</v>
      </c>
      <c r="B2" s="707"/>
      <c r="C2" s="707"/>
      <c r="D2" s="707"/>
      <c r="E2" s="707"/>
      <c r="F2" s="708"/>
    </row>
    <row r="3" spans="1:6" ht="15.75" customHeight="1">
      <c r="A3" s="706" t="s">
        <v>707</v>
      </c>
      <c r="B3" s="707"/>
      <c r="C3" s="707"/>
      <c r="D3" s="707"/>
      <c r="E3" s="707"/>
      <c r="F3" s="708"/>
    </row>
    <row r="4" spans="1:6" ht="15.75" customHeight="1">
      <c r="A4" s="702" t="s">
        <v>708</v>
      </c>
      <c r="B4" s="703"/>
      <c r="C4" s="703"/>
      <c r="D4" s="703"/>
      <c r="E4" s="703"/>
      <c r="F4" s="704"/>
    </row>
    <row r="5" spans="1:6" ht="15.75" customHeight="1">
      <c r="A5" s="702" t="s">
        <v>709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710</v>
      </c>
      <c r="D7" s="341" t="s">
        <v>710</v>
      </c>
      <c r="E7" s="341" t="s">
        <v>711</v>
      </c>
      <c r="F7" s="341" t="s">
        <v>122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123</v>
      </c>
      <c r="B8" s="343" t="s">
        <v>124</v>
      </c>
      <c r="C8" s="344" t="s">
        <v>712</v>
      </c>
      <c r="D8" s="344" t="s">
        <v>713</v>
      </c>
      <c r="E8" s="344" t="s">
        <v>126</v>
      </c>
      <c r="F8" s="344" t="s">
        <v>126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127</v>
      </c>
      <c r="B10" s="349" t="s">
        <v>714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129</v>
      </c>
      <c r="B12" s="356" t="s">
        <v>715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716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717</v>
      </c>
      <c r="C15" s="361">
        <v>81897226</v>
      </c>
      <c r="D15" s="361">
        <v>86691351</v>
      </c>
      <c r="E15" s="361">
        <f aca="true" t="shared" si="0" ref="E15:E24">D15-C15</f>
        <v>4794125</v>
      </c>
      <c r="F15" s="362">
        <f aca="true" t="shared" si="1" ref="F15:F24">IF(C15=0,0,E15/C15)</f>
        <v>0.058538307512393646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718</v>
      </c>
      <c r="C16" s="361">
        <v>28542377</v>
      </c>
      <c r="D16" s="361">
        <v>29232376</v>
      </c>
      <c r="E16" s="361">
        <f t="shared" si="0"/>
        <v>689999</v>
      </c>
      <c r="F16" s="362">
        <f t="shared" si="1"/>
        <v>0.024174545799041193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719</v>
      </c>
      <c r="C17" s="366">
        <f>IF(C15=0,0,C16/C15)</f>
        <v>0.34851457606146513</v>
      </c>
      <c r="D17" s="366">
        <f>IF(LN_IA1=0,0,LN_IA2/LN_IA1)</f>
        <v>0.3372006049369331</v>
      </c>
      <c r="E17" s="367">
        <f t="shared" si="0"/>
        <v>-0.01131397112453203</v>
      </c>
      <c r="F17" s="362">
        <f t="shared" si="1"/>
        <v>-0.03246340871130929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252</v>
      </c>
      <c r="C18" s="369">
        <v>3640</v>
      </c>
      <c r="D18" s="369">
        <v>3597</v>
      </c>
      <c r="E18" s="369">
        <f t="shared" si="0"/>
        <v>-43</v>
      </c>
      <c r="F18" s="362">
        <f t="shared" si="1"/>
        <v>-0.011813186813186813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720</v>
      </c>
      <c r="C19" s="372">
        <v>1.2802</v>
      </c>
      <c r="D19" s="372">
        <v>1.3004</v>
      </c>
      <c r="E19" s="373">
        <f t="shared" si="0"/>
        <v>0.020199999999999996</v>
      </c>
      <c r="F19" s="362">
        <f t="shared" si="1"/>
        <v>0.01577878456491173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721</v>
      </c>
      <c r="C20" s="376">
        <f>C18*C19</f>
        <v>4659.928</v>
      </c>
      <c r="D20" s="376">
        <f>LN_IA4*LN_IA5</f>
        <v>4677.5388</v>
      </c>
      <c r="E20" s="376">
        <f t="shared" si="0"/>
        <v>17.61080000000038</v>
      </c>
      <c r="F20" s="362">
        <f t="shared" si="1"/>
        <v>0.0037792000219746703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722</v>
      </c>
      <c r="C21" s="378">
        <f>IF(C20=0,0,C16/C20)</f>
        <v>6125.068241397721</v>
      </c>
      <c r="D21" s="378">
        <f>IF(LN_IA6=0,0,LN_IA2/LN_IA6)</f>
        <v>6249.520794995864</v>
      </c>
      <c r="E21" s="378">
        <f t="shared" si="0"/>
        <v>124.45255359814291</v>
      </c>
      <c r="F21" s="362">
        <f t="shared" si="1"/>
        <v>0.02031855788266993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254</v>
      </c>
      <c r="C22" s="369">
        <v>18360</v>
      </c>
      <c r="D22" s="369">
        <v>19311</v>
      </c>
      <c r="E22" s="369">
        <f t="shared" si="0"/>
        <v>951</v>
      </c>
      <c r="F22" s="362">
        <f t="shared" si="1"/>
        <v>0.051797385620915036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723</v>
      </c>
      <c r="C23" s="378">
        <f>IF(C22=0,0,C16/C22)</f>
        <v>1554.595697167756</v>
      </c>
      <c r="D23" s="378">
        <f>IF(LN_IA8=0,0,LN_IA2/LN_IA8)</f>
        <v>1513.7681114390762</v>
      </c>
      <c r="E23" s="378">
        <f t="shared" si="0"/>
        <v>-40.82758572867988</v>
      </c>
      <c r="F23" s="362">
        <f t="shared" si="1"/>
        <v>-0.026262510441178832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724</v>
      </c>
      <c r="C24" s="379">
        <f>IF(C18=0,0,C22/C18)</f>
        <v>5.043956043956044</v>
      </c>
      <c r="D24" s="379">
        <f>IF(LN_IA4=0,0,LN_IA8/LN_IA4)</f>
        <v>5.368640533778149</v>
      </c>
      <c r="E24" s="379">
        <f t="shared" si="0"/>
        <v>0.32468448982210507</v>
      </c>
      <c r="F24" s="362">
        <f t="shared" si="1"/>
        <v>0.06437099907148489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726</v>
      </c>
      <c r="C27" s="361">
        <v>64592841</v>
      </c>
      <c r="D27" s="361">
        <v>71274877</v>
      </c>
      <c r="E27" s="361">
        <f aca="true" t="shared" si="2" ref="E27:E32">D27-C27</f>
        <v>6682036</v>
      </c>
      <c r="F27" s="362">
        <f aca="true" t="shared" si="3" ref="F27:F32">IF(C27=0,0,E27/C27)</f>
        <v>0.10344855399687405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727</v>
      </c>
      <c r="C28" s="361">
        <v>14985705</v>
      </c>
      <c r="D28" s="361">
        <v>16688591</v>
      </c>
      <c r="E28" s="361">
        <f t="shared" si="2"/>
        <v>1702886</v>
      </c>
      <c r="F28" s="362">
        <f t="shared" si="3"/>
        <v>0.11363402656064563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728</v>
      </c>
      <c r="C29" s="366">
        <f>IF(C27=0,0,C28/C27)</f>
        <v>0.23200256821030676</v>
      </c>
      <c r="D29" s="366">
        <f>IF(LN_IA11=0,0,LN_IA12/LN_IA11)</f>
        <v>0.23414408698313152</v>
      </c>
      <c r="E29" s="367">
        <f t="shared" si="2"/>
        <v>0.0021415187728247576</v>
      </c>
      <c r="F29" s="362">
        <f t="shared" si="3"/>
        <v>0.00923058218426058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729</v>
      </c>
      <c r="C30" s="366">
        <f>IF(C15=0,0,C27/C15)</f>
        <v>0.7887060912173021</v>
      </c>
      <c r="D30" s="366">
        <f>IF(LN_IA1=0,0,LN_IA11/LN_IA1)</f>
        <v>0.8221682575923865</v>
      </c>
      <c r="E30" s="367">
        <f t="shared" si="2"/>
        <v>0.03346216637508448</v>
      </c>
      <c r="F30" s="362">
        <f t="shared" si="3"/>
        <v>0.04242666152538319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730</v>
      </c>
      <c r="C31" s="376">
        <f>C30*C18</f>
        <v>2870.8901720309796</v>
      </c>
      <c r="D31" s="376">
        <f>LN_IA14*LN_IA4</f>
        <v>2957.3392225598145</v>
      </c>
      <c r="E31" s="376">
        <f t="shared" si="2"/>
        <v>86.44905052883496</v>
      </c>
      <c r="F31" s="362">
        <f t="shared" si="3"/>
        <v>0.030112280633737214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731</v>
      </c>
      <c r="C32" s="378">
        <f>IF(C31=0,0,C28/C31)</f>
        <v>5219.880978379096</v>
      </c>
      <c r="D32" s="378">
        <f>IF(LN_IA15=0,0,LN_IA12/LN_IA15)</f>
        <v>5643.110155470999</v>
      </c>
      <c r="E32" s="378">
        <f t="shared" si="2"/>
        <v>423.2291770919037</v>
      </c>
      <c r="F32" s="362">
        <f t="shared" si="3"/>
        <v>0.08108023513274186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733</v>
      </c>
      <c r="C35" s="361">
        <f>C15+C27</f>
        <v>146490067</v>
      </c>
      <c r="D35" s="361">
        <f>LN_IA1+LN_IA11</f>
        <v>157966228</v>
      </c>
      <c r="E35" s="361">
        <f>D35-C35</f>
        <v>11476161</v>
      </c>
      <c r="F35" s="362">
        <f>IF(C35=0,0,E35/C35)</f>
        <v>0.07834088163807038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734</v>
      </c>
      <c r="C36" s="361">
        <f>C16+C28</f>
        <v>43528082</v>
      </c>
      <c r="D36" s="361">
        <f>LN_IA2+LN_IA12</f>
        <v>45920967</v>
      </c>
      <c r="E36" s="361">
        <f>D36-C36</f>
        <v>2392885</v>
      </c>
      <c r="F36" s="362">
        <f>IF(C36=0,0,E36/C36)</f>
        <v>0.05497336179434692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735</v>
      </c>
      <c r="C37" s="361">
        <f>C35-C36</f>
        <v>102961985</v>
      </c>
      <c r="D37" s="361">
        <f>LN_IA17-LN_IA18</f>
        <v>112045261</v>
      </c>
      <c r="E37" s="361">
        <f>D37-C37</f>
        <v>9083276</v>
      </c>
      <c r="F37" s="362">
        <f>IF(C37=0,0,E37/C37)</f>
        <v>0.08821970555443351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141</v>
      </c>
      <c r="B39" s="356" t="s">
        <v>736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717</v>
      </c>
      <c r="C42" s="361">
        <v>46697522</v>
      </c>
      <c r="D42" s="361">
        <v>45764991</v>
      </c>
      <c r="E42" s="361">
        <f aca="true" t="shared" si="4" ref="E42:E53">D42-C42</f>
        <v>-932531</v>
      </c>
      <c r="F42" s="362">
        <f aca="true" t="shared" si="5" ref="F42:F53">IF(C42=0,0,E42/C42)</f>
        <v>-0.019969603526285615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718</v>
      </c>
      <c r="C43" s="361">
        <v>17924045</v>
      </c>
      <c r="D43" s="361">
        <v>19574604</v>
      </c>
      <c r="E43" s="361">
        <f t="shared" si="4"/>
        <v>1650559</v>
      </c>
      <c r="F43" s="362">
        <f t="shared" si="5"/>
        <v>0.09208630083220612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719</v>
      </c>
      <c r="C44" s="366">
        <f>IF(C42=0,0,C43/C42)</f>
        <v>0.3838328937454112</v>
      </c>
      <c r="D44" s="366">
        <f>IF(LN_IB1=0,0,LN_IB2/LN_IB1)</f>
        <v>0.427720044782703</v>
      </c>
      <c r="E44" s="367">
        <f t="shared" si="4"/>
        <v>0.043887151037291794</v>
      </c>
      <c r="F44" s="362">
        <f t="shared" si="5"/>
        <v>0.11433921311184257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252</v>
      </c>
      <c r="C45" s="369">
        <v>2879</v>
      </c>
      <c r="D45" s="369">
        <v>2731</v>
      </c>
      <c r="E45" s="369">
        <f t="shared" si="4"/>
        <v>-148</v>
      </c>
      <c r="F45" s="362">
        <f t="shared" si="5"/>
        <v>-0.05140673845085099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720</v>
      </c>
      <c r="C46" s="372">
        <v>0.9693</v>
      </c>
      <c r="D46" s="372">
        <v>0.9559</v>
      </c>
      <c r="E46" s="373">
        <f t="shared" si="4"/>
        <v>-0.013400000000000079</v>
      </c>
      <c r="F46" s="362">
        <f t="shared" si="5"/>
        <v>-0.013824409367584936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721</v>
      </c>
      <c r="C47" s="376">
        <f>C45*C46</f>
        <v>2790.6147</v>
      </c>
      <c r="D47" s="376">
        <f>LN_IB4*LN_IB5</f>
        <v>2610.5629</v>
      </c>
      <c r="E47" s="376">
        <f t="shared" si="4"/>
        <v>-180.05180000000018</v>
      </c>
      <c r="F47" s="362">
        <f t="shared" si="5"/>
        <v>-0.06452048002183898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722</v>
      </c>
      <c r="C48" s="378">
        <f>IF(C47=0,0,C43/C47)</f>
        <v>6422.973762734067</v>
      </c>
      <c r="D48" s="378">
        <f>IF(LN_IB6=0,0,LN_IB2/LN_IB6)</f>
        <v>7498.231128619808</v>
      </c>
      <c r="E48" s="378">
        <f t="shared" si="4"/>
        <v>1075.257365885741</v>
      </c>
      <c r="F48" s="362">
        <f t="shared" si="5"/>
        <v>0.16740802712356653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738</v>
      </c>
      <c r="C49" s="378">
        <f>C21-C48</f>
        <v>-297.9055213363463</v>
      </c>
      <c r="D49" s="378">
        <f>LN_IA7-LN_IB7</f>
        <v>-1248.7103336239443</v>
      </c>
      <c r="E49" s="378">
        <f t="shared" si="4"/>
        <v>-950.804812287598</v>
      </c>
      <c r="F49" s="362">
        <f t="shared" si="5"/>
        <v>3.191632058454212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739</v>
      </c>
      <c r="C50" s="391">
        <f>C49*C47</f>
        <v>-831339.5270523716</v>
      </c>
      <c r="D50" s="391">
        <f>LN_IB8*LN_IB6</f>
        <v>-3259836.8698052913</v>
      </c>
      <c r="E50" s="391">
        <f t="shared" si="4"/>
        <v>-2428497.3427529195</v>
      </c>
      <c r="F50" s="362">
        <f t="shared" si="5"/>
        <v>2.9211859459678164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254</v>
      </c>
      <c r="C51" s="369">
        <v>9701</v>
      </c>
      <c r="D51" s="369">
        <v>8932</v>
      </c>
      <c r="E51" s="369">
        <f t="shared" si="4"/>
        <v>-769</v>
      </c>
      <c r="F51" s="362">
        <f t="shared" si="5"/>
        <v>-0.07927017833213071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723</v>
      </c>
      <c r="C52" s="378">
        <f>IF(C51=0,0,C43/C51)</f>
        <v>1847.649211421503</v>
      </c>
      <c r="D52" s="378">
        <f>IF(LN_IB10=0,0,LN_IB2/LN_IB10)</f>
        <v>2191.514106583072</v>
      </c>
      <c r="E52" s="378">
        <f t="shared" si="4"/>
        <v>343.86489516156917</v>
      </c>
      <c r="F52" s="362">
        <f t="shared" si="5"/>
        <v>0.18610940487832867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724</v>
      </c>
      <c r="C53" s="379">
        <f>IF(C45=0,0,C51/C45)</f>
        <v>3.369572768322334</v>
      </c>
      <c r="D53" s="379">
        <f>IF(LN_IB4=0,0,LN_IB10/LN_IB4)</f>
        <v>3.2705968509703407</v>
      </c>
      <c r="E53" s="379">
        <f t="shared" si="4"/>
        <v>-0.09897591735199329</v>
      </c>
      <c r="F53" s="362">
        <f t="shared" si="5"/>
        <v>-0.029373432229294782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726</v>
      </c>
      <c r="C56" s="361">
        <v>104869473</v>
      </c>
      <c r="D56" s="361">
        <v>104148378</v>
      </c>
      <c r="E56" s="361">
        <f aca="true" t="shared" si="6" ref="E56:E63">D56-C56</f>
        <v>-721095</v>
      </c>
      <c r="F56" s="362">
        <f aca="true" t="shared" si="7" ref="F56:F63">IF(C56=0,0,E56/C56)</f>
        <v>-0.006876119230617284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727</v>
      </c>
      <c r="C57" s="361">
        <v>38044904</v>
      </c>
      <c r="D57" s="361">
        <v>41085749</v>
      </c>
      <c r="E57" s="361">
        <f t="shared" si="6"/>
        <v>3040845</v>
      </c>
      <c r="F57" s="362">
        <f t="shared" si="7"/>
        <v>0.07992778743770781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728</v>
      </c>
      <c r="C58" s="366">
        <f>IF(C56=0,0,C57/C56)</f>
        <v>0.36278340027512107</v>
      </c>
      <c r="D58" s="366">
        <f>IF(LN_IB13=0,0,LN_IB14/LN_IB13)</f>
        <v>0.39449245191317334</v>
      </c>
      <c r="E58" s="367">
        <f t="shared" si="6"/>
        <v>0.031709051638052266</v>
      </c>
      <c r="F58" s="362">
        <f t="shared" si="7"/>
        <v>0.08740491327333426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729</v>
      </c>
      <c r="C59" s="366">
        <f>IF(C42=0,0,C56/C42)</f>
        <v>2.2457181560940214</v>
      </c>
      <c r="D59" s="366">
        <f>IF(LN_IB1=0,0,LN_IB13/LN_IB1)</f>
        <v>2.2757215881458386</v>
      </c>
      <c r="E59" s="367">
        <f t="shared" si="6"/>
        <v>0.030003432051817214</v>
      </c>
      <c r="F59" s="362">
        <f t="shared" si="7"/>
        <v>0.013360283867501075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730</v>
      </c>
      <c r="C60" s="376">
        <f>C59*C45</f>
        <v>6465.422571394687</v>
      </c>
      <c r="D60" s="376">
        <f>LN_IB16*LN_IB4</f>
        <v>6214.995657226285</v>
      </c>
      <c r="E60" s="376">
        <f t="shared" si="6"/>
        <v>-250.4269141684017</v>
      </c>
      <c r="F60" s="362">
        <f t="shared" si="7"/>
        <v>-0.03873326320175557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731</v>
      </c>
      <c r="C61" s="378">
        <f>IF(C60=0,0,C57/C60)</f>
        <v>5884.364645912565</v>
      </c>
      <c r="D61" s="378">
        <f>IF(LN_IB17=0,0,LN_IB14/LN_IB17)</f>
        <v>6610.7446032128555</v>
      </c>
      <c r="E61" s="378">
        <f t="shared" si="6"/>
        <v>726.3799573002907</v>
      </c>
      <c r="F61" s="362">
        <f t="shared" si="7"/>
        <v>0.12344237670669397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741</v>
      </c>
      <c r="C62" s="378">
        <f>C32-C61</f>
        <v>-664.4836675334691</v>
      </c>
      <c r="D62" s="378">
        <f>LN_IA16-LN_IB18</f>
        <v>-967.6344477418561</v>
      </c>
      <c r="E62" s="378">
        <f t="shared" si="6"/>
        <v>-303.150780208387</v>
      </c>
      <c r="F62" s="362">
        <f t="shared" si="7"/>
        <v>0.4562200623134469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742</v>
      </c>
      <c r="C63" s="361">
        <f>C62*C60</f>
        <v>-4296167.702394014</v>
      </c>
      <c r="D63" s="361">
        <f>LN_IB19*LN_IB17</f>
        <v>-6013843.89049819</v>
      </c>
      <c r="E63" s="361">
        <f t="shared" si="6"/>
        <v>-1717676.188104176</v>
      </c>
      <c r="F63" s="362">
        <f t="shared" si="7"/>
        <v>0.39981590736018313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733</v>
      </c>
      <c r="C66" s="361">
        <f>C42+C56</f>
        <v>151566995</v>
      </c>
      <c r="D66" s="361">
        <f>LN_IB1+LN_IB13</f>
        <v>149913369</v>
      </c>
      <c r="E66" s="361">
        <f>D66-C66</f>
        <v>-1653626</v>
      </c>
      <c r="F66" s="362">
        <f>IF(C66=0,0,E66/C66)</f>
        <v>-0.010910198490113234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734</v>
      </c>
      <c r="C67" s="361">
        <f>C43+C57</f>
        <v>55968949</v>
      </c>
      <c r="D67" s="361">
        <f>LN_IB2+LN_IB14</f>
        <v>60660353</v>
      </c>
      <c r="E67" s="361">
        <f>D67-C67</f>
        <v>4691404</v>
      </c>
      <c r="F67" s="362">
        <f>IF(C67=0,0,E67/C67)</f>
        <v>0.08382154898066783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735</v>
      </c>
      <c r="C68" s="361">
        <f>C66-C67</f>
        <v>95598046</v>
      </c>
      <c r="D68" s="361">
        <f>LN_IB21-LN_IB22</f>
        <v>89253016</v>
      </c>
      <c r="E68" s="361">
        <f>D68-C68</f>
        <v>-6345030</v>
      </c>
      <c r="F68" s="362">
        <f>IF(C68=0,0,E68/C68)</f>
        <v>-0.06637196329305727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744</v>
      </c>
      <c r="C70" s="353">
        <f>C50+C63</f>
        <v>-5127507.229446386</v>
      </c>
      <c r="D70" s="353">
        <f>LN_IB9+LN_IB20</f>
        <v>-9273680.760303482</v>
      </c>
      <c r="E70" s="361">
        <f>D70-C70</f>
        <v>-4146173.5308570964</v>
      </c>
      <c r="F70" s="362">
        <f>IF(C70=0,0,E70/C70)</f>
        <v>0.8086138829890556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746</v>
      </c>
      <c r="C73" s="400">
        <v>126486016</v>
      </c>
      <c r="D73" s="400">
        <v>131777027</v>
      </c>
      <c r="E73" s="400">
        <f>D73-C73</f>
        <v>5291011</v>
      </c>
      <c r="F73" s="401">
        <f>IF(C73=0,0,E73/C73)</f>
        <v>0.04183079811763539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747</v>
      </c>
      <c r="C74" s="400">
        <v>46594740</v>
      </c>
      <c r="D74" s="400">
        <v>55788426</v>
      </c>
      <c r="E74" s="400">
        <f>D74-C74</f>
        <v>9193686</v>
      </c>
      <c r="F74" s="401">
        <f>IF(C74=0,0,E74/C74)</f>
        <v>0.19731167080232662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748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749</v>
      </c>
      <c r="C76" s="353">
        <f>C73-C74</f>
        <v>79891276</v>
      </c>
      <c r="D76" s="353">
        <f>LN_IB32-LN_IB33</f>
        <v>75988601</v>
      </c>
      <c r="E76" s="400">
        <f>D76-C76</f>
        <v>-3902675</v>
      </c>
      <c r="F76" s="401">
        <f>IF(C76=0,0,E76/C76)</f>
        <v>-0.04884982685719026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750</v>
      </c>
      <c r="C77" s="366">
        <f>IF(C73=0,0,C76/C73)</f>
        <v>0.6316214118088754</v>
      </c>
      <c r="D77" s="366">
        <f>IF(LN_IB1=0,0,LN_IB34/LN_IB32)</f>
        <v>0.5766452827927283</v>
      </c>
      <c r="E77" s="405">
        <f>D77-C77</f>
        <v>-0.054976129016147124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151</v>
      </c>
      <c r="B79" s="356" t="s">
        <v>751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717</v>
      </c>
      <c r="C83" s="361">
        <v>1777507</v>
      </c>
      <c r="D83" s="361">
        <v>905666</v>
      </c>
      <c r="E83" s="361">
        <f aca="true" t="shared" si="8" ref="E83:E95">D83-C83</f>
        <v>-871841</v>
      </c>
      <c r="F83" s="362">
        <f aca="true" t="shared" si="9" ref="F83:F95">IF(C83=0,0,E83/C83)</f>
        <v>-0.49048526953761645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718</v>
      </c>
      <c r="C84" s="361">
        <v>33584</v>
      </c>
      <c r="D84" s="361">
        <v>24036</v>
      </c>
      <c r="E84" s="361">
        <f t="shared" si="8"/>
        <v>-9548</v>
      </c>
      <c r="F84" s="362">
        <f t="shared" si="9"/>
        <v>-0.28430204859456887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719</v>
      </c>
      <c r="C85" s="366">
        <f>IF(C83=0,0,C84/C83)</f>
        <v>0.018893877773758415</v>
      </c>
      <c r="D85" s="366">
        <f>IF(LN_IC1=0,0,LN_IC2/LN_IC1)</f>
        <v>0.026539585233408342</v>
      </c>
      <c r="E85" s="367">
        <f t="shared" si="8"/>
        <v>0.007645707459649927</v>
      </c>
      <c r="F85" s="362">
        <f t="shared" si="9"/>
        <v>0.4046658685528812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252</v>
      </c>
      <c r="C86" s="369">
        <v>80</v>
      </c>
      <c r="D86" s="369">
        <v>43</v>
      </c>
      <c r="E86" s="369">
        <f t="shared" si="8"/>
        <v>-37</v>
      </c>
      <c r="F86" s="362">
        <f t="shared" si="9"/>
        <v>-0.4625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720</v>
      </c>
      <c r="C87" s="372">
        <v>0.9295</v>
      </c>
      <c r="D87" s="372">
        <v>0.9646</v>
      </c>
      <c r="E87" s="373">
        <f t="shared" si="8"/>
        <v>0.03510000000000002</v>
      </c>
      <c r="F87" s="362">
        <f t="shared" si="9"/>
        <v>0.037762237762237784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721</v>
      </c>
      <c r="C88" s="376">
        <f>C86*C87</f>
        <v>74.36</v>
      </c>
      <c r="D88" s="376">
        <f>LN_IC4*LN_IC5</f>
        <v>41.4778</v>
      </c>
      <c r="E88" s="376">
        <f t="shared" si="8"/>
        <v>-32.8822</v>
      </c>
      <c r="F88" s="362">
        <f t="shared" si="9"/>
        <v>-0.44220279720279715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722</v>
      </c>
      <c r="C89" s="378">
        <f>IF(C88=0,0,C84/C88)</f>
        <v>451.6406670252824</v>
      </c>
      <c r="D89" s="378">
        <f>IF(LN_IC6=0,0,LN_IC2/LN_IC6)</f>
        <v>579.4907155152877</v>
      </c>
      <c r="E89" s="378">
        <f t="shared" si="8"/>
        <v>127.85004849000524</v>
      </c>
      <c r="F89" s="362">
        <f t="shared" si="9"/>
        <v>0.2830791330906619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753</v>
      </c>
      <c r="C90" s="378">
        <f>C48-C89</f>
        <v>5971.333095708785</v>
      </c>
      <c r="D90" s="378">
        <f>LN_IB7-LN_IC7</f>
        <v>6918.7404131045205</v>
      </c>
      <c r="E90" s="378">
        <f t="shared" si="8"/>
        <v>947.4073173957358</v>
      </c>
      <c r="F90" s="362">
        <f t="shared" si="9"/>
        <v>0.15865926455795556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754</v>
      </c>
      <c r="C91" s="378">
        <f>C21-C89</f>
        <v>5673.427574372438</v>
      </c>
      <c r="D91" s="378">
        <f>LN_IA7-LN_IC7</f>
        <v>5670.030079480576</v>
      </c>
      <c r="E91" s="378">
        <f t="shared" si="8"/>
        <v>-3.397494891862152</v>
      </c>
      <c r="F91" s="362">
        <f t="shared" si="9"/>
        <v>-0.0005988434411693293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739</v>
      </c>
      <c r="C92" s="353">
        <f>C91*C88</f>
        <v>421876.0744303345</v>
      </c>
      <c r="D92" s="353">
        <f>LN_IC9*LN_IC6</f>
        <v>235180.37363067945</v>
      </c>
      <c r="E92" s="353">
        <f t="shared" si="8"/>
        <v>-186695.70079965505</v>
      </c>
      <c r="F92" s="362">
        <f t="shared" si="9"/>
        <v>-0.4425368303991949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254</v>
      </c>
      <c r="C93" s="369">
        <v>370</v>
      </c>
      <c r="D93" s="369">
        <v>205</v>
      </c>
      <c r="E93" s="369">
        <f t="shared" si="8"/>
        <v>-165</v>
      </c>
      <c r="F93" s="362">
        <f t="shared" si="9"/>
        <v>-0.44594594594594594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723</v>
      </c>
      <c r="C94" s="411">
        <f>IF(C93=0,0,C84/C93)</f>
        <v>90.76756756756757</v>
      </c>
      <c r="D94" s="411">
        <f>IF(LN_IC11=0,0,LN_IC2/LN_IC11)</f>
        <v>117.24878048780488</v>
      </c>
      <c r="E94" s="411">
        <f t="shared" si="8"/>
        <v>26.48121292023731</v>
      </c>
      <c r="F94" s="362">
        <f t="shared" si="9"/>
        <v>0.291747522048827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724</v>
      </c>
      <c r="C95" s="379">
        <f>IF(C86=0,0,C93/C86)</f>
        <v>4.625</v>
      </c>
      <c r="D95" s="379">
        <f>IF(LN_IC4=0,0,LN_IC11/LN_IC4)</f>
        <v>4.767441860465116</v>
      </c>
      <c r="E95" s="379">
        <f t="shared" si="8"/>
        <v>0.14244186046511587</v>
      </c>
      <c r="F95" s="362">
        <f t="shared" si="9"/>
        <v>0.03079824010056559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726</v>
      </c>
      <c r="C98" s="361">
        <v>5917877</v>
      </c>
      <c r="D98" s="361">
        <v>5537635</v>
      </c>
      <c r="E98" s="361">
        <f aca="true" t="shared" si="10" ref="E98:E106">D98-C98</f>
        <v>-380242</v>
      </c>
      <c r="F98" s="362">
        <f aca="true" t="shared" si="11" ref="F98:F106">IF(C98=0,0,E98/C98)</f>
        <v>-0.0642531096878154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727</v>
      </c>
      <c r="C99" s="361">
        <v>327905</v>
      </c>
      <c r="D99" s="361">
        <v>267683</v>
      </c>
      <c r="E99" s="361">
        <f t="shared" si="10"/>
        <v>-60222</v>
      </c>
      <c r="F99" s="362">
        <f t="shared" si="11"/>
        <v>-0.18365685183208552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728</v>
      </c>
      <c r="C100" s="366">
        <f>IF(C98=0,0,C99/C98)</f>
        <v>0.05540922868116387</v>
      </c>
      <c r="D100" s="366">
        <f>IF(LN_IC14=0,0,LN_IC15/LN_IC14)</f>
        <v>0.048338866682256953</v>
      </c>
      <c r="E100" s="367">
        <f t="shared" si="10"/>
        <v>-0.00707036199890692</v>
      </c>
      <c r="F100" s="362">
        <f t="shared" si="11"/>
        <v>-0.12760260641040935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729</v>
      </c>
      <c r="C101" s="366">
        <f>IF(C83=0,0,C98/C83)</f>
        <v>3.329312908472372</v>
      </c>
      <c r="D101" s="366">
        <f>IF(LN_IC1=0,0,LN_IC14/LN_IC1)</f>
        <v>6.114434018722133</v>
      </c>
      <c r="E101" s="367">
        <f t="shared" si="10"/>
        <v>2.7851211102497615</v>
      </c>
      <c r="F101" s="362">
        <f t="shared" si="11"/>
        <v>0.8365453133474593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730</v>
      </c>
      <c r="C102" s="376">
        <f>C101*C86</f>
        <v>266.34503267778973</v>
      </c>
      <c r="D102" s="376">
        <f>LN_IC17*LN_IC4</f>
        <v>262.92066280505173</v>
      </c>
      <c r="E102" s="376">
        <f t="shared" si="10"/>
        <v>-3.424369872737998</v>
      </c>
      <c r="F102" s="362">
        <f t="shared" si="11"/>
        <v>-0.01285689407574055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731</v>
      </c>
      <c r="C103" s="378">
        <f>IF(C102=0,0,C99/C102)</f>
        <v>1231.1286480671195</v>
      </c>
      <c r="D103" s="378">
        <f>IF(LN_IC18=0,0,LN_IC15/LN_IC18)</f>
        <v>1018.1132100616961</v>
      </c>
      <c r="E103" s="378">
        <f t="shared" si="10"/>
        <v>-213.01543800542333</v>
      </c>
      <c r="F103" s="362">
        <f t="shared" si="11"/>
        <v>-0.17302451562625812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756</v>
      </c>
      <c r="C104" s="378">
        <f>C61-C103</f>
        <v>4653.235997845445</v>
      </c>
      <c r="D104" s="378">
        <f>LN_IB18-LN_IC19</f>
        <v>5592.6313931511595</v>
      </c>
      <c r="E104" s="378">
        <f t="shared" si="10"/>
        <v>939.3953953057144</v>
      </c>
      <c r="F104" s="362">
        <f t="shared" si="11"/>
        <v>0.20188002408231087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757</v>
      </c>
      <c r="C105" s="378">
        <f>C32-C103</f>
        <v>3988.752330311976</v>
      </c>
      <c r="D105" s="378">
        <f>LN_IA16-LN_IC19</f>
        <v>4624.996945409303</v>
      </c>
      <c r="E105" s="378">
        <f t="shared" si="10"/>
        <v>636.2446150973274</v>
      </c>
      <c r="F105" s="362">
        <f t="shared" si="11"/>
        <v>0.1595096818276416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742</v>
      </c>
      <c r="C106" s="361">
        <f>C105*C102</f>
        <v>1062384.3697605531</v>
      </c>
      <c r="D106" s="361">
        <f>LN_IC21*LN_IC18</f>
        <v>1216007.2623583537</v>
      </c>
      <c r="E106" s="361">
        <f t="shared" si="10"/>
        <v>153622.8925978006</v>
      </c>
      <c r="F106" s="362">
        <f t="shared" si="11"/>
        <v>0.1446019886685881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758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733</v>
      </c>
      <c r="C109" s="361">
        <f>C83+C98</f>
        <v>7695384</v>
      </c>
      <c r="D109" s="361">
        <f>LN_IC1+LN_IC14</f>
        <v>6443301</v>
      </c>
      <c r="E109" s="361">
        <f>D109-C109</f>
        <v>-1252083</v>
      </c>
      <c r="F109" s="362">
        <f>IF(C109=0,0,E109/C109)</f>
        <v>-0.1627057207281664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734</v>
      </c>
      <c r="C110" s="361">
        <f>C84+C99</f>
        <v>361489</v>
      </c>
      <c r="D110" s="361">
        <f>LN_IC2+LN_IC15</f>
        <v>291719</v>
      </c>
      <c r="E110" s="361">
        <f>D110-C110</f>
        <v>-69770</v>
      </c>
      <c r="F110" s="362">
        <f>IF(C110=0,0,E110/C110)</f>
        <v>-0.1930072560990791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735</v>
      </c>
      <c r="C111" s="361">
        <f>C109-C110</f>
        <v>7333895</v>
      </c>
      <c r="D111" s="361">
        <f>LN_IC23-LN_IC24</f>
        <v>6151582</v>
      </c>
      <c r="E111" s="361">
        <f>D111-C111</f>
        <v>-1182313</v>
      </c>
      <c r="F111" s="362">
        <f>IF(C111=0,0,E111/C111)</f>
        <v>-0.16121215261467475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744</v>
      </c>
      <c r="C113" s="361">
        <f>C92+C106</f>
        <v>1484260.4441908877</v>
      </c>
      <c r="D113" s="361">
        <f>LN_IC10+LN_IC22</f>
        <v>1451187.6359890332</v>
      </c>
      <c r="E113" s="361">
        <f>D113-C113</f>
        <v>-33072.80820185458</v>
      </c>
      <c r="F113" s="362">
        <f>IF(C113=0,0,E113/C113)</f>
        <v>-0.02228234831110352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759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717</v>
      </c>
      <c r="C118" s="361">
        <v>12712162</v>
      </c>
      <c r="D118" s="361">
        <v>13394264</v>
      </c>
      <c r="E118" s="361">
        <f aca="true" t="shared" si="12" ref="E118:E130">D118-C118</f>
        <v>682102</v>
      </c>
      <c r="F118" s="362">
        <f aca="true" t="shared" si="13" ref="F118:F130">IF(C118=0,0,E118/C118)</f>
        <v>0.05365743451035316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718</v>
      </c>
      <c r="C119" s="361">
        <v>3679252</v>
      </c>
      <c r="D119" s="361">
        <v>3598923</v>
      </c>
      <c r="E119" s="361">
        <f t="shared" si="12"/>
        <v>-80329</v>
      </c>
      <c r="F119" s="362">
        <f t="shared" si="13"/>
        <v>-0.021832970397243787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719</v>
      </c>
      <c r="C120" s="366">
        <f>IF(C118=0,0,C119/C118)</f>
        <v>0.2894277149709074</v>
      </c>
      <c r="D120" s="366">
        <f>IF(LN_ID1=0,0,LN_1D2/LN_ID1)</f>
        <v>0.26869135922660625</v>
      </c>
      <c r="E120" s="367">
        <f t="shared" si="12"/>
        <v>-0.02073635574430116</v>
      </c>
      <c r="F120" s="362">
        <f t="shared" si="13"/>
        <v>-0.07164606107741109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252</v>
      </c>
      <c r="C121" s="369">
        <v>1106</v>
      </c>
      <c r="D121" s="369">
        <v>1084</v>
      </c>
      <c r="E121" s="369">
        <f t="shared" si="12"/>
        <v>-22</v>
      </c>
      <c r="F121" s="362">
        <f t="shared" si="13"/>
        <v>-0.019891500904159132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720</v>
      </c>
      <c r="C122" s="372">
        <v>0.7747</v>
      </c>
      <c r="D122" s="372">
        <v>0.8029</v>
      </c>
      <c r="E122" s="373">
        <f t="shared" si="12"/>
        <v>0.028199999999999892</v>
      </c>
      <c r="F122" s="362">
        <f t="shared" si="13"/>
        <v>0.036401187556473334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721</v>
      </c>
      <c r="C123" s="376">
        <f>C121*C122</f>
        <v>856.8182</v>
      </c>
      <c r="D123" s="376">
        <f>LN_ID4*LN_ID5</f>
        <v>870.3435999999999</v>
      </c>
      <c r="E123" s="376">
        <f t="shared" si="12"/>
        <v>13.525399999999877</v>
      </c>
      <c r="F123" s="362">
        <f t="shared" si="13"/>
        <v>0.015785612397122138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722</v>
      </c>
      <c r="C124" s="378">
        <f>IF(C123=0,0,C119/C123)</f>
        <v>4294.087123732899</v>
      </c>
      <c r="D124" s="378">
        <f>IF(LN_ID6=0,0,LN_1D2/LN_ID6)</f>
        <v>4135.059992398405</v>
      </c>
      <c r="E124" s="378">
        <f t="shared" si="12"/>
        <v>-159.0271313344947</v>
      </c>
      <c r="F124" s="362">
        <f t="shared" si="13"/>
        <v>-0.037033978760135304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761</v>
      </c>
      <c r="C125" s="378">
        <f>C48-C124</f>
        <v>2128.886639001168</v>
      </c>
      <c r="D125" s="378">
        <f>LN_IB7-LN_ID7</f>
        <v>3363.1711362214037</v>
      </c>
      <c r="E125" s="378">
        <f t="shared" si="12"/>
        <v>1234.2844972202356</v>
      </c>
      <c r="F125" s="362">
        <f t="shared" si="13"/>
        <v>0.5797793431590785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762</v>
      </c>
      <c r="C126" s="378">
        <f>C21-C124</f>
        <v>1830.9811176648218</v>
      </c>
      <c r="D126" s="378">
        <f>LN_IA7-LN_ID7</f>
        <v>2114.4608025974594</v>
      </c>
      <c r="E126" s="378">
        <f t="shared" si="12"/>
        <v>283.4796849326376</v>
      </c>
      <c r="F126" s="362">
        <f t="shared" si="13"/>
        <v>0.15482392592566932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739</v>
      </c>
      <c r="C127" s="391">
        <f>C126*C123</f>
        <v>1568817.9454715608</v>
      </c>
      <c r="D127" s="391">
        <f>LN_ID9*LN_ID6</f>
        <v>1840307.426991562</v>
      </c>
      <c r="E127" s="391">
        <f t="shared" si="12"/>
        <v>271489.4815200011</v>
      </c>
      <c r="F127" s="362">
        <f t="shared" si="13"/>
        <v>0.17305352880725483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254</v>
      </c>
      <c r="C128" s="369">
        <v>3633</v>
      </c>
      <c r="D128" s="369">
        <v>3662</v>
      </c>
      <c r="E128" s="369">
        <f t="shared" si="12"/>
        <v>29</v>
      </c>
      <c r="F128" s="362">
        <f t="shared" si="13"/>
        <v>0.007982383704927057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723</v>
      </c>
      <c r="C129" s="378">
        <f>IF(C128=0,0,C119/C128)</f>
        <v>1012.7310762455271</v>
      </c>
      <c r="D129" s="378">
        <f>IF(LN_ID11=0,0,LN_1D2/LN_ID11)</f>
        <v>982.7752594210814</v>
      </c>
      <c r="E129" s="378">
        <f t="shared" si="12"/>
        <v>-29.95581682444572</v>
      </c>
      <c r="F129" s="362">
        <f t="shared" si="13"/>
        <v>-0.029579241248822125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724</v>
      </c>
      <c r="C130" s="379">
        <f>IF(C121=0,0,C128/C121)</f>
        <v>3.2848101265822787</v>
      </c>
      <c r="D130" s="379">
        <f>IF(LN_ID4=0,0,LN_ID11/LN_ID4)</f>
        <v>3.378228782287823</v>
      </c>
      <c r="E130" s="379">
        <f t="shared" si="12"/>
        <v>0.0934186557055443</v>
      </c>
      <c r="F130" s="362">
        <f t="shared" si="13"/>
        <v>0.028439590754289017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726</v>
      </c>
      <c r="C133" s="361">
        <v>21541218</v>
      </c>
      <c r="D133" s="361">
        <v>23673877</v>
      </c>
      <c r="E133" s="361">
        <f aca="true" t="shared" si="14" ref="E133:E141">D133-C133</f>
        <v>2132659</v>
      </c>
      <c r="F133" s="362">
        <f aca="true" t="shared" si="15" ref="F133:F141">IF(C133=0,0,E133/C133)</f>
        <v>0.09900364036982495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727</v>
      </c>
      <c r="C134" s="361">
        <v>5741056</v>
      </c>
      <c r="D134" s="361">
        <v>6268516</v>
      </c>
      <c r="E134" s="361">
        <f t="shared" si="14"/>
        <v>527460</v>
      </c>
      <c r="F134" s="362">
        <f t="shared" si="15"/>
        <v>0.09187508360831179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728</v>
      </c>
      <c r="C135" s="366">
        <f>IF(C133=0,0,C134/C133)</f>
        <v>0.2665149203726549</v>
      </c>
      <c r="D135" s="366">
        <f>IF(LN_ID14=0,0,LN_ID15/LN_ID14)</f>
        <v>0.2647862029527314</v>
      </c>
      <c r="E135" s="367">
        <f t="shared" si="14"/>
        <v>-0.0017287174199234756</v>
      </c>
      <c r="F135" s="362">
        <f t="shared" si="15"/>
        <v>-0.006486381390979138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729</v>
      </c>
      <c r="C136" s="366">
        <f>IF(C118=0,0,C133/C118)</f>
        <v>1.6945361457791366</v>
      </c>
      <c r="D136" s="366">
        <f>IF(LN_ID1=0,0,LN_ID14/LN_ID1)</f>
        <v>1.767463818840662</v>
      </c>
      <c r="E136" s="367">
        <f t="shared" si="14"/>
        <v>0.07292767306152537</v>
      </c>
      <c r="F136" s="362">
        <f t="shared" si="15"/>
        <v>0.04303695335338728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730</v>
      </c>
      <c r="C137" s="376">
        <f>C136*C121</f>
        <v>1874.156977231725</v>
      </c>
      <c r="D137" s="376">
        <f>LN_ID17*LN_ID4</f>
        <v>1915.9307796232777</v>
      </c>
      <c r="E137" s="376">
        <f t="shared" si="14"/>
        <v>41.773802391552636</v>
      </c>
      <c r="F137" s="362">
        <f t="shared" si="15"/>
        <v>0.022289382852687067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731</v>
      </c>
      <c r="C138" s="378">
        <f>IF(C137=0,0,C134/C137)</f>
        <v>3063.2738184396826</v>
      </c>
      <c r="D138" s="378">
        <f>IF(LN_ID18=0,0,LN_ID15/LN_ID18)</f>
        <v>3271.7862600613134</v>
      </c>
      <c r="E138" s="378">
        <f t="shared" si="14"/>
        <v>208.51244162163084</v>
      </c>
      <c r="F138" s="362">
        <f t="shared" si="15"/>
        <v>0.06806849598833424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764</v>
      </c>
      <c r="C139" s="378">
        <f>C61-C138</f>
        <v>2821.090827472882</v>
      </c>
      <c r="D139" s="378">
        <f>LN_IB18-LN_ID19</f>
        <v>3338.958343151542</v>
      </c>
      <c r="E139" s="378">
        <f t="shared" si="14"/>
        <v>517.8675156786599</v>
      </c>
      <c r="F139" s="362">
        <f t="shared" si="15"/>
        <v>0.18356995479743654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765</v>
      </c>
      <c r="C140" s="378">
        <f>C32-C138</f>
        <v>2156.607159939413</v>
      </c>
      <c r="D140" s="378">
        <f>LN_IA16-LN_ID19</f>
        <v>2371.323895409686</v>
      </c>
      <c r="E140" s="378">
        <f t="shared" si="14"/>
        <v>214.71673547027285</v>
      </c>
      <c r="F140" s="362">
        <f t="shared" si="15"/>
        <v>0.09956228443399262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742</v>
      </c>
      <c r="C141" s="353">
        <f>C140*C137</f>
        <v>4041820.3559483457</v>
      </c>
      <c r="D141" s="353">
        <f>LN_ID21*LN_ID18</f>
        <v>4543292.439671587</v>
      </c>
      <c r="E141" s="353">
        <f t="shared" si="14"/>
        <v>501472.08372324146</v>
      </c>
      <c r="F141" s="362">
        <f t="shared" si="15"/>
        <v>0.12407084916211705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733</v>
      </c>
      <c r="C144" s="361">
        <f>C118+C133</f>
        <v>34253380</v>
      </c>
      <c r="D144" s="361">
        <f>LN_ID1+LN_ID14</f>
        <v>37068141</v>
      </c>
      <c r="E144" s="361">
        <f>D144-C144</f>
        <v>2814761</v>
      </c>
      <c r="F144" s="362">
        <f>IF(C144=0,0,E144/C144)</f>
        <v>0.08217469341711679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734</v>
      </c>
      <c r="C145" s="361">
        <f>C119+C134</f>
        <v>9420308</v>
      </c>
      <c r="D145" s="361">
        <f>LN_1D2+LN_ID15</f>
        <v>9867439</v>
      </c>
      <c r="E145" s="361">
        <f>D145-C145</f>
        <v>447131</v>
      </c>
      <c r="F145" s="362">
        <f>IF(C145=0,0,E145/C145)</f>
        <v>0.047464583960524435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735</v>
      </c>
      <c r="C146" s="361">
        <f>C144-C145</f>
        <v>24833072</v>
      </c>
      <c r="D146" s="361">
        <f>LN_ID23-LN_ID24</f>
        <v>27200702</v>
      </c>
      <c r="E146" s="361">
        <f>D146-C146</f>
        <v>2367630</v>
      </c>
      <c r="F146" s="362">
        <f>IF(C146=0,0,E146/C146)</f>
        <v>0.09534180869769153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744</v>
      </c>
      <c r="C148" s="361">
        <f>C127+C141</f>
        <v>5610638.301419906</v>
      </c>
      <c r="D148" s="361">
        <f>LN_ID10+LN_ID22</f>
        <v>6383599.866663149</v>
      </c>
      <c r="E148" s="361">
        <f>D148-C148</f>
        <v>772961.5652432423</v>
      </c>
      <c r="F148" s="415">
        <f>IF(C148=0,0,E148/C148)</f>
        <v>0.13776713516671105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768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717</v>
      </c>
      <c r="C153" s="361">
        <v>4791002</v>
      </c>
      <c r="D153" s="361">
        <v>6259298</v>
      </c>
      <c r="E153" s="361">
        <f aca="true" t="shared" si="16" ref="E153:E165">D153-C153</f>
        <v>1468296</v>
      </c>
      <c r="F153" s="362">
        <f aca="true" t="shared" si="17" ref="F153:F165">IF(C153=0,0,E153/C153)</f>
        <v>0.3064695026217898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718</v>
      </c>
      <c r="C154" s="361">
        <v>998573</v>
      </c>
      <c r="D154" s="361">
        <v>955724</v>
      </c>
      <c r="E154" s="361">
        <f t="shared" si="16"/>
        <v>-42849</v>
      </c>
      <c r="F154" s="362">
        <f t="shared" si="17"/>
        <v>-0.04291023290235166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719</v>
      </c>
      <c r="C155" s="366">
        <f>IF(C153=0,0,C154/C153)</f>
        <v>0.2084267549877875</v>
      </c>
      <c r="D155" s="366">
        <f>IF(LN_IE1=0,0,LN_IE2/LN_IE1)</f>
        <v>0.15268868809249855</v>
      </c>
      <c r="E155" s="367">
        <f t="shared" si="16"/>
        <v>-0.05573806689528896</v>
      </c>
      <c r="F155" s="362">
        <f t="shared" si="17"/>
        <v>-0.2674228023103601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252</v>
      </c>
      <c r="C156" s="419">
        <v>380</v>
      </c>
      <c r="D156" s="419">
        <v>423</v>
      </c>
      <c r="E156" s="419">
        <f t="shared" si="16"/>
        <v>43</v>
      </c>
      <c r="F156" s="362">
        <f t="shared" si="17"/>
        <v>0.11315789473684211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720</v>
      </c>
      <c r="C157" s="372">
        <v>0.9085</v>
      </c>
      <c r="D157" s="372">
        <v>0.8966</v>
      </c>
      <c r="E157" s="373">
        <f t="shared" si="16"/>
        <v>-0.011900000000000022</v>
      </c>
      <c r="F157" s="362">
        <f t="shared" si="17"/>
        <v>-0.013098514034122204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721</v>
      </c>
      <c r="C158" s="376">
        <f>C156*C157</f>
        <v>345.23</v>
      </c>
      <c r="D158" s="376">
        <f>LN_IE4*LN_IE5</f>
        <v>379.2618</v>
      </c>
      <c r="E158" s="376">
        <f t="shared" si="16"/>
        <v>34.031799999999976</v>
      </c>
      <c r="F158" s="362">
        <f t="shared" si="17"/>
        <v>0.0985771804304376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722</v>
      </c>
      <c r="C159" s="378">
        <f>IF(C158=0,0,C154/C158)</f>
        <v>2892.4861686411955</v>
      </c>
      <c r="D159" s="378">
        <f>IF(LN_IE6=0,0,LN_IE2/LN_IE6)</f>
        <v>2519.958508871708</v>
      </c>
      <c r="E159" s="378">
        <f t="shared" si="16"/>
        <v>-372.5276597694874</v>
      </c>
      <c r="F159" s="362">
        <f t="shared" si="17"/>
        <v>-0.12879150946622844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769</v>
      </c>
      <c r="C160" s="378">
        <f>C48-C159</f>
        <v>3530.487594092872</v>
      </c>
      <c r="D160" s="378">
        <f>LN_IB7-LN_IE7</f>
        <v>4978.272619748101</v>
      </c>
      <c r="E160" s="378">
        <f t="shared" si="16"/>
        <v>1447.7850256552288</v>
      </c>
      <c r="F160" s="362">
        <f t="shared" si="17"/>
        <v>0.41008075713893694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770</v>
      </c>
      <c r="C161" s="378">
        <f>C21-C159</f>
        <v>3232.5820727565256</v>
      </c>
      <c r="D161" s="378">
        <f>LN_IA7-LN_IE7</f>
        <v>3729.562286124156</v>
      </c>
      <c r="E161" s="378">
        <f t="shared" si="16"/>
        <v>496.9802133676303</v>
      </c>
      <c r="F161" s="362">
        <f t="shared" si="17"/>
        <v>0.15374094212674994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739</v>
      </c>
      <c r="C162" s="391">
        <f>C161*C158</f>
        <v>1115984.3089777355</v>
      </c>
      <c r="D162" s="391">
        <f>LN_IE9*LN_IE6</f>
        <v>1414480.5058475623</v>
      </c>
      <c r="E162" s="391">
        <f t="shared" si="16"/>
        <v>298496.1968698269</v>
      </c>
      <c r="F162" s="362">
        <f t="shared" si="17"/>
        <v>0.2674734711487615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254</v>
      </c>
      <c r="C163" s="369">
        <v>1524</v>
      </c>
      <c r="D163" s="369">
        <v>1708</v>
      </c>
      <c r="E163" s="419">
        <f t="shared" si="16"/>
        <v>184</v>
      </c>
      <c r="F163" s="362">
        <f t="shared" si="17"/>
        <v>0.12073490813648294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723</v>
      </c>
      <c r="C164" s="378">
        <f>IF(C163=0,0,C154/C163)</f>
        <v>655.2316272965879</v>
      </c>
      <c r="D164" s="378">
        <f>IF(LN_IE11=0,0,LN_IE2/LN_IE11)</f>
        <v>559.5573770491803</v>
      </c>
      <c r="E164" s="378">
        <f t="shared" si="16"/>
        <v>-95.6742502474076</v>
      </c>
      <c r="F164" s="362">
        <f t="shared" si="17"/>
        <v>-0.14601592209788286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724</v>
      </c>
      <c r="C165" s="379">
        <f>IF(C156=0,0,C163/C156)</f>
        <v>4.010526315789473</v>
      </c>
      <c r="D165" s="379">
        <f>IF(LN_IE4=0,0,LN_IE11/LN_IE4)</f>
        <v>4.037825059101655</v>
      </c>
      <c r="E165" s="379">
        <f t="shared" si="16"/>
        <v>0.027298743312181628</v>
      </c>
      <c r="F165" s="362">
        <f t="shared" si="17"/>
        <v>0.006806773266816942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726</v>
      </c>
      <c r="C168" s="424">
        <v>6323409</v>
      </c>
      <c r="D168" s="424">
        <v>7258401</v>
      </c>
      <c r="E168" s="424">
        <f aca="true" t="shared" si="18" ref="E168:E176">D168-C168</f>
        <v>934992</v>
      </c>
      <c r="F168" s="362">
        <f aca="true" t="shared" si="19" ref="F168:F176">IF(C168=0,0,E168/C168)</f>
        <v>0.14786201556786854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727</v>
      </c>
      <c r="C169" s="424">
        <v>1272450</v>
      </c>
      <c r="D169" s="424">
        <v>870976</v>
      </c>
      <c r="E169" s="424">
        <f t="shared" si="18"/>
        <v>-401474</v>
      </c>
      <c r="F169" s="362">
        <f t="shared" si="19"/>
        <v>-0.3155125938150811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728</v>
      </c>
      <c r="C170" s="366">
        <f>IF(C168=0,0,C169/C168)</f>
        <v>0.20122848292748421</v>
      </c>
      <c r="D170" s="366">
        <f>IF(LN_IE14=0,0,LN_IE15/LN_IE14)</f>
        <v>0.11999557478293084</v>
      </c>
      <c r="E170" s="367">
        <f t="shared" si="18"/>
        <v>-0.08123290814455338</v>
      </c>
      <c r="F170" s="362">
        <f t="shared" si="19"/>
        <v>-0.403684940435728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729</v>
      </c>
      <c r="C171" s="366">
        <f>IF(C153=0,0,C168/C153)</f>
        <v>1.3198510457728885</v>
      </c>
      <c r="D171" s="366">
        <f>IF(LN_IE1=0,0,LN_IE14/LN_IE1)</f>
        <v>1.1596190179793324</v>
      </c>
      <c r="E171" s="367">
        <f t="shared" si="18"/>
        <v>-0.16023202779355605</v>
      </c>
      <c r="F171" s="362">
        <f t="shared" si="19"/>
        <v>-0.12140159929920437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730</v>
      </c>
      <c r="C172" s="376">
        <f>C171*C156</f>
        <v>501.5433973936976</v>
      </c>
      <c r="D172" s="376">
        <f>LN_IE17*LN_IE4</f>
        <v>490.51884460525764</v>
      </c>
      <c r="E172" s="376">
        <f t="shared" si="18"/>
        <v>-11.024552788439962</v>
      </c>
      <c r="F172" s="362">
        <f t="shared" si="19"/>
        <v>-0.02198125395674583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731</v>
      </c>
      <c r="C173" s="378">
        <f>IF(C172=0,0,C169/C172)</f>
        <v>2537.0685899014284</v>
      </c>
      <c r="D173" s="378">
        <f>IF(LN_IE18=0,0,LN_IE15/LN_IE18)</f>
        <v>1775.621894202481</v>
      </c>
      <c r="E173" s="378">
        <f t="shared" si="18"/>
        <v>-761.4466956989475</v>
      </c>
      <c r="F173" s="362">
        <f t="shared" si="19"/>
        <v>-0.3001285415498095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772</v>
      </c>
      <c r="C174" s="378">
        <f>C61-C173</f>
        <v>3347.2960560111364</v>
      </c>
      <c r="D174" s="378">
        <f>LN_IB18-LN_IE19</f>
        <v>4835.122709010375</v>
      </c>
      <c r="E174" s="378">
        <f t="shared" si="18"/>
        <v>1487.8266529992384</v>
      </c>
      <c r="F174" s="362">
        <f t="shared" si="19"/>
        <v>0.44448612495072604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773</v>
      </c>
      <c r="C175" s="378">
        <f>C32-C173</f>
        <v>2682.8123884776674</v>
      </c>
      <c r="D175" s="378">
        <f>LN_IA16-LN_IE19</f>
        <v>3867.4882612685187</v>
      </c>
      <c r="E175" s="378">
        <f t="shared" si="18"/>
        <v>1184.6758727908514</v>
      </c>
      <c r="F175" s="362">
        <f t="shared" si="19"/>
        <v>0.44157984280931506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742</v>
      </c>
      <c r="C176" s="353">
        <f>C175*C172</f>
        <v>1345546.8398869897</v>
      </c>
      <c r="D176" s="353">
        <f>LN_IE21*LN_IE18</f>
        <v>1897075.8734418305</v>
      </c>
      <c r="E176" s="353">
        <f t="shared" si="18"/>
        <v>551529.0335548408</v>
      </c>
      <c r="F176" s="362">
        <f t="shared" si="19"/>
        <v>0.40989211018559774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733</v>
      </c>
      <c r="C179" s="361">
        <f>C153+C168</f>
        <v>11114411</v>
      </c>
      <c r="D179" s="361">
        <f>LN_IE1+LN_IE14</f>
        <v>13517699</v>
      </c>
      <c r="E179" s="361">
        <f>D179-C179</f>
        <v>2403288</v>
      </c>
      <c r="F179" s="362">
        <f>IF(C179=0,0,E179/C179)</f>
        <v>0.21623170134701694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734</v>
      </c>
      <c r="C180" s="361">
        <f>C154+C169</f>
        <v>2271023</v>
      </c>
      <c r="D180" s="361">
        <f>LN_IE15+LN_IE2</f>
        <v>1826700</v>
      </c>
      <c r="E180" s="361">
        <f>D180-C180</f>
        <v>-444323</v>
      </c>
      <c r="F180" s="362">
        <f>IF(C180=0,0,E180/C180)</f>
        <v>-0.19564883314700027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735</v>
      </c>
      <c r="C181" s="361">
        <f>C179-C180</f>
        <v>8843388</v>
      </c>
      <c r="D181" s="361">
        <f>LN_IE23-LN_IE24</f>
        <v>11690999</v>
      </c>
      <c r="E181" s="361">
        <f>D181-C181</f>
        <v>2847611</v>
      </c>
      <c r="F181" s="362">
        <f>IF(C181=0,0,E181/C181)</f>
        <v>0.32200453039038884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775</v>
      </c>
      <c r="C183" s="361">
        <f>C162+C176</f>
        <v>2461531.148864725</v>
      </c>
      <c r="D183" s="361">
        <f>LN_IE10+LN_IE22</f>
        <v>3311556.379289393</v>
      </c>
      <c r="E183" s="353">
        <f>D183-C183</f>
        <v>850025.2304246677</v>
      </c>
      <c r="F183" s="362">
        <f>IF(C183=0,0,E183/C183)</f>
        <v>0.34532377573881406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717</v>
      </c>
      <c r="C188" s="361">
        <f>C118+C153</f>
        <v>17503164</v>
      </c>
      <c r="D188" s="361">
        <f>LN_ID1+LN_IE1</f>
        <v>19653562</v>
      </c>
      <c r="E188" s="361">
        <f aca="true" t="shared" si="20" ref="E188:E200">D188-C188</f>
        <v>2150398</v>
      </c>
      <c r="F188" s="362">
        <f aca="true" t="shared" si="21" ref="F188:F200">IF(C188=0,0,E188/C188)</f>
        <v>0.12285767304699882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718</v>
      </c>
      <c r="C189" s="361">
        <f>C119+C154</f>
        <v>4677825</v>
      </c>
      <c r="D189" s="361">
        <f>LN_1D2+LN_IE2</f>
        <v>4554647</v>
      </c>
      <c r="E189" s="361">
        <f t="shared" si="20"/>
        <v>-123178</v>
      </c>
      <c r="F189" s="362">
        <f t="shared" si="21"/>
        <v>-0.026332323248518277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719</v>
      </c>
      <c r="C190" s="366">
        <f>IF(C188=0,0,C189/C188)</f>
        <v>0.26725596583566263</v>
      </c>
      <c r="D190" s="366">
        <f>IF(LN_IF1=0,0,LN_IF2/LN_IF1)</f>
        <v>0.23174664216084595</v>
      </c>
      <c r="E190" s="367">
        <f t="shared" si="20"/>
        <v>-0.035509323674816684</v>
      </c>
      <c r="F190" s="362">
        <f t="shared" si="21"/>
        <v>-0.13286634617784954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252</v>
      </c>
      <c r="C191" s="369">
        <f>C121+C156</f>
        <v>1486</v>
      </c>
      <c r="D191" s="369">
        <f>LN_ID4+LN_IE4</f>
        <v>1507</v>
      </c>
      <c r="E191" s="369">
        <f t="shared" si="20"/>
        <v>21</v>
      </c>
      <c r="F191" s="362">
        <f t="shared" si="21"/>
        <v>0.014131897711978465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720</v>
      </c>
      <c r="C192" s="372">
        <f>IF((C121+C156)=0,0,(C123+C158)/(C121+C156))</f>
        <v>0.8089153432032302</v>
      </c>
      <c r="D192" s="372">
        <f>IF((LN_ID4+LN_IE4)=0,0,(LN_ID6+LN_IE6)/(LN_ID4+LN_IE4))</f>
        <v>0.8292006635700065</v>
      </c>
      <c r="E192" s="373">
        <f t="shared" si="20"/>
        <v>0.020285320366776327</v>
      </c>
      <c r="F192" s="362">
        <f t="shared" si="21"/>
        <v>0.025077185810876486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721</v>
      </c>
      <c r="C193" s="376">
        <f>C123+C158</f>
        <v>1202.0482000000002</v>
      </c>
      <c r="D193" s="376">
        <f>LN_IF4*LN_IF5</f>
        <v>1249.6054</v>
      </c>
      <c r="E193" s="376">
        <f t="shared" si="20"/>
        <v>47.55719999999974</v>
      </c>
      <c r="F193" s="362">
        <f t="shared" si="21"/>
        <v>0.039563471747638516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722</v>
      </c>
      <c r="C194" s="378">
        <f>IF(C193=0,0,C189/C193)</f>
        <v>3891.54528079656</v>
      </c>
      <c r="D194" s="378">
        <f>IF(LN_IF6=0,0,LN_IF2/LN_IF6)</f>
        <v>3644.8682119971636</v>
      </c>
      <c r="E194" s="378">
        <f t="shared" si="20"/>
        <v>-246.67706879939624</v>
      </c>
      <c r="F194" s="362">
        <f t="shared" si="21"/>
        <v>-0.06338794771749487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778</v>
      </c>
      <c r="C195" s="378">
        <f>C48-C194</f>
        <v>2531.4284819375075</v>
      </c>
      <c r="D195" s="378">
        <f>LN_IB7-LN_IF7</f>
        <v>3853.3629166226447</v>
      </c>
      <c r="E195" s="378">
        <f t="shared" si="20"/>
        <v>1321.9344346851371</v>
      </c>
      <c r="F195" s="362">
        <f t="shared" si="21"/>
        <v>0.5222088809213972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779</v>
      </c>
      <c r="C196" s="378">
        <f>C21-C194</f>
        <v>2233.5229606011612</v>
      </c>
      <c r="D196" s="378">
        <f>LN_IA7-LN_IF7</f>
        <v>2604.6525829987004</v>
      </c>
      <c r="E196" s="378">
        <f t="shared" si="20"/>
        <v>371.12962239753915</v>
      </c>
      <c r="F196" s="362">
        <f t="shared" si="21"/>
        <v>0.16616333431273445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739</v>
      </c>
      <c r="C197" s="391">
        <f>C127+C162</f>
        <v>2684802.2544492963</v>
      </c>
      <c r="D197" s="391">
        <f>LN_IF9*LN_IF6</f>
        <v>3254787.932839124</v>
      </c>
      <c r="E197" s="391">
        <f t="shared" si="20"/>
        <v>569985.6783898277</v>
      </c>
      <c r="F197" s="362">
        <f t="shared" si="21"/>
        <v>0.21230080444294866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254</v>
      </c>
      <c r="C198" s="369">
        <f>C128+C163</f>
        <v>5157</v>
      </c>
      <c r="D198" s="369">
        <f>LN_ID11+LN_IE11</f>
        <v>5370</v>
      </c>
      <c r="E198" s="369">
        <f t="shared" si="20"/>
        <v>213</v>
      </c>
      <c r="F198" s="362">
        <f t="shared" si="21"/>
        <v>0.04130308318789994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723</v>
      </c>
      <c r="C199" s="432">
        <f>IF(C198=0,0,C189/C198)</f>
        <v>907.0826061663759</v>
      </c>
      <c r="D199" s="432">
        <f>IF(LN_IF11=0,0,LN_IF2/LN_IF11)</f>
        <v>848.1651769087523</v>
      </c>
      <c r="E199" s="432">
        <f t="shared" si="20"/>
        <v>-58.91742925762355</v>
      </c>
      <c r="F199" s="362">
        <f t="shared" si="21"/>
        <v>-0.06495266126491792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724</v>
      </c>
      <c r="C200" s="379">
        <f>IF(C191=0,0,C198/C191)</f>
        <v>3.470390309555855</v>
      </c>
      <c r="D200" s="379">
        <f>IF(LN_IF4=0,0,LN_IF11/LN_IF4)</f>
        <v>3.5633709356337095</v>
      </c>
      <c r="E200" s="379">
        <f t="shared" si="20"/>
        <v>0.09298062607785473</v>
      </c>
      <c r="F200" s="362">
        <f t="shared" si="21"/>
        <v>0.026792555817663783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726</v>
      </c>
      <c r="C203" s="361">
        <f>C133+C168</f>
        <v>27864627</v>
      </c>
      <c r="D203" s="361">
        <f>LN_ID14+LN_IE14</f>
        <v>30932278</v>
      </c>
      <c r="E203" s="361">
        <f aca="true" t="shared" si="22" ref="E203:E211">D203-C203</f>
        <v>3067651</v>
      </c>
      <c r="F203" s="362">
        <f aca="true" t="shared" si="23" ref="F203:F211">IF(C203=0,0,E203/C203)</f>
        <v>0.11009122784955995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727</v>
      </c>
      <c r="C204" s="361">
        <f>C134+C169</f>
        <v>7013506</v>
      </c>
      <c r="D204" s="361">
        <f>LN_ID15+LN_IE15</f>
        <v>7139492</v>
      </c>
      <c r="E204" s="361">
        <f t="shared" si="22"/>
        <v>125986</v>
      </c>
      <c r="F204" s="362">
        <f t="shared" si="23"/>
        <v>0.01796334101660425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728</v>
      </c>
      <c r="C205" s="366">
        <f>IF(C203=0,0,C204/C203)</f>
        <v>0.251699260140823</v>
      </c>
      <c r="D205" s="366">
        <f>IF(LN_IF14=0,0,LN_IF15/LN_IF14)</f>
        <v>0.23081041751920114</v>
      </c>
      <c r="E205" s="367">
        <f t="shared" si="22"/>
        <v>-0.020888842621621856</v>
      </c>
      <c r="F205" s="362">
        <f t="shared" si="23"/>
        <v>-0.0829912754210512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729</v>
      </c>
      <c r="C206" s="366">
        <f>IF(C188=0,0,C203/C188)</f>
        <v>1.591976570636029</v>
      </c>
      <c r="D206" s="366">
        <f>IF(LN_IF1=0,0,LN_IF14/LN_IF1)</f>
        <v>1.5738764301351582</v>
      </c>
      <c r="E206" s="367">
        <f t="shared" si="22"/>
        <v>-0.01810014050087072</v>
      </c>
      <c r="F206" s="362">
        <f t="shared" si="23"/>
        <v>-0.011369602313706994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730</v>
      </c>
      <c r="C207" s="376">
        <f>C137+C172</f>
        <v>2375.7003746254227</v>
      </c>
      <c r="D207" s="376">
        <f>LN_ID18+LN_IE18</f>
        <v>2406.4496242285354</v>
      </c>
      <c r="E207" s="376">
        <f t="shared" si="22"/>
        <v>30.74924960311273</v>
      </c>
      <c r="F207" s="362">
        <f t="shared" si="23"/>
        <v>0.012943235574461268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731</v>
      </c>
      <c r="C208" s="378">
        <f>IF(C207=0,0,C204/C207)</f>
        <v>2952.18457466709</v>
      </c>
      <c r="D208" s="378">
        <f>IF(LN_IF18=0,0,LN_IF15/LN_IF18)</f>
        <v>2966.815481246067</v>
      </c>
      <c r="E208" s="378">
        <f t="shared" si="22"/>
        <v>14.63090657897692</v>
      </c>
      <c r="F208" s="362">
        <f t="shared" si="23"/>
        <v>0.0049559592935095554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781</v>
      </c>
      <c r="C209" s="378">
        <f>C61-C208</f>
        <v>2932.1800712454747</v>
      </c>
      <c r="D209" s="378">
        <f>LN_IB18-LN_IF19</f>
        <v>3643.9291219667884</v>
      </c>
      <c r="E209" s="378">
        <f t="shared" si="22"/>
        <v>711.7490507213138</v>
      </c>
      <c r="F209" s="362">
        <f t="shared" si="23"/>
        <v>0.24273715577740448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782</v>
      </c>
      <c r="C210" s="378">
        <f>C32-C208</f>
        <v>2267.6964037120056</v>
      </c>
      <c r="D210" s="378">
        <f>LN_IA16-LN_IF19</f>
        <v>2676.2946742249324</v>
      </c>
      <c r="E210" s="378">
        <f t="shared" si="22"/>
        <v>408.5982705129268</v>
      </c>
      <c r="F210" s="362">
        <f t="shared" si="23"/>
        <v>0.1801820869160836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742</v>
      </c>
      <c r="C211" s="391">
        <f>C141+C176</f>
        <v>5387367.195835335</v>
      </c>
      <c r="D211" s="353">
        <f>LN_IF21*LN_IF18</f>
        <v>6440368.313113419</v>
      </c>
      <c r="E211" s="353">
        <f t="shared" si="22"/>
        <v>1053001.1172780842</v>
      </c>
      <c r="F211" s="362">
        <f t="shared" si="23"/>
        <v>0.19545746168779787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733</v>
      </c>
      <c r="C214" s="361">
        <f>C188+C203</f>
        <v>45367791</v>
      </c>
      <c r="D214" s="361">
        <f>LN_IF1+LN_IF14</f>
        <v>50585840</v>
      </c>
      <c r="E214" s="361">
        <f>D214-C214</f>
        <v>5218049</v>
      </c>
      <c r="F214" s="362">
        <f>IF(C214=0,0,E214/C214)</f>
        <v>0.11501659844976803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734</v>
      </c>
      <c r="C215" s="361">
        <f>C189+C204</f>
        <v>11691331</v>
      </c>
      <c r="D215" s="361">
        <f>LN_IF2+LN_IF15</f>
        <v>11694139</v>
      </c>
      <c r="E215" s="361">
        <f>D215-C215</f>
        <v>2808</v>
      </c>
      <c r="F215" s="362">
        <f>IF(C215=0,0,E215/C215)</f>
        <v>0.0002401779574968838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735</v>
      </c>
      <c r="C216" s="361">
        <f>C214-C215</f>
        <v>33676460</v>
      </c>
      <c r="D216" s="361">
        <f>LN_IF23-LN_IF24</f>
        <v>38891701</v>
      </c>
      <c r="E216" s="361">
        <f>D216-C216</f>
        <v>5215241</v>
      </c>
      <c r="F216" s="362">
        <f>IF(C216=0,0,E216/C216)</f>
        <v>0.15486310021896602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717</v>
      </c>
      <c r="C221" s="361">
        <v>310557</v>
      </c>
      <c r="D221" s="361">
        <v>200630</v>
      </c>
      <c r="E221" s="361">
        <f aca="true" t="shared" si="24" ref="E221:E230">D221-C221</f>
        <v>-109927</v>
      </c>
      <c r="F221" s="362">
        <f aca="true" t="shared" si="25" ref="F221:F230">IF(C221=0,0,E221/C221)</f>
        <v>-0.353967226628284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718</v>
      </c>
      <c r="C222" s="361">
        <v>95359</v>
      </c>
      <c r="D222" s="361">
        <v>74488</v>
      </c>
      <c r="E222" s="361">
        <f t="shared" si="24"/>
        <v>-20871</v>
      </c>
      <c r="F222" s="362">
        <f t="shared" si="25"/>
        <v>-0.2188676475214715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719</v>
      </c>
      <c r="C223" s="366">
        <f>IF(C221=0,0,C222/C221)</f>
        <v>0.3070579635944448</v>
      </c>
      <c r="D223" s="366">
        <f>IF(LN_IG1=0,0,LN_IG2/LN_IG1)</f>
        <v>0.37127049793151573</v>
      </c>
      <c r="E223" s="367">
        <f t="shared" si="24"/>
        <v>0.06421253433707091</v>
      </c>
      <c r="F223" s="362">
        <f t="shared" si="25"/>
        <v>0.20912186606526634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252</v>
      </c>
      <c r="C224" s="369">
        <v>11</v>
      </c>
      <c r="D224" s="369">
        <v>11</v>
      </c>
      <c r="E224" s="369">
        <f t="shared" si="24"/>
        <v>0</v>
      </c>
      <c r="F224" s="362">
        <f t="shared" si="25"/>
        <v>0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720</v>
      </c>
      <c r="C225" s="372">
        <v>1.6674</v>
      </c>
      <c r="D225" s="372">
        <v>1.054</v>
      </c>
      <c r="E225" s="373">
        <f t="shared" si="24"/>
        <v>-0.6134</v>
      </c>
      <c r="F225" s="362">
        <f t="shared" si="25"/>
        <v>-0.36787813362120664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721</v>
      </c>
      <c r="C226" s="376">
        <f>C224*C225</f>
        <v>18.3414</v>
      </c>
      <c r="D226" s="376">
        <f>LN_IG3*LN_IG4</f>
        <v>11.594000000000001</v>
      </c>
      <c r="E226" s="376">
        <f t="shared" si="24"/>
        <v>-6.747399999999999</v>
      </c>
      <c r="F226" s="362">
        <f t="shared" si="25"/>
        <v>-0.3678781336212066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722</v>
      </c>
      <c r="C227" s="378">
        <f>IF(C226=0,0,C222/C226)</f>
        <v>5199.112390548159</v>
      </c>
      <c r="D227" s="378">
        <f>IF(LN_IG5=0,0,LN_IG2/LN_IG5)</f>
        <v>6424.7024322925645</v>
      </c>
      <c r="E227" s="378">
        <f t="shared" si="24"/>
        <v>1225.5900417444054</v>
      </c>
      <c r="F227" s="362">
        <f t="shared" si="25"/>
        <v>0.23573063047694331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254</v>
      </c>
      <c r="C228" s="369">
        <v>40</v>
      </c>
      <c r="D228" s="369">
        <v>45</v>
      </c>
      <c r="E228" s="369">
        <f t="shared" si="24"/>
        <v>5</v>
      </c>
      <c r="F228" s="362">
        <f t="shared" si="25"/>
        <v>0.125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723</v>
      </c>
      <c r="C229" s="378">
        <f>IF(C228=0,0,C222/C228)</f>
        <v>2383.975</v>
      </c>
      <c r="D229" s="378">
        <f>IF(LN_IG6=0,0,LN_IG2/LN_IG6)</f>
        <v>1655.2888888888888</v>
      </c>
      <c r="E229" s="378">
        <f t="shared" si="24"/>
        <v>-728.6861111111111</v>
      </c>
      <c r="F229" s="362">
        <f t="shared" si="25"/>
        <v>-0.3056601311301969</v>
      </c>
      <c r="Q229" s="330"/>
      <c r="U229" s="375"/>
    </row>
    <row r="230" spans="1:21" ht="11.25" customHeight="1">
      <c r="A230" s="364">
        <v>10</v>
      </c>
      <c r="B230" s="360" t="s">
        <v>724</v>
      </c>
      <c r="C230" s="379">
        <f>IF(C224=0,0,C228/C224)</f>
        <v>3.6363636363636362</v>
      </c>
      <c r="D230" s="379">
        <f>IF(LN_IG3=0,0,LN_IG6/LN_IG3)</f>
        <v>4.090909090909091</v>
      </c>
      <c r="E230" s="379">
        <f t="shared" si="24"/>
        <v>0.4545454545454546</v>
      </c>
      <c r="F230" s="362">
        <f t="shared" si="25"/>
        <v>0.12500000000000003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786</v>
      </c>
      <c r="C232" s="330"/>
      <c r="Q232" s="330"/>
      <c r="U232" s="399"/>
    </row>
    <row r="233" spans="1:21" ht="11.25" customHeight="1">
      <c r="A233" s="364">
        <v>11</v>
      </c>
      <c r="B233" s="360" t="s">
        <v>726</v>
      </c>
      <c r="C233" s="361">
        <v>735885</v>
      </c>
      <c r="D233" s="361">
        <v>426014</v>
      </c>
      <c r="E233" s="361">
        <f>D233-C233</f>
        <v>-309871</v>
      </c>
      <c r="F233" s="362">
        <f>IF(C233=0,0,E233/C233)</f>
        <v>-0.42108617514964974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727</v>
      </c>
      <c r="C234" s="361">
        <v>162320</v>
      </c>
      <c r="D234" s="361">
        <v>96511</v>
      </c>
      <c r="E234" s="361">
        <f>D234-C234</f>
        <v>-65809</v>
      </c>
      <c r="F234" s="362">
        <f>IF(C234=0,0,E234/C234)</f>
        <v>-0.4054275505174963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733</v>
      </c>
      <c r="C237" s="361">
        <f>C221+C233</f>
        <v>1046442</v>
      </c>
      <c r="D237" s="361">
        <f>LN_IG1+LN_IG9</f>
        <v>626644</v>
      </c>
      <c r="E237" s="361">
        <f>D237-C237</f>
        <v>-419798</v>
      </c>
      <c r="F237" s="362">
        <f>IF(C237=0,0,E237/C237)</f>
        <v>-0.4011670020889834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734</v>
      </c>
      <c r="C238" s="361">
        <f>C222+C234</f>
        <v>257679</v>
      </c>
      <c r="D238" s="361">
        <f>LN_IG2+LN_IG10</f>
        <v>170999</v>
      </c>
      <c r="E238" s="361">
        <f>D238-C238</f>
        <v>-86680</v>
      </c>
      <c r="F238" s="362">
        <f>IF(C238=0,0,E238/C238)</f>
        <v>-0.3363875209077961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735</v>
      </c>
      <c r="C239" s="361">
        <f>C237-C238</f>
        <v>788763</v>
      </c>
      <c r="D239" s="361">
        <f>LN_IG13-LN_IG14</f>
        <v>455645</v>
      </c>
      <c r="E239" s="361">
        <f>D239-C239</f>
        <v>-333118</v>
      </c>
      <c r="F239" s="362">
        <f>IF(C239=0,0,E239/C239)</f>
        <v>-0.4223296478156303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788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789</v>
      </c>
      <c r="C243" s="361">
        <v>5949098</v>
      </c>
      <c r="D243" s="361">
        <v>4093007</v>
      </c>
      <c r="E243" s="353">
        <f>D243-C243</f>
        <v>-1856091</v>
      </c>
      <c r="F243" s="415">
        <f>IF(C243=0,0,E243/C243)</f>
        <v>-0.31199536467545164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790</v>
      </c>
      <c r="C244" s="361">
        <v>114761390</v>
      </c>
      <c r="D244" s="361">
        <v>129657399</v>
      </c>
      <c r="E244" s="353">
        <f>D244-C244</f>
        <v>14896009</v>
      </c>
      <c r="F244" s="415">
        <f>IF(C244=0,0,E244/C244)</f>
        <v>0.1297998307618965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791</v>
      </c>
      <c r="C245" s="400">
        <v>643415</v>
      </c>
      <c r="D245" s="400">
        <v>624350</v>
      </c>
      <c r="E245" s="400">
        <f>D245-C245</f>
        <v>-19065</v>
      </c>
      <c r="F245" s="401">
        <f>IF(C245=0,0,E245/C245)</f>
        <v>-0.029630953583612445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793</v>
      </c>
      <c r="C248" s="353">
        <v>929468</v>
      </c>
      <c r="D248" s="353">
        <v>558883</v>
      </c>
      <c r="E248" s="353">
        <f>D248-C248</f>
        <v>-370585</v>
      </c>
      <c r="F248" s="362">
        <f>IF(C248=0,0,E248/C248)</f>
        <v>-0.39870657193147047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794</v>
      </c>
      <c r="C249" s="353">
        <v>10951622</v>
      </c>
      <c r="D249" s="353">
        <v>9166346</v>
      </c>
      <c r="E249" s="353">
        <f>D249-C249</f>
        <v>-1785276</v>
      </c>
      <c r="F249" s="362">
        <f>IF(C249=0,0,E249/C249)</f>
        <v>-0.1630147570834713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795</v>
      </c>
      <c r="C250" s="353">
        <f>C248+C249</f>
        <v>11881090</v>
      </c>
      <c r="D250" s="353">
        <f>LN_IH4+LN_IH5</f>
        <v>9725229</v>
      </c>
      <c r="E250" s="353">
        <f>D250-C250</f>
        <v>-2155861</v>
      </c>
      <c r="F250" s="362">
        <f>IF(C250=0,0,E250/C250)</f>
        <v>-0.1814531326671206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796</v>
      </c>
      <c r="C251" s="353">
        <f>C250*C313</f>
        <v>3866054.798284281</v>
      </c>
      <c r="D251" s="353">
        <f>LN_IH6*LN_III10</f>
        <v>3224774.1910382924</v>
      </c>
      <c r="E251" s="353">
        <f>D251-C251</f>
        <v>-641280.6072459887</v>
      </c>
      <c r="F251" s="362">
        <f>IF(C251=0,0,E251/C251)</f>
        <v>-0.1658746812203963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797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733</v>
      </c>
      <c r="C254" s="353">
        <f>C188+C203</f>
        <v>45367791</v>
      </c>
      <c r="D254" s="353">
        <f>LN_IF23</f>
        <v>50585840</v>
      </c>
      <c r="E254" s="353">
        <f>D254-C254</f>
        <v>5218049</v>
      </c>
      <c r="F254" s="362">
        <f>IF(C254=0,0,E254/C254)</f>
        <v>0.11501659844976803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734</v>
      </c>
      <c r="C255" s="353">
        <f>C189+C204</f>
        <v>11691331</v>
      </c>
      <c r="D255" s="353">
        <f>LN_IF24</f>
        <v>11694139</v>
      </c>
      <c r="E255" s="353">
        <f>D255-C255</f>
        <v>2808</v>
      </c>
      <c r="F255" s="362">
        <f>IF(C255=0,0,E255/C255)</f>
        <v>0.0002401779574968838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798</v>
      </c>
      <c r="C256" s="353">
        <f>C254*C313</f>
        <v>14762481.058817703</v>
      </c>
      <c r="D256" s="353">
        <f>LN_IH8*LN_III10</f>
        <v>16773683.299796075</v>
      </c>
      <c r="E256" s="353">
        <f>D256-C256</f>
        <v>2011202.2409783714</v>
      </c>
      <c r="F256" s="362">
        <f>IF(C256=0,0,E256/C256)</f>
        <v>0.1362374138171761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799</v>
      </c>
      <c r="C257" s="353">
        <f>C256-C255</f>
        <v>3071150.0588177033</v>
      </c>
      <c r="D257" s="353">
        <f>LN_IH10-LN_IH9</f>
        <v>5079544.299796075</v>
      </c>
      <c r="E257" s="353">
        <f>D257-C257</f>
        <v>2008394.2409783714</v>
      </c>
      <c r="F257" s="362">
        <f>IF(C257=0,0,E257/C257)</f>
        <v>0.6539550990717595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159</v>
      </c>
      <c r="B258" s="349" t="s">
        <v>800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129</v>
      </c>
      <c r="B260" s="359" t="s">
        <v>801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802</v>
      </c>
      <c r="C261" s="361">
        <f>C15+C42+C188+C221</f>
        <v>146408469</v>
      </c>
      <c r="D261" s="361">
        <f>LN_IA1+LN_IB1+LN_IF1+LN_IG1</f>
        <v>152310534</v>
      </c>
      <c r="E261" s="361">
        <f aca="true" t="shared" si="26" ref="E261:E274">D261-C261</f>
        <v>5902065</v>
      </c>
      <c r="F261" s="415">
        <f aca="true" t="shared" si="27" ref="F261:F274">IF(C261=0,0,E261/C261)</f>
        <v>0.040312319637738986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803</v>
      </c>
      <c r="C262" s="361">
        <f>C16+C43+C189+C222</f>
        <v>51239606</v>
      </c>
      <c r="D262" s="361">
        <f>+LN_IA2+LN_IB2+LN_IF2+LN_IG2</f>
        <v>53436115</v>
      </c>
      <c r="E262" s="361">
        <f t="shared" si="26"/>
        <v>2196509</v>
      </c>
      <c r="F262" s="415">
        <f t="shared" si="27"/>
        <v>0.04286740612330235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804</v>
      </c>
      <c r="C263" s="366">
        <f>IF(C261=0,0,C262/C261)</f>
        <v>0.3499770631437994</v>
      </c>
      <c r="D263" s="366">
        <f>IF(LN_IIA1=0,0,LN_IIA2/LN_IIA1)</f>
        <v>0.3508366335318606</v>
      </c>
      <c r="E263" s="367">
        <f t="shared" si="26"/>
        <v>0.000859570388061226</v>
      </c>
      <c r="F263" s="371">
        <f t="shared" si="27"/>
        <v>0.002456076350660854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805</v>
      </c>
      <c r="C264" s="369">
        <f>C18+C45+C191+C224</f>
        <v>8016</v>
      </c>
      <c r="D264" s="369">
        <f>LN_IA4+LN_IB4+LN_IF4+LN_IG3</f>
        <v>7846</v>
      </c>
      <c r="E264" s="369">
        <f t="shared" si="26"/>
        <v>-170</v>
      </c>
      <c r="F264" s="415">
        <f t="shared" si="27"/>
        <v>-0.02120758483033932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806</v>
      </c>
      <c r="C265" s="439">
        <f>IF(C264=0,0,C266/C264)</f>
        <v>1.0817031312375247</v>
      </c>
      <c r="D265" s="439">
        <f>IF(LN_IIA4=0,0,LN_IIA6/LN_IIA4)</f>
        <v>1.089638172317104</v>
      </c>
      <c r="E265" s="439">
        <f t="shared" si="26"/>
        <v>0.00793504107957932</v>
      </c>
      <c r="F265" s="415">
        <f t="shared" si="27"/>
        <v>0.0073356920678423285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807</v>
      </c>
      <c r="C266" s="376">
        <f>C20+C47+C193+C226</f>
        <v>8670.932299999999</v>
      </c>
      <c r="D266" s="376">
        <f>LN_IA6+LN_IB6+LN_IF6+LN_IG5</f>
        <v>8549.301099999999</v>
      </c>
      <c r="E266" s="376">
        <f t="shared" si="26"/>
        <v>-121.63119999999981</v>
      </c>
      <c r="F266" s="415">
        <f t="shared" si="27"/>
        <v>-0.014027465074315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808</v>
      </c>
      <c r="C267" s="361">
        <f>C27+C56+C203+C233</f>
        <v>198062826</v>
      </c>
      <c r="D267" s="361">
        <f>LN_IA11+LN_IB13+LN_IF14+LN_IG9</f>
        <v>206781547</v>
      </c>
      <c r="E267" s="361">
        <f t="shared" si="26"/>
        <v>8718721</v>
      </c>
      <c r="F267" s="415">
        <f t="shared" si="27"/>
        <v>0.044019976772420685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729</v>
      </c>
      <c r="C268" s="366">
        <f>IF(C261=0,0,C267/C261)</f>
        <v>1.3528098979028325</v>
      </c>
      <c r="D268" s="366">
        <f>IF(LN_IIA1=0,0,LN_IIA7/LN_IIA1)</f>
        <v>1.3576312916084976</v>
      </c>
      <c r="E268" s="367">
        <f t="shared" si="26"/>
        <v>0.004821393705665145</v>
      </c>
      <c r="F268" s="371">
        <f t="shared" si="27"/>
        <v>0.0035639846464306756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809</v>
      </c>
      <c r="C269" s="361">
        <f>C28+C57+C204+C234</f>
        <v>60206435</v>
      </c>
      <c r="D269" s="361">
        <f>LN_IA12+LN_IB14+LN_IF15+LN_IG10</f>
        <v>65010343</v>
      </c>
      <c r="E269" s="361">
        <f t="shared" si="26"/>
        <v>4803908</v>
      </c>
      <c r="F269" s="415">
        <f t="shared" si="27"/>
        <v>0.0797906071003872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728</v>
      </c>
      <c r="C270" s="366">
        <f>IF(C267=0,0,C269/C267)</f>
        <v>0.30397645139123686</v>
      </c>
      <c r="D270" s="366">
        <f>IF(LN_IIA7=0,0,LN_IIA9/LN_IIA7)</f>
        <v>0.31439141423968553</v>
      </c>
      <c r="E270" s="367">
        <f t="shared" si="26"/>
        <v>0.010414962848448672</v>
      </c>
      <c r="F270" s="371">
        <f t="shared" si="27"/>
        <v>0.03426240026417033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810</v>
      </c>
      <c r="C271" s="353">
        <f>C261+C267</f>
        <v>344471295</v>
      </c>
      <c r="D271" s="353">
        <f>LN_IIA1+LN_IIA7</f>
        <v>359092081</v>
      </c>
      <c r="E271" s="353">
        <f t="shared" si="26"/>
        <v>14620786</v>
      </c>
      <c r="F271" s="415">
        <f t="shared" si="27"/>
        <v>0.042444134568600266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811</v>
      </c>
      <c r="C272" s="353">
        <f>C262+C269</f>
        <v>111446041</v>
      </c>
      <c r="D272" s="353">
        <f>LN_IIA2+LN_IIA9</f>
        <v>118446458</v>
      </c>
      <c r="E272" s="353">
        <f t="shared" si="26"/>
        <v>7000417</v>
      </c>
      <c r="F272" s="415">
        <f t="shared" si="27"/>
        <v>0.0628144071981884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812</v>
      </c>
      <c r="C273" s="366">
        <f>IF(C271=0,0,C272/C271)</f>
        <v>0.3235278022222432</v>
      </c>
      <c r="D273" s="366">
        <f>IF(LN_IIA11=0,0,LN_IIA12/LN_IIA11)</f>
        <v>0.3298498192167039</v>
      </c>
      <c r="E273" s="367">
        <f t="shared" si="26"/>
        <v>0.006322016994460722</v>
      </c>
      <c r="F273" s="371">
        <f t="shared" si="27"/>
        <v>0.019540877015935387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254</v>
      </c>
      <c r="C274" s="421">
        <f>C22+C51+C198+C228</f>
        <v>33258</v>
      </c>
      <c r="D274" s="421">
        <f>LN_IA8+LN_IB10+LN_IF11+LN_IG6</f>
        <v>33658</v>
      </c>
      <c r="E274" s="442">
        <f t="shared" si="26"/>
        <v>400</v>
      </c>
      <c r="F274" s="371">
        <f t="shared" si="27"/>
        <v>0.012027181430031873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141</v>
      </c>
      <c r="B276" s="359" t="s">
        <v>813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814</v>
      </c>
      <c r="C277" s="361">
        <f>C15+C188+C221</f>
        <v>99710947</v>
      </c>
      <c r="D277" s="361">
        <f>LN_IA1+LN_IF1+LN_IG1</f>
        <v>106545543</v>
      </c>
      <c r="E277" s="361">
        <f aca="true" t="shared" si="28" ref="E277:E291">D277-C277</f>
        <v>6834596</v>
      </c>
      <c r="F277" s="415">
        <f aca="true" t="shared" si="29" ref="F277:F291">IF(C277=0,0,E277/C277)</f>
        <v>0.06854408874483962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815</v>
      </c>
      <c r="C278" s="361">
        <f>C16+C189+C222</f>
        <v>33315561</v>
      </c>
      <c r="D278" s="361">
        <f>LN_IA2+LN_IF2+LN_IG2</f>
        <v>33861511</v>
      </c>
      <c r="E278" s="361">
        <f t="shared" si="28"/>
        <v>545950</v>
      </c>
      <c r="F278" s="415">
        <f t="shared" si="29"/>
        <v>0.01638723718324899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816</v>
      </c>
      <c r="C279" s="366">
        <f>IF(C277=0,0,C278/C277)</f>
        <v>0.33412139792434226</v>
      </c>
      <c r="D279" s="366">
        <f>IF(D277=0,0,LN_IIB2/D277)</f>
        <v>0.3178125527034012</v>
      </c>
      <c r="E279" s="367">
        <f t="shared" si="28"/>
        <v>-0.01630884522094106</v>
      </c>
      <c r="F279" s="371">
        <f t="shared" si="29"/>
        <v>-0.04881113667743603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817</v>
      </c>
      <c r="C280" s="369">
        <f>C18+C191+C224</f>
        <v>5137</v>
      </c>
      <c r="D280" s="369">
        <f>LN_IA4+LN_IF4+LN_IG3</f>
        <v>5115</v>
      </c>
      <c r="E280" s="369">
        <f t="shared" si="28"/>
        <v>-22</v>
      </c>
      <c r="F280" s="415">
        <f t="shared" si="29"/>
        <v>-0.004282655246252677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818</v>
      </c>
      <c r="C281" s="439">
        <f>IF(C280=0,0,C282/C280)</f>
        <v>1.1446987736032705</v>
      </c>
      <c r="D281" s="439">
        <f>IF(LN_IIB4=0,0,LN_IIB6/LN_IIB4)</f>
        <v>1.1610436363636365</v>
      </c>
      <c r="E281" s="439">
        <f t="shared" si="28"/>
        <v>0.016344862760365952</v>
      </c>
      <c r="F281" s="415">
        <f t="shared" si="29"/>
        <v>0.014278745760262997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819</v>
      </c>
      <c r="C282" s="376">
        <f>C20+C193+C226</f>
        <v>5880.3176</v>
      </c>
      <c r="D282" s="376">
        <f>LN_IA6+LN_IF6+LN_IG5</f>
        <v>5938.738200000001</v>
      </c>
      <c r="E282" s="376">
        <f t="shared" si="28"/>
        <v>58.42060000000038</v>
      </c>
      <c r="F282" s="415">
        <f t="shared" si="29"/>
        <v>0.009934939568570306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820</v>
      </c>
      <c r="C283" s="361">
        <f>C27+C203+C233</f>
        <v>93193353</v>
      </c>
      <c r="D283" s="361">
        <f>LN_IA11+LN_IF14+LN_IG9</f>
        <v>102633169</v>
      </c>
      <c r="E283" s="361">
        <f t="shared" si="28"/>
        <v>9439816</v>
      </c>
      <c r="F283" s="415">
        <f t="shared" si="29"/>
        <v>0.10129280357580868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821</v>
      </c>
      <c r="C284" s="366">
        <f>IF(C277=0,0,C283/C277)</f>
        <v>0.9346351208558875</v>
      </c>
      <c r="D284" s="366">
        <f>IF(D277=0,0,LN_IIB7/D277)</f>
        <v>0.9632797966968923</v>
      </c>
      <c r="E284" s="367">
        <f t="shared" si="28"/>
        <v>0.02864467584100483</v>
      </c>
      <c r="F284" s="371">
        <f t="shared" si="29"/>
        <v>0.030647977164365073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822</v>
      </c>
      <c r="C285" s="361">
        <f>C28+C204+C234</f>
        <v>22161531</v>
      </c>
      <c r="D285" s="361">
        <f>LN_IA12+LN_IF15+LN_IG10</f>
        <v>23924594</v>
      </c>
      <c r="E285" s="361">
        <f t="shared" si="28"/>
        <v>1763063</v>
      </c>
      <c r="F285" s="415">
        <f t="shared" si="29"/>
        <v>0.0795551083542017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823</v>
      </c>
      <c r="C286" s="366">
        <f>IF(C283=0,0,C285/C283)</f>
        <v>0.23780162733279916</v>
      </c>
      <c r="D286" s="366">
        <f>IF(LN_IIB7=0,0,LN_IIB9/LN_IIB7)</f>
        <v>0.23310781722037638</v>
      </c>
      <c r="E286" s="367">
        <f t="shared" si="28"/>
        <v>-0.004693810112422786</v>
      </c>
      <c r="F286" s="371">
        <f t="shared" si="29"/>
        <v>-0.019738343110048958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824</v>
      </c>
      <c r="C287" s="353">
        <f>C277+C283</f>
        <v>192904300</v>
      </c>
      <c r="D287" s="353">
        <f>D277+LN_IIB7</f>
        <v>209178712</v>
      </c>
      <c r="E287" s="353">
        <f t="shared" si="28"/>
        <v>16274412</v>
      </c>
      <c r="F287" s="415">
        <f t="shared" si="29"/>
        <v>0.08436521114355668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825</v>
      </c>
      <c r="C288" s="353">
        <f>C278+C285</f>
        <v>55477092</v>
      </c>
      <c r="D288" s="353">
        <f>LN_IIB2+LN_IIB9</f>
        <v>57786105</v>
      </c>
      <c r="E288" s="353">
        <f t="shared" si="28"/>
        <v>2309013</v>
      </c>
      <c r="F288" s="415">
        <f t="shared" si="29"/>
        <v>0.04162101719390771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826</v>
      </c>
      <c r="C289" s="366">
        <f>IF(C287=0,0,C288/C287)</f>
        <v>0.28758867479885103</v>
      </c>
      <c r="D289" s="366">
        <f>IF(LN_IIB11=0,0,LN_IIB12/LN_IIB11)</f>
        <v>0.2762523224638653</v>
      </c>
      <c r="E289" s="367">
        <f t="shared" si="28"/>
        <v>-0.011336352334985755</v>
      </c>
      <c r="F289" s="371">
        <f t="shared" si="29"/>
        <v>-0.039418632680562865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254</v>
      </c>
      <c r="C290" s="421">
        <f>C22+C198+C228</f>
        <v>23557</v>
      </c>
      <c r="D290" s="421">
        <f>LN_IA8+LN_IF11+LN_IG6</f>
        <v>24726</v>
      </c>
      <c r="E290" s="442">
        <f t="shared" si="28"/>
        <v>1169</v>
      </c>
      <c r="F290" s="371">
        <f t="shared" si="29"/>
        <v>0.049624315490087875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827</v>
      </c>
      <c r="C291" s="361">
        <f>C287-C288</f>
        <v>137427208</v>
      </c>
      <c r="D291" s="429">
        <f>LN_IIB11-LN_IIB12</f>
        <v>151392607</v>
      </c>
      <c r="E291" s="353">
        <f t="shared" si="28"/>
        <v>13965399</v>
      </c>
      <c r="F291" s="415">
        <f t="shared" si="29"/>
        <v>0.10162033561796584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151</v>
      </c>
      <c r="B293" s="358" t="s">
        <v>724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715</v>
      </c>
      <c r="C294" s="379">
        <f>IF(C18=0,0,C22/C18)</f>
        <v>5.043956043956044</v>
      </c>
      <c r="D294" s="379">
        <f>IF(LN_IA4=0,0,LN_IA8/LN_IA4)</f>
        <v>5.368640533778149</v>
      </c>
      <c r="E294" s="379">
        <f aca="true" t="shared" si="30" ref="E294:E300">D294-C294</f>
        <v>0.32468448982210507</v>
      </c>
      <c r="F294" s="415">
        <f aca="true" t="shared" si="31" ref="F294:F300">IF(C294=0,0,E294/C294)</f>
        <v>0.06437099907148489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736</v>
      </c>
      <c r="C295" s="379">
        <f>IF(C45=0,0,C51/C45)</f>
        <v>3.369572768322334</v>
      </c>
      <c r="D295" s="379">
        <f>IF(LN_IB4=0,0,(LN_IB10)/(LN_IB4))</f>
        <v>3.2705968509703407</v>
      </c>
      <c r="E295" s="379">
        <f t="shared" si="30"/>
        <v>-0.09897591735199329</v>
      </c>
      <c r="F295" s="415">
        <f t="shared" si="31"/>
        <v>-0.029373432229294782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751</v>
      </c>
      <c r="C296" s="379">
        <f>IF(C86=0,0,C93/C86)</f>
        <v>4.625</v>
      </c>
      <c r="D296" s="379">
        <f>IF(LN_IC4=0,0,LN_IC11/LN_IC4)</f>
        <v>4.767441860465116</v>
      </c>
      <c r="E296" s="379">
        <f t="shared" si="30"/>
        <v>0.14244186046511587</v>
      </c>
      <c r="F296" s="415">
        <f t="shared" si="31"/>
        <v>0.03079824010056559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229</v>
      </c>
      <c r="C297" s="379">
        <f>IF(C121=0,0,C128/C121)</f>
        <v>3.2848101265822787</v>
      </c>
      <c r="D297" s="379">
        <f>IF(LN_ID4=0,0,LN_ID11/LN_ID4)</f>
        <v>3.378228782287823</v>
      </c>
      <c r="E297" s="379">
        <f t="shared" si="30"/>
        <v>0.0934186557055443</v>
      </c>
      <c r="F297" s="415">
        <f t="shared" si="31"/>
        <v>0.028439590754289017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828</v>
      </c>
      <c r="C298" s="379">
        <f>IF(C156=0,0,C163/C156)</f>
        <v>4.010526315789473</v>
      </c>
      <c r="D298" s="379">
        <f>IF(LN_IE4=0,0,LN_IE11/LN_IE4)</f>
        <v>4.037825059101655</v>
      </c>
      <c r="E298" s="379">
        <f t="shared" si="30"/>
        <v>0.027298743312181628</v>
      </c>
      <c r="F298" s="415">
        <f t="shared" si="31"/>
        <v>0.006806773266816942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3.6363636363636362</v>
      </c>
      <c r="D299" s="379">
        <f>IF(LN_IG3=0,0,LN_IG6/LN_IG3)</f>
        <v>4.090909090909091</v>
      </c>
      <c r="E299" s="379">
        <f t="shared" si="30"/>
        <v>0.4545454545454546</v>
      </c>
      <c r="F299" s="415">
        <f t="shared" si="31"/>
        <v>0.12500000000000003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829</v>
      </c>
      <c r="C300" s="379">
        <f>IF(C264=0,0,C274/C264)</f>
        <v>4.148952095808383</v>
      </c>
      <c r="D300" s="379">
        <f>IF(LN_IIA4=0,0,LN_IIA14/LN_IIA4)</f>
        <v>4.289829212337497</v>
      </c>
      <c r="E300" s="379">
        <f t="shared" si="30"/>
        <v>0.14087711652911405</v>
      </c>
      <c r="F300" s="415">
        <f t="shared" si="31"/>
        <v>0.03395486698230135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250</v>
      </c>
      <c r="B302" s="446" t="s">
        <v>830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824</v>
      </c>
      <c r="C304" s="353">
        <f>C35+C66+C214+C221+C233</f>
        <v>344471295</v>
      </c>
      <c r="D304" s="353">
        <f>LN_IIA11</f>
        <v>359092081</v>
      </c>
      <c r="E304" s="353">
        <f aca="true" t="shared" si="32" ref="E304:E316">D304-C304</f>
        <v>14620786</v>
      </c>
      <c r="F304" s="362">
        <f>IF(C304=0,0,E304/C304)</f>
        <v>0.042444134568600266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827</v>
      </c>
      <c r="C305" s="353">
        <f>C291</f>
        <v>137427208</v>
      </c>
      <c r="D305" s="353">
        <f>LN_IIB14</f>
        <v>151392607</v>
      </c>
      <c r="E305" s="353">
        <f t="shared" si="32"/>
        <v>13965399</v>
      </c>
      <c r="F305" s="362">
        <f>IF(C305=0,0,E305/C305)</f>
        <v>0.10162033561796584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831</v>
      </c>
      <c r="C306" s="353">
        <f>C250</f>
        <v>11881090</v>
      </c>
      <c r="D306" s="353">
        <f>LN_IH6</f>
        <v>9725229</v>
      </c>
      <c r="E306" s="353">
        <f t="shared" si="32"/>
        <v>-2155861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832</v>
      </c>
      <c r="C307" s="353">
        <f>C73-C74</f>
        <v>79891276</v>
      </c>
      <c r="D307" s="353">
        <f>LN_IB32-LN_IB33</f>
        <v>75988601</v>
      </c>
      <c r="E307" s="353">
        <f t="shared" si="32"/>
        <v>-3902675</v>
      </c>
      <c r="F307" s="362">
        <f aca="true" t="shared" si="33" ref="F307:F316">IF(C307=0,0,E307/C307)</f>
        <v>-0.04884982685719026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833</v>
      </c>
      <c r="C308" s="353">
        <v>3825681</v>
      </c>
      <c r="D308" s="353">
        <v>3539186</v>
      </c>
      <c r="E308" s="353">
        <f t="shared" si="32"/>
        <v>-286495</v>
      </c>
      <c r="F308" s="362">
        <f t="shared" si="33"/>
        <v>-0.0748873207149263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834</v>
      </c>
      <c r="C309" s="353">
        <f>C305+C307+C308+C306</f>
        <v>233025255</v>
      </c>
      <c r="D309" s="353">
        <f>LN_III2+LN_III3+LN_III4+LN_III5</f>
        <v>240645623</v>
      </c>
      <c r="E309" s="353">
        <f t="shared" si="32"/>
        <v>7620368</v>
      </c>
      <c r="F309" s="362">
        <f t="shared" si="33"/>
        <v>0.03270189748317194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835</v>
      </c>
      <c r="C310" s="353">
        <f>C304-C309</f>
        <v>111446040</v>
      </c>
      <c r="D310" s="353">
        <f>LN_III1-LN_III6</f>
        <v>118446458</v>
      </c>
      <c r="E310" s="353">
        <f t="shared" si="32"/>
        <v>7000418</v>
      </c>
      <c r="F310" s="362">
        <f t="shared" si="33"/>
        <v>0.06281441673477138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836</v>
      </c>
      <c r="C311" s="353">
        <f>C245</f>
        <v>643415</v>
      </c>
      <c r="D311" s="353">
        <f>LN_IH3</f>
        <v>624350</v>
      </c>
      <c r="E311" s="353">
        <f t="shared" si="32"/>
        <v>-19065</v>
      </c>
      <c r="F311" s="362">
        <f t="shared" si="33"/>
        <v>-0.029630953583612445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837</v>
      </c>
      <c r="C312" s="353">
        <f>C310+C311</f>
        <v>112089455</v>
      </c>
      <c r="D312" s="353">
        <f>LN_III7+LN_III8</f>
        <v>119070808</v>
      </c>
      <c r="E312" s="353">
        <f t="shared" si="32"/>
        <v>6981353</v>
      </c>
      <c r="F312" s="362">
        <f t="shared" si="33"/>
        <v>0.06228376255375673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838</v>
      </c>
      <c r="C313" s="448">
        <f>IF(C304=0,0,C312/C304)</f>
        <v>0.32539563274786076</v>
      </c>
      <c r="D313" s="448">
        <f>IF(LN_III1=0,0,LN_III9/LN_III1)</f>
        <v>0.331588509744942</v>
      </c>
      <c r="E313" s="448">
        <f t="shared" si="32"/>
        <v>0.006192876997081209</v>
      </c>
      <c r="F313" s="362">
        <f t="shared" si="33"/>
        <v>0.019031838088250812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796</v>
      </c>
      <c r="C314" s="353">
        <f>C306*C313</f>
        <v>3866054.798284281</v>
      </c>
      <c r="D314" s="353">
        <f>D313*LN_III5</f>
        <v>3224774.1910382924</v>
      </c>
      <c r="E314" s="353">
        <f t="shared" si="32"/>
        <v>-641280.6072459887</v>
      </c>
      <c r="F314" s="362">
        <f t="shared" si="33"/>
        <v>-0.1658746812203963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799</v>
      </c>
      <c r="C315" s="353">
        <f>(C214*C313)-C215</f>
        <v>3071150.0588177033</v>
      </c>
      <c r="D315" s="353">
        <f>D313*LN_IH8-LN_IH9</f>
        <v>5079544.299796075</v>
      </c>
      <c r="E315" s="353">
        <f t="shared" si="32"/>
        <v>2008394.2409783714</v>
      </c>
      <c r="F315" s="362">
        <f t="shared" si="33"/>
        <v>0.6539550990717595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839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840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841</v>
      </c>
      <c r="C318" s="353">
        <f>C314+C315+C316</f>
        <v>6937204.857101984</v>
      </c>
      <c r="D318" s="353">
        <f>D314+D315+D316</f>
        <v>8304318.4908343665</v>
      </c>
      <c r="E318" s="353">
        <f>D318-C318</f>
        <v>1367113.6337323822</v>
      </c>
      <c r="F318" s="362">
        <f>IF(C318=0,0,E318/C318)</f>
        <v>0.19706980864674847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259</v>
      </c>
      <c r="B320" s="445" t="s">
        <v>842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229</v>
      </c>
      <c r="C322" s="353">
        <f>C141</f>
        <v>4041820.3559483457</v>
      </c>
      <c r="D322" s="353">
        <f>LN_ID22</f>
        <v>4543292.439671587</v>
      </c>
      <c r="E322" s="353">
        <f>LN_IV2-C322</f>
        <v>501472.08372324146</v>
      </c>
      <c r="F322" s="362">
        <f>IF(C322=0,0,E322/C322)</f>
        <v>0.12407084916211705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828</v>
      </c>
      <c r="C323" s="353">
        <f>C162+C176</f>
        <v>2461531.148864725</v>
      </c>
      <c r="D323" s="353">
        <f>LN_IE10+LN_IE22</f>
        <v>3311556.379289393</v>
      </c>
      <c r="E323" s="353">
        <f>LN_IV3-C323</f>
        <v>850025.2304246677</v>
      </c>
      <c r="F323" s="362">
        <f>IF(C323=0,0,E323/C323)</f>
        <v>0.34532377573881406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843</v>
      </c>
      <c r="C324" s="353">
        <f>C92+C106</f>
        <v>1484260.4441908877</v>
      </c>
      <c r="D324" s="353">
        <f>LN_IC10+LN_IC22</f>
        <v>1451187.6359890332</v>
      </c>
      <c r="E324" s="353">
        <f>LN_IV1-C324</f>
        <v>-33072.80820185458</v>
      </c>
      <c r="F324" s="362">
        <f>IF(C324=0,0,E324/C324)</f>
        <v>-0.02228234831110352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844</v>
      </c>
      <c r="C325" s="429">
        <f>C324+C322+C323</f>
        <v>7987611.949003959</v>
      </c>
      <c r="D325" s="429">
        <f>LN_IV1+LN_IV2+LN_IV3</f>
        <v>9306036.454950012</v>
      </c>
      <c r="E325" s="353">
        <f>LN_IV4-C325</f>
        <v>1318424.5059460532</v>
      </c>
      <c r="F325" s="362">
        <f>IF(C325=0,0,E325/C325)</f>
        <v>0.16505865762675895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845</v>
      </c>
      <c r="B327" s="446" t="s">
        <v>846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847</v>
      </c>
      <c r="C329" s="431">
        <v>5874584</v>
      </c>
      <c r="D329" s="431">
        <v>5032151</v>
      </c>
      <c r="E329" s="431">
        <f aca="true" t="shared" si="34" ref="E329:E335">D329-C329</f>
        <v>-842433</v>
      </c>
      <c r="F329" s="462">
        <f aca="true" t="shared" si="35" ref="F329:F335">IF(C329=0,0,E329/C329)</f>
        <v>-0.14340300521705027</v>
      </c>
    </row>
    <row r="330" spans="1:6" s="333" customFormat="1" ht="11.25" customHeight="1">
      <c r="A330" s="364">
        <v>2</v>
      </c>
      <c r="B330" s="360" t="s">
        <v>848</v>
      </c>
      <c r="C330" s="429">
        <v>7844153</v>
      </c>
      <c r="D330" s="429">
        <v>6543376</v>
      </c>
      <c r="E330" s="431">
        <f t="shared" si="34"/>
        <v>-1300777</v>
      </c>
      <c r="F330" s="463">
        <f t="shared" si="35"/>
        <v>-0.16582759158318305</v>
      </c>
    </row>
    <row r="331" spans="1:6" s="333" customFormat="1" ht="11.25" customHeight="1">
      <c r="A331" s="339">
        <v>3</v>
      </c>
      <c r="B331" s="360" t="s">
        <v>849</v>
      </c>
      <c r="C331" s="429">
        <v>119933611</v>
      </c>
      <c r="D331" s="429">
        <v>125614183</v>
      </c>
      <c r="E331" s="431">
        <f t="shared" si="34"/>
        <v>5680572</v>
      </c>
      <c r="F331" s="462">
        <f t="shared" si="35"/>
        <v>0.0473643039064337</v>
      </c>
    </row>
    <row r="332" spans="1:6" s="333" customFormat="1" ht="11.25" customHeight="1">
      <c r="A332" s="364">
        <v>4</v>
      </c>
      <c r="B332" s="360" t="s">
        <v>850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851</v>
      </c>
      <c r="C333" s="429">
        <v>344471279</v>
      </c>
      <c r="D333" s="429">
        <v>359092081</v>
      </c>
      <c r="E333" s="431">
        <f t="shared" si="34"/>
        <v>14620802</v>
      </c>
      <c r="F333" s="462">
        <f t="shared" si="35"/>
        <v>0.042444182988039474</v>
      </c>
    </row>
    <row r="334" spans="1:6" s="333" customFormat="1" ht="11.25" customHeight="1">
      <c r="A334" s="339">
        <v>6</v>
      </c>
      <c r="B334" s="360" t="s">
        <v>852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853</v>
      </c>
      <c r="C335" s="429">
        <v>11881090</v>
      </c>
      <c r="D335" s="429">
        <v>9725229</v>
      </c>
      <c r="E335" s="429">
        <f t="shared" si="34"/>
        <v>-2155861</v>
      </c>
      <c r="F335" s="462">
        <f t="shared" si="35"/>
        <v>-0.1814531326671206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 r:id="rId1"/>
  <headerFooter alignWithMargins="0">
    <oddHeader>&amp;LOFFICE OF HEALTH CARE ACCESS&amp;CTWELVE MONTHS ACTUAL FILING&amp;RBRISTOL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115</v>
      </c>
      <c r="B2" s="710"/>
      <c r="C2" s="710"/>
      <c r="D2" s="710"/>
      <c r="E2" s="710"/>
    </row>
    <row r="3" spans="1:5" s="338" customFormat="1" ht="15.75" customHeight="1">
      <c r="A3" s="709" t="s">
        <v>706</v>
      </c>
      <c r="B3" s="709"/>
      <c r="C3" s="709"/>
      <c r="D3" s="709"/>
      <c r="E3" s="709"/>
    </row>
    <row r="4" spans="1:5" s="338" customFormat="1" ht="15.75" customHeight="1">
      <c r="A4" s="709" t="s">
        <v>117</v>
      </c>
      <c r="B4" s="709"/>
      <c r="C4" s="709"/>
      <c r="D4" s="709"/>
      <c r="E4" s="709"/>
    </row>
    <row r="5" spans="1:5" s="338" customFormat="1" ht="15.75" customHeight="1">
      <c r="A5" s="709" t="s">
        <v>854</v>
      </c>
      <c r="B5" s="709"/>
      <c r="C5" s="709"/>
      <c r="D5" s="709"/>
      <c r="E5" s="709"/>
    </row>
    <row r="6" spans="1:5" s="338" customFormat="1" ht="15.75" customHeight="1">
      <c r="A6" s="709" t="s">
        <v>855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123</v>
      </c>
      <c r="B9" s="493" t="s">
        <v>124</v>
      </c>
      <c r="C9" s="494" t="s">
        <v>856</v>
      </c>
      <c r="D9" s="494" t="s">
        <v>857</v>
      </c>
      <c r="E9" s="495" t="s">
        <v>858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127</v>
      </c>
      <c r="B11" s="501" t="s">
        <v>859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129</v>
      </c>
      <c r="B13" s="509" t="s">
        <v>860</v>
      </c>
      <c r="C13" s="510"/>
      <c r="D13" s="340"/>
      <c r="E13" s="511"/>
    </row>
    <row r="14" spans="1:5" s="506" customFormat="1" ht="12.75">
      <c r="A14" s="512">
        <v>1</v>
      </c>
      <c r="B14" s="511" t="s">
        <v>736</v>
      </c>
      <c r="C14" s="513">
        <v>46697522</v>
      </c>
      <c r="D14" s="513">
        <v>45764991</v>
      </c>
      <c r="E14" s="514">
        <f aca="true" t="shared" si="0" ref="E14:E22">D14-C14</f>
        <v>-932531</v>
      </c>
    </row>
    <row r="15" spans="1:5" s="506" customFormat="1" ht="12.75">
      <c r="A15" s="512">
        <v>2</v>
      </c>
      <c r="B15" s="511" t="s">
        <v>715</v>
      </c>
      <c r="C15" s="513">
        <v>81897226</v>
      </c>
      <c r="D15" s="515">
        <v>86691351</v>
      </c>
      <c r="E15" s="514">
        <f t="shared" si="0"/>
        <v>4794125</v>
      </c>
    </row>
    <row r="16" spans="1:5" s="506" customFormat="1" ht="12.75">
      <c r="A16" s="512">
        <v>3</v>
      </c>
      <c r="B16" s="511" t="s">
        <v>861</v>
      </c>
      <c r="C16" s="513">
        <v>17503164</v>
      </c>
      <c r="D16" s="515">
        <v>19653562</v>
      </c>
      <c r="E16" s="514">
        <f t="shared" si="0"/>
        <v>2150398</v>
      </c>
    </row>
    <row r="17" spans="1:5" s="506" customFormat="1" ht="12.75">
      <c r="A17" s="512">
        <v>4</v>
      </c>
      <c r="B17" s="511" t="s">
        <v>229</v>
      </c>
      <c r="C17" s="513">
        <v>12712162</v>
      </c>
      <c r="D17" s="515">
        <v>13394264</v>
      </c>
      <c r="E17" s="514">
        <f t="shared" si="0"/>
        <v>682102</v>
      </c>
    </row>
    <row r="18" spans="1:5" s="506" customFormat="1" ht="12.75">
      <c r="A18" s="512">
        <v>5</v>
      </c>
      <c r="B18" s="511" t="s">
        <v>828</v>
      </c>
      <c r="C18" s="513">
        <v>4791002</v>
      </c>
      <c r="D18" s="515">
        <v>6259298</v>
      </c>
      <c r="E18" s="514">
        <f t="shared" si="0"/>
        <v>1468296</v>
      </c>
    </row>
    <row r="19" spans="1:5" s="506" customFormat="1" ht="12.75">
      <c r="A19" s="512">
        <v>6</v>
      </c>
      <c r="B19" s="511" t="s">
        <v>533</v>
      </c>
      <c r="C19" s="513">
        <v>310557</v>
      </c>
      <c r="D19" s="515">
        <v>200630</v>
      </c>
      <c r="E19" s="514">
        <f t="shared" si="0"/>
        <v>-109927</v>
      </c>
    </row>
    <row r="20" spans="1:5" s="506" customFormat="1" ht="12.75">
      <c r="A20" s="512">
        <v>7</v>
      </c>
      <c r="B20" s="511" t="s">
        <v>843</v>
      </c>
      <c r="C20" s="513">
        <v>1777507</v>
      </c>
      <c r="D20" s="515">
        <v>905666</v>
      </c>
      <c r="E20" s="514">
        <f t="shared" si="0"/>
        <v>-871841</v>
      </c>
    </row>
    <row r="21" spans="1:5" s="506" customFormat="1" ht="12.75">
      <c r="A21" s="512"/>
      <c r="B21" s="516" t="s">
        <v>862</v>
      </c>
      <c r="C21" s="517">
        <f>SUM(C15+C16+C19)</f>
        <v>99710947</v>
      </c>
      <c r="D21" s="517">
        <f>SUM(D15+D16+D19)</f>
        <v>106545543</v>
      </c>
      <c r="E21" s="517">
        <f t="shared" si="0"/>
        <v>6834596</v>
      </c>
    </row>
    <row r="22" spans="1:5" s="506" customFormat="1" ht="12.75">
      <c r="A22" s="512"/>
      <c r="B22" s="516" t="s">
        <v>802</v>
      </c>
      <c r="C22" s="517">
        <f>SUM(C14+C21)</f>
        <v>146408469</v>
      </c>
      <c r="D22" s="517">
        <f>SUM(D14+D21)</f>
        <v>152310534</v>
      </c>
      <c r="E22" s="517">
        <f t="shared" si="0"/>
        <v>5902065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141</v>
      </c>
      <c r="B24" s="509" t="s">
        <v>863</v>
      </c>
      <c r="C24" s="511"/>
      <c r="D24" s="511"/>
      <c r="E24" s="511"/>
    </row>
    <row r="25" spans="1:5" s="506" customFormat="1" ht="12.75">
      <c r="A25" s="512">
        <v>1</v>
      </c>
      <c r="B25" s="511" t="s">
        <v>736</v>
      </c>
      <c r="C25" s="513">
        <v>104869473</v>
      </c>
      <c r="D25" s="513">
        <v>104148378</v>
      </c>
      <c r="E25" s="514">
        <f aca="true" t="shared" si="1" ref="E25:E33">D25-C25</f>
        <v>-721095</v>
      </c>
    </row>
    <row r="26" spans="1:5" s="506" customFormat="1" ht="12.75">
      <c r="A26" s="512">
        <v>2</v>
      </c>
      <c r="B26" s="511" t="s">
        <v>715</v>
      </c>
      <c r="C26" s="513">
        <v>64592841</v>
      </c>
      <c r="D26" s="515">
        <v>71274877</v>
      </c>
      <c r="E26" s="514">
        <f t="shared" si="1"/>
        <v>6682036</v>
      </c>
    </row>
    <row r="27" spans="1:5" s="506" customFormat="1" ht="12.75">
      <c r="A27" s="512">
        <v>3</v>
      </c>
      <c r="B27" s="511" t="s">
        <v>861</v>
      </c>
      <c r="C27" s="513">
        <v>27864627</v>
      </c>
      <c r="D27" s="515">
        <v>30932278</v>
      </c>
      <c r="E27" s="514">
        <f t="shared" si="1"/>
        <v>3067651</v>
      </c>
    </row>
    <row r="28" spans="1:5" s="506" customFormat="1" ht="12.75">
      <c r="A28" s="512">
        <v>4</v>
      </c>
      <c r="B28" s="511" t="s">
        <v>229</v>
      </c>
      <c r="C28" s="513">
        <v>21541218</v>
      </c>
      <c r="D28" s="515">
        <v>23673877</v>
      </c>
      <c r="E28" s="514">
        <f t="shared" si="1"/>
        <v>2132659</v>
      </c>
    </row>
    <row r="29" spans="1:5" s="506" customFormat="1" ht="12.75">
      <c r="A29" s="512">
        <v>5</v>
      </c>
      <c r="B29" s="511" t="s">
        <v>828</v>
      </c>
      <c r="C29" s="513">
        <v>6323409</v>
      </c>
      <c r="D29" s="515">
        <v>7258401</v>
      </c>
      <c r="E29" s="514">
        <f t="shared" si="1"/>
        <v>934992</v>
      </c>
    </row>
    <row r="30" spans="1:5" s="506" customFormat="1" ht="12.75">
      <c r="A30" s="512">
        <v>6</v>
      </c>
      <c r="B30" s="511" t="s">
        <v>533</v>
      </c>
      <c r="C30" s="513">
        <v>735885</v>
      </c>
      <c r="D30" s="515">
        <v>426014</v>
      </c>
      <c r="E30" s="514">
        <f t="shared" si="1"/>
        <v>-309871</v>
      </c>
    </row>
    <row r="31" spans="1:5" s="506" customFormat="1" ht="12.75">
      <c r="A31" s="512">
        <v>7</v>
      </c>
      <c r="B31" s="511" t="s">
        <v>843</v>
      </c>
      <c r="C31" s="514">
        <v>5917877</v>
      </c>
      <c r="D31" s="518">
        <v>5537635</v>
      </c>
      <c r="E31" s="514">
        <f t="shared" si="1"/>
        <v>-380242</v>
      </c>
    </row>
    <row r="32" spans="1:5" s="506" customFormat="1" ht="12.75">
      <c r="A32" s="512"/>
      <c r="B32" s="516" t="s">
        <v>864</v>
      </c>
      <c r="C32" s="517">
        <f>SUM(C26+C27+C30)</f>
        <v>93193353</v>
      </c>
      <c r="D32" s="517">
        <f>SUM(D26+D27+D30)</f>
        <v>102633169</v>
      </c>
      <c r="E32" s="517">
        <f t="shared" si="1"/>
        <v>9439816</v>
      </c>
    </row>
    <row r="33" spans="1:5" s="506" customFormat="1" ht="12.75">
      <c r="A33" s="512"/>
      <c r="B33" s="516" t="s">
        <v>808</v>
      </c>
      <c r="C33" s="517">
        <f>SUM(C25+C32)</f>
        <v>198062826</v>
      </c>
      <c r="D33" s="517">
        <f>SUM(D25+D32)</f>
        <v>206781547</v>
      </c>
      <c r="E33" s="517">
        <f t="shared" si="1"/>
        <v>8718721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151</v>
      </c>
      <c r="B35" s="509" t="s">
        <v>733</v>
      </c>
      <c r="C35" s="514"/>
      <c r="D35" s="514"/>
      <c r="E35" s="511"/>
    </row>
    <row r="36" spans="1:5" s="506" customFormat="1" ht="12.75">
      <c r="A36" s="512">
        <v>1</v>
      </c>
      <c r="B36" s="511" t="s">
        <v>865</v>
      </c>
      <c r="C36" s="514">
        <f aca="true" t="shared" si="2" ref="C36:D42">C14+C25</f>
        <v>151566995</v>
      </c>
      <c r="D36" s="514">
        <f t="shared" si="2"/>
        <v>149913369</v>
      </c>
      <c r="E36" s="514">
        <f aca="true" t="shared" si="3" ref="E36:E44">D36-C36</f>
        <v>-1653626</v>
      </c>
    </row>
    <row r="37" spans="1:5" s="506" customFormat="1" ht="12.75">
      <c r="A37" s="512">
        <v>2</v>
      </c>
      <c r="B37" s="511" t="s">
        <v>866</v>
      </c>
      <c r="C37" s="514">
        <f t="shared" si="2"/>
        <v>146490067</v>
      </c>
      <c r="D37" s="514">
        <f t="shared" si="2"/>
        <v>157966228</v>
      </c>
      <c r="E37" s="514">
        <f t="shared" si="3"/>
        <v>11476161</v>
      </c>
    </row>
    <row r="38" spans="1:5" s="506" customFormat="1" ht="12.75">
      <c r="A38" s="512">
        <v>3</v>
      </c>
      <c r="B38" s="511" t="s">
        <v>867</v>
      </c>
      <c r="C38" s="514">
        <f t="shared" si="2"/>
        <v>45367791</v>
      </c>
      <c r="D38" s="514">
        <f t="shared" si="2"/>
        <v>50585840</v>
      </c>
      <c r="E38" s="514">
        <f t="shared" si="3"/>
        <v>5218049</v>
      </c>
    </row>
    <row r="39" spans="1:5" s="506" customFormat="1" ht="12.75">
      <c r="A39" s="512">
        <v>4</v>
      </c>
      <c r="B39" s="511" t="s">
        <v>868</v>
      </c>
      <c r="C39" s="514">
        <f t="shared" si="2"/>
        <v>34253380</v>
      </c>
      <c r="D39" s="514">
        <f t="shared" si="2"/>
        <v>37068141</v>
      </c>
      <c r="E39" s="514">
        <f t="shared" si="3"/>
        <v>2814761</v>
      </c>
    </row>
    <row r="40" spans="1:5" s="506" customFormat="1" ht="12.75">
      <c r="A40" s="512">
        <v>5</v>
      </c>
      <c r="B40" s="511" t="s">
        <v>869</v>
      </c>
      <c r="C40" s="514">
        <f t="shared" si="2"/>
        <v>11114411</v>
      </c>
      <c r="D40" s="514">
        <f t="shared" si="2"/>
        <v>13517699</v>
      </c>
      <c r="E40" s="514">
        <f t="shared" si="3"/>
        <v>2403288</v>
      </c>
    </row>
    <row r="41" spans="1:5" s="506" customFormat="1" ht="12.75">
      <c r="A41" s="512">
        <v>6</v>
      </c>
      <c r="B41" s="511" t="s">
        <v>870</v>
      </c>
      <c r="C41" s="514">
        <f t="shared" si="2"/>
        <v>1046442</v>
      </c>
      <c r="D41" s="514">
        <f t="shared" si="2"/>
        <v>626644</v>
      </c>
      <c r="E41" s="514">
        <f t="shared" si="3"/>
        <v>-419798</v>
      </c>
    </row>
    <row r="42" spans="1:5" s="506" customFormat="1" ht="12.75">
      <c r="A42" s="512">
        <v>7</v>
      </c>
      <c r="B42" s="511" t="s">
        <v>871</v>
      </c>
      <c r="C42" s="514">
        <f t="shared" si="2"/>
        <v>7695384</v>
      </c>
      <c r="D42" s="514">
        <f t="shared" si="2"/>
        <v>6443301</v>
      </c>
      <c r="E42" s="514">
        <f t="shared" si="3"/>
        <v>-1252083</v>
      </c>
    </row>
    <row r="43" spans="1:5" s="506" customFormat="1" ht="12.75">
      <c r="A43" s="512"/>
      <c r="B43" s="516" t="s">
        <v>872</v>
      </c>
      <c r="C43" s="517">
        <f>SUM(C37+C38+C41)</f>
        <v>192904300</v>
      </c>
      <c r="D43" s="517">
        <f>SUM(D37+D38+D41)</f>
        <v>209178712</v>
      </c>
      <c r="E43" s="517">
        <f t="shared" si="3"/>
        <v>16274412</v>
      </c>
    </row>
    <row r="44" spans="1:5" s="506" customFormat="1" ht="12.75">
      <c r="A44" s="512"/>
      <c r="B44" s="516" t="s">
        <v>810</v>
      </c>
      <c r="C44" s="517">
        <f>SUM(C36+C43)</f>
        <v>344471295</v>
      </c>
      <c r="D44" s="517">
        <f>SUM(D36+D43)</f>
        <v>359092081</v>
      </c>
      <c r="E44" s="517">
        <f t="shared" si="3"/>
        <v>14620786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436</v>
      </c>
      <c r="B46" s="509" t="s">
        <v>873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736</v>
      </c>
      <c r="C47" s="513">
        <v>17924045</v>
      </c>
      <c r="D47" s="513">
        <v>19574604</v>
      </c>
      <c r="E47" s="514">
        <f aca="true" t="shared" si="4" ref="E47:E55">D47-C47</f>
        <v>1650559</v>
      </c>
    </row>
    <row r="48" spans="1:5" s="506" customFormat="1" ht="12.75">
      <c r="A48" s="512">
        <v>2</v>
      </c>
      <c r="B48" s="511" t="s">
        <v>715</v>
      </c>
      <c r="C48" s="513">
        <v>28542377</v>
      </c>
      <c r="D48" s="515">
        <v>29232376</v>
      </c>
      <c r="E48" s="514">
        <f t="shared" si="4"/>
        <v>689999</v>
      </c>
    </row>
    <row r="49" spans="1:5" s="506" customFormat="1" ht="12.75">
      <c r="A49" s="512">
        <v>3</v>
      </c>
      <c r="B49" s="511" t="s">
        <v>861</v>
      </c>
      <c r="C49" s="513">
        <v>4677825</v>
      </c>
      <c r="D49" s="515">
        <v>4554647</v>
      </c>
      <c r="E49" s="514">
        <f t="shared" si="4"/>
        <v>-123178</v>
      </c>
    </row>
    <row r="50" spans="1:5" s="506" customFormat="1" ht="12.75">
      <c r="A50" s="512">
        <v>4</v>
      </c>
      <c r="B50" s="511" t="s">
        <v>229</v>
      </c>
      <c r="C50" s="513">
        <v>3679252</v>
      </c>
      <c r="D50" s="515">
        <v>3598923</v>
      </c>
      <c r="E50" s="514">
        <f t="shared" si="4"/>
        <v>-80329</v>
      </c>
    </row>
    <row r="51" spans="1:5" s="506" customFormat="1" ht="12.75">
      <c r="A51" s="512">
        <v>5</v>
      </c>
      <c r="B51" s="511" t="s">
        <v>828</v>
      </c>
      <c r="C51" s="513">
        <v>998573</v>
      </c>
      <c r="D51" s="515">
        <v>955724</v>
      </c>
      <c r="E51" s="514">
        <f t="shared" si="4"/>
        <v>-42849</v>
      </c>
    </row>
    <row r="52" spans="1:5" s="506" customFormat="1" ht="12.75">
      <c r="A52" s="512">
        <v>6</v>
      </c>
      <c r="B52" s="511" t="s">
        <v>533</v>
      </c>
      <c r="C52" s="513">
        <v>95359</v>
      </c>
      <c r="D52" s="515">
        <v>74488</v>
      </c>
      <c r="E52" s="514">
        <f t="shared" si="4"/>
        <v>-20871</v>
      </c>
    </row>
    <row r="53" spans="1:5" s="506" customFormat="1" ht="12.75">
      <c r="A53" s="512">
        <v>7</v>
      </c>
      <c r="B53" s="511" t="s">
        <v>843</v>
      </c>
      <c r="C53" s="513">
        <v>33584</v>
      </c>
      <c r="D53" s="515">
        <v>24036</v>
      </c>
      <c r="E53" s="514">
        <f t="shared" si="4"/>
        <v>-9548</v>
      </c>
    </row>
    <row r="54" spans="1:5" s="506" customFormat="1" ht="12.75">
      <c r="A54" s="512"/>
      <c r="B54" s="516" t="s">
        <v>874</v>
      </c>
      <c r="C54" s="517">
        <f>SUM(C48+C49+C52)</f>
        <v>33315561</v>
      </c>
      <c r="D54" s="517">
        <f>SUM(D48+D49+D52)</f>
        <v>33861511</v>
      </c>
      <c r="E54" s="517">
        <f t="shared" si="4"/>
        <v>545950</v>
      </c>
    </row>
    <row r="55" spans="1:5" s="506" customFormat="1" ht="12.75">
      <c r="A55" s="512"/>
      <c r="B55" s="516" t="s">
        <v>803</v>
      </c>
      <c r="C55" s="517">
        <f>SUM(C47+C54)</f>
        <v>51239606</v>
      </c>
      <c r="D55" s="517">
        <f>SUM(D47+D54)</f>
        <v>53436115</v>
      </c>
      <c r="E55" s="517">
        <f t="shared" si="4"/>
        <v>2196509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457</v>
      </c>
      <c r="B57" s="509" t="s">
        <v>875</v>
      </c>
      <c r="C57" s="499"/>
      <c r="D57" s="515"/>
      <c r="E57" s="511"/>
    </row>
    <row r="58" spans="1:5" s="506" customFormat="1" ht="12.75">
      <c r="A58" s="512">
        <v>1</v>
      </c>
      <c r="B58" s="511" t="s">
        <v>736</v>
      </c>
      <c r="C58" s="513">
        <v>38044904</v>
      </c>
      <c r="D58" s="513">
        <v>41085749</v>
      </c>
      <c r="E58" s="514">
        <f aca="true" t="shared" si="5" ref="E58:E66">D58-C58</f>
        <v>3040845</v>
      </c>
    </row>
    <row r="59" spans="1:5" s="506" customFormat="1" ht="12.75">
      <c r="A59" s="512">
        <v>2</v>
      </c>
      <c r="B59" s="511" t="s">
        <v>715</v>
      </c>
      <c r="C59" s="513">
        <v>14985705</v>
      </c>
      <c r="D59" s="515">
        <v>16688591</v>
      </c>
      <c r="E59" s="514">
        <f t="shared" si="5"/>
        <v>1702886</v>
      </c>
    </row>
    <row r="60" spans="1:5" s="506" customFormat="1" ht="12.75">
      <c r="A60" s="512">
        <v>3</v>
      </c>
      <c r="B60" s="511" t="s">
        <v>861</v>
      </c>
      <c r="C60" s="513">
        <f>C61+C62</f>
        <v>7013506</v>
      </c>
      <c r="D60" s="515">
        <f>D61+D62</f>
        <v>7139492</v>
      </c>
      <c r="E60" s="514">
        <f t="shared" si="5"/>
        <v>125986</v>
      </c>
    </row>
    <row r="61" spans="1:5" s="506" customFormat="1" ht="12.75">
      <c r="A61" s="512">
        <v>4</v>
      </c>
      <c r="B61" s="511" t="s">
        <v>229</v>
      </c>
      <c r="C61" s="513">
        <v>5741056</v>
      </c>
      <c r="D61" s="515">
        <v>6268516</v>
      </c>
      <c r="E61" s="514">
        <f t="shared" si="5"/>
        <v>527460</v>
      </c>
    </row>
    <row r="62" spans="1:5" s="506" customFormat="1" ht="12.75">
      <c r="A62" s="512">
        <v>5</v>
      </c>
      <c r="B62" s="511" t="s">
        <v>828</v>
      </c>
      <c r="C62" s="513">
        <v>1272450</v>
      </c>
      <c r="D62" s="515">
        <v>870976</v>
      </c>
      <c r="E62" s="514">
        <f t="shared" si="5"/>
        <v>-401474</v>
      </c>
    </row>
    <row r="63" spans="1:5" s="506" customFormat="1" ht="12.75">
      <c r="A63" s="512">
        <v>6</v>
      </c>
      <c r="B63" s="511" t="s">
        <v>533</v>
      </c>
      <c r="C63" s="513">
        <v>162320</v>
      </c>
      <c r="D63" s="515">
        <v>96511</v>
      </c>
      <c r="E63" s="514">
        <f t="shared" si="5"/>
        <v>-65809</v>
      </c>
    </row>
    <row r="64" spans="1:5" s="506" customFormat="1" ht="12.75">
      <c r="A64" s="512">
        <v>7</v>
      </c>
      <c r="B64" s="511" t="s">
        <v>843</v>
      </c>
      <c r="C64" s="513">
        <v>327905</v>
      </c>
      <c r="D64" s="515">
        <v>267683</v>
      </c>
      <c r="E64" s="514">
        <f t="shared" si="5"/>
        <v>-60222</v>
      </c>
    </row>
    <row r="65" spans="1:5" s="506" customFormat="1" ht="12.75">
      <c r="A65" s="512"/>
      <c r="B65" s="516" t="s">
        <v>876</v>
      </c>
      <c r="C65" s="517">
        <f>SUM(C59+C60+C63)</f>
        <v>22161531</v>
      </c>
      <c r="D65" s="517">
        <f>SUM(D59+D60+D63)</f>
        <v>23924594</v>
      </c>
      <c r="E65" s="517">
        <f t="shared" si="5"/>
        <v>1763063</v>
      </c>
    </row>
    <row r="66" spans="1:5" s="506" customFormat="1" ht="12.75">
      <c r="A66" s="512"/>
      <c r="B66" s="516" t="s">
        <v>809</v>
      </c>
      <c r="C66" s="517">
        <f>SUM(C58+C65)</f>
        <v>60206435</v>
      </c>
      <c r="D66" s="517">
        <f>SUM(D58+D65)</f>
        <v>65010343</v>
      </c>
      <c r="E66" s="517">
        <f t="shared" si="5"/>
        <v>4803908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469</v>
      </c>
      <c r="B68" s="521" t="s">
        <v>734</v>
      </c>
      <c r="C68" s="511"/>
      <c r="D68" s="511"/>
      <c r="E68" s="511"/>
    </row>
    <row r="69" spans="1:5" s="506" customFormat="1" ht="12.75">
      <c r="A69" s="512">
        <v>1</v>
      </c>
      <c r="B69" s="511" t="s">
        <v>865</v>
      </c>
      <c r="C69" s="514">
        <f aca="true" t="shared" si="6" ref="C69:D75">C47+C58</f>
        <v>55968949</v>
      </c>
      <c r="D69" s="514">
        <f t="shared" si="6"/>
        <v>60660353</v>
      </c>
      <c r="E69" s="514">
        <f aca="true" t="shared" si="7" ref="E69:E77">D69-C69</f>
        <v>4691404</v>
      </c>
    </row>
    <row r="70" spans="1:5" s="506" customFormat="1" ht="12.75">
      <c r="A70" s="512">
        <v>2</v>
      </c>
      <c r="B70" s="511" t="s">
        <v>866</v>
      </c>
      <c r="C70" s="514">
        <f t="shared" si="6"/>
        <v>43528082</v>
      </c>
      <c r="D70" s="514">
        <f t="shared" si="6"/>
        <v>45920967</v>
      </c>
      <c r="E70" s="514">
        <f t="shared" si="7"/>
        <v>2392885</v>
      </c>
    </row>
    <row r="71" spans="1:5" s="506" customFormat="1" ht="12.75">
      <c r="A71" s="512">
        <v>3</v>
      </c>
      <c r="B71" s="511" t="s">
        <v>867</v>
      </c>
      <c r="C71" s="514">
        <f t="shared" si="6"/>
        <v>11691331</v>
      </c>
      <c r="D71" s="514">
        <f t="shared" si="6"/>
        <v>11694139</v>
      </c>
      <c r="E71" s="514">
        <f t="shared" si="7"/>
        <v>2808</v>
      </c>
    </row>
    <row r="72" spans="1:5" s="506" customFormat="1" ht="12.75">
      <c r="A72" s="512">
        <v>4</v>
      </c>
      <c r="B72" s="511" t="s">
        <v>868</v>
      </c>
      <c r="C72" s="514">
        <f t="shared" si="6"/>
        <v>9420308</v>
      </c>
      <c r="D72" s="514">
        <f t="shared" si="6"/>
        <v>9867439</v>
      </c>
      <c r="E72" s="514">
        <f t="shared" si="7"/>
        <v>447131</v>
      </c>
    </row>
    <row r="73" spans="1:5" s="506" customFormat="1" ht="12.75">
      <c r="A73" s="512">
        <v>5</v>
      </c>
      <c r="B73" s="511" t="s">
        <v>869</v>
      </c>
      <c r="C73" s="514">
        <f t="shared" si="6"/>
        <v>2271023</v>
      </c>
      <c r="D73" s="514">
        <f t="shared" si="6"/>
        <v>1826700</v>
      </c>
      <c r="E73" s="514">
        <f t="shared" si="7"/>
        <v>-444323</v>
      </c>
    </row>
    <row r="74" spans="1:5" s="506" customFormat="1" ht="12.75">
      <c r="A74" s="512">
        <v>6</v>
      </c>
      <c r="B74" s="511" t="s">
        <v>870</v>
      </c>
      <c r="C74" s="514">
        <f t="shared" si="6"/>
        <v>257679</v>
      </c>
      <c r="D74" s="514">
        <f t="shared" si="6"/>
        <v>170999</v>
      </c>
      <c r="E74" s="514">
        <f t="shared" si="7"/>
        <v>-86680</v>
      </c>
    </row>
    <row r="75" spans="1:5" s="506" customFormat="1" ht="12.75">
      <c r="A75" s="512">
        <v>7</v>
      </c>
      <c r="B75" s="511" t="s">
        <v>871</v>
      </c>
      <c r="C75" s="514">
        <f t="shared" si="6"/>
        <v>361489</v>
      </c>
      <c r="D75" s="514">
        <f t="shared" si="6"/>
        <v>291719</v>
      </c>
      <c r="E75" s="514">
        <f t="shared" si="7"/>
        <v>-69770</v>
      </c>
    </row>
    <row r="76" spans="1:5" s="506" customFormat="1" ht="12.75">
      <c r="A76" s="512"/>
      <c r="B76" s="516" t="s">
        <v>877</v>
      </c>
      <c r="C76" s="517">
        <f>SUM(C70+C71+C74)</f>
        <v>55477092</v>
      </c>
      <c r="D76" s="517">
        <f>SUM(D70+D71+D74)</f>
        <v>57786105</v>
      </c>
      <c r="E76" s="517">
        <f t="shared" si="7"/>
        <v>2309013</v>
      </c>
    </row>
    <row r="77" spans="1:5" s="506" customFormat="1" ht="12.75">
      <c r="A77" s="512"/>
      <c r="B77" s="516" t="s">
        <v>811</v>
      </c>
      <c r="C77" s="517">
        <f>SUM(C69+C76)</f>
        <v>111446041</v>
      </c>
      <c r="D77" s="517">
        <f>SUM(D69+D76)</f>
        <v>118446458</v>
      </c>
      <c r="E77" s="517">
        <f t="shared" si="7"/>
        <v>7000417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159</v>
      </c>
      <c r="B79" s="501" t="s">
        <v>878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129</v>
      </c>
      <c r="B81" s="522" t="s">
        <v>879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736</v>
      </c>
      <c r="C83" s="523">
        <f aca="true" t="shared" si="8" ref="C83:D89">IF(C$44=0,0,C14/C$44)</f>
        <v>0.135562883403681</v>
      </c>
      <c r="D83" s="523">
        <f t="shared" si="8"/>
        <v>0.12744639445279218</v>
      </c>
      <c r="E83" s="523">
        <f aca="true" t="shared" si="9" ref="E83:E91">D83-C83</f>
        <v>-0.008116488950888817</v>
      </c>
    </row>
    <row r="84" spans="1:5" s="506" customFormat="1" ht="12.75">
      <c r="A84" s="512">
        <v>2</v>
      </c>
      <c r="B84" s="511" t="s">
        <v>715</v>
      </c>
      <c r="C84" s="523">
        <f t="shared" si="8"/>
        <v>0.23774760680712162</v>
      </c>
      <c r="D84" s="523">
        <f t="shared" si="8"/>
        <v>0.2414181642730239</v>
      </c>
      <c r="E84" s="523">
        <f t="shared" si="9"/>
        <v>0.00367055746590228</v>
      </c>
    </row>
    <row r="85" spans="1:5" s="506" customFormat="1" ht="12.75">
      <c r="A85" s="512">
        <v>3</v>
      </c>
      <c r="B85" s="511" t="s">
        <v>861</v>
      </c>
      <c r="C85" s="523">
        <f t="shared" si="8"/>
        <v>0.050811676485264176</v>
      </c>
      <c r="D85" s="523">
        <f t="shared" si="8"/>
        <v>0.054731259863121294</v>
      </c>
      <c r="E85" s="523">
        <f t="shared" si="9"/>
        <v>0.003919583377857118</v>
      </c>
    </row>
    <row r="86" spans="1:5" s="506" customFormat="1" ht="12.75">
      <c r="A86" s="512">
        <v>4</v>
      </c>
      <c r="B86" s="511" t="s">
        <v>229</v>
      </c>
      <c r="C86" s="523">
        <f t="shared" si="8"/>
        <v>0.036903400035117585</v>
      </c>
      <c r="D86" s="523">
        <f t="shared" si="8"/>
        <v>0.03730036029393809</v>
      </c>
      <c r="E86" s="523">
        <f t="shared" si="9"/>
        <v>0.0003969602588205015</v>
      </c>
    </row>
    <row r="87" spans="1:5" s="506" customFormat="1" ht="12.75">
      <c r="A87" s="512">
        <v>5</v>
      </c>
      <c r="B87" s="511" t="s">
        <v>828</v>
      </c>
      <c r="C87" s="523">
        <f t="shared" si="8"/>
        <v>0.013908276450146594</v>
      </c>
      <c r="D87" s="523">
        <f t="shared" si="8"/>
        <v>0.017430899569183204</v>
      </c>
      <c r="E87" s="523">
        <f t="shared" si="9"/>
        <v>0.0035226231190366095</v>
      </c>
    </row>
    <row r="88" spans="1:5" s="506" customFormat="1" ht="12.75">
      <c r="A88" s="512">
        <v>6</v>
      </c>
      <c r="B88" s="511" t="s">
        <v>533</v>
      </c>
      <c r="C88" s="523">
        <f t="shared" si="8"/>
        <v>0.0009015468182914922</v>
      </c>
      <c r="D88" s="523">
        <f t="shared" si="8"/>
        <v>0.0005587146323062468</v>
      </c>
      <c r="E88" s="523">
        <f t="shared" si="9"/>
        <v>-0.0003428321859852454</v>
      </c>
    </row>
    <row r="89" spans="1:5" s="506" customFormat="1" ht="12.75">
      <c r="A89" s="512">
        <v>7</v>
      </c>
      <c r="B89" s="511" t="s">
        <v>843</v>
      </c>
      <c r="C89" s="523">
        <f t="shared" si="8"/>
        <v>0.005160101946956132</v>
      </c>
      <c r="D89" s="523">
        <f t="shared" si="8"/>
        <v>0.002522099617117427</v>
      </c>
      <c r="E89" s="523">
        <f t="shared" si="9"/>
        <v>-0.002638002329838705</v>
      </c>
    </row>
    <row r="90" spans="1:5" s="506" customFormat="1" ht="12.75">
      <c r="A90" s="512"/>
      <c r="B90" s="516" t="s">
        <v>880</v>
      </c>
      <c r="C90" s="524">
        <f>SUM(C84+C85+C88)</f>
        <v>0.28946083011067725</v>
      </c>
      <c r="D90" s="524">
        <f>SUM(D84+D85+D88)</f>
        <v>0.2967081387684514</v>
      </c>
      <c r="E90" s="525">
        <f t="shared" si="9"/>
        <v>0.007247308657774176</v>
      </c>
    </row>
    <row r="91" spans="1:5" s="506" customFormat="1" ht="12.75">
      <c r="A91" s="512"/>
      <c r="B91" s="516" t="s">
        <v>881</v>
      </c>
      <c r="C91" s="524">
        <f>SUM(C83+C90)</f>
        <v>0.42502371351435825</v>
      </c>
      <c r="D91" s="524">
        <f>SUM(D83+D90)</f>
        <v>0.42415453322124363</v>
      </c>
      <c r="E91" s="525">
        <f t="shared" si="9"/>
        <v>-0.0008691802931146131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141</v>
      </c>
      <c r="B93" s="522" t="s">
        <v>882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736</v>
      </c>
      <c r="C95" s="523">
        <f aca="true" t="shared" si="10" ref="C95:D101">IF(C$44=0,0,C25/C$44)</f>
        <v>0.3044360285521033</v>
      </c>
      <c r="D95" s="523">
        <f t="shared" si="10"/>
        <v>0.2900325111875692</v>
      </c>
      <c r="E95" s="523">
        <f aca="true" t="shared" si="11" ref="E95:E103">D95-C95</f>
        <v>-0.014403517364534102</v>
      </c>
    </row>
    <row r="96" spans="1:5" s="506" customFormat="1" ht="12.75">
      <c r="A96" s="512">
        <v>2</v>
      </c>
      <c r="B96" s="511" t="s">
        <v>715</v>
      </c>
      <c r="C96" s="523">
        <f t="shared" si="10"/>
        <v>0.18751298566111294</v>
      </c>
      <c r="D96" s="523">
        <f t="shared" si="10"/>
        <v>0.1984863514715046</v>
      </c>
      <c r="E96" s="523">
        <f t="shared" si="11"/>
        <v>0.010973365810391655</v>
      </c>
    </row>
    <row r="97" spans="1:5" s="506" customFormat="1" ht="12.75">
      <c r="A97" s="512">
        <v>3</v>
      </c>
      <c r="B97" s="511" t="s">
        <v>861</v>
      </c>
      <c r="C97" s="523">
        <f t="shared" si="10"/>
        <v>0.08089099847927822</v>
      </c>
      <c r="D97" s="523">
        <f t="shared" si="10"/>
        <v>0.086140239890169</v>
      </c>
      <c r="E97" s="523">
        <f t="shared" si="11"/>
        <v>0.0052492414108907814</v>
      </c>
    </row>
    <row r="98" spans="1:5" s="506" customFormat="1" ht="12.75">
      <c r="A98" s="512">
        <v>4</v>
      </c>
      <c r="B98" s="511" t="s">
        <v>229</v>
      </c>
      <c r="C98" s="523">
        <f t="shared" si="10"/>
        <v>0.06253414526165381</v>
      </c>
      <c r="D98" s="523">
        <f t="shared" si="10"/>
        <v>0.06592703724925641</v>
      </c>
      <c r="E98" s="523">
        <f t="shared" si="11"/>
        <v>0.003392891987602606</v>
      </c>
    </row>
    <row r="99" spans="1:5" s="506" customFormat="1" ht="12.75">
      <c r="A99" s="512">
        <v>5</v>
      </c>
      <c r="B99" s="511" t="s">
        <v>828</v>
      </c>
      <c r="C99" s="523">
        <f t="shared" si="10"/>
        <v>0.018356853217624418</v>
      </c>
      <c r="D99" s="523">
        <f t="shared" si="10"/>
        <v>0.020213202640912597</v>
      </c>
      <c r="E99" s="523">
        <f t="shared" si="11"/>
        <v>0.001856349423288179</v>
      </c>
    </row>
    <row r="100" spans="1:5" s="506" customFormat="1" ht="12.75">
      <c r="A100" s="512">
        <v>6</v>
      </c>
      <c r="B100" s="511" t="s">
        <v>533</v>
      </c>
      <c r="C100" s="523">
        <f t="shared" si="10"/>
        <v>0.0021362737931472637</v>
      </c>
      <c r="D100" s="523">
        <f t="shared" si="10"/>
        <v>0.0011863642295135994</v>
      </c>
      <c r="E100" s="523">
        <f t="shared" si="11"/>
        <v>-0.0009499095636336643</v>
      </c>
    </row>
    <row r="101" spans="1:5" s="506" customFormat="1" ht="12.75">
      <c r="A101" s="512">
        <v>7</v>
      </c>
      <c r="B101" s="511" t="s">
        <v>843</v>
      </c>
      <c r="C101" s="523">
        <f t="shared" si="10"/>
        <v>0.017179594021034465</v>
      </c>
      <c r="D101" s="523">
        <f t="shared" si="10"/>
        <v>0.015421211697508862</v>
      </c>
      <c r="E101" s="523">
        <f t="shared" si="11"/>
        <v>-0.0017583823235256032</v>
      </c>
    </row>
    <row r="102" spans="1:5" s="506" customFormat="1" ht="12.75">
      <c r="A102" s="512"/>
      <c r="B102" s="516" t="s">
        <v>883</v>
      </c>
      <c r="C102" s="524">
        <f>SUM(C96+C97+C100)</f>
        <v>0.27054025793353836</v>
      </c>
      <c r="D102" s="524">
        <f>SUM(D96+D97+D100)</f>
        <v>0.2858129555911872</v>
      </c>
      <c r="E102" s="525">
        <f t="shared" si="11"/>
        <v>0.015272697657648826</v>
      </c>
    </row>
    <row r="103" spans="1:5" s="506" customFormat="1" ht="12.75">
      <c r="A103" s="512"/>
      <c r="B103" s="516" t="s">
        <v>884</v>
      </c>
      <c r="C103" s="524">
        <f>SUM(C95+C102)</f>
        <v>0.5749762864856416</v>
      </c>
      <c r="D103" s="524">
        <f>SUM(D95+D102)</f>
        <v>0.5758454667787564</v>
      </c>
      <c r="E103" s="525">
        <f t="shared" si="11"/>
        <v>0.0008691802931147796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885</v>
      </c>
      <c r="C105" s="525">
        <f>C91+C103</f>
        <v>0.9999999999999998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151</v>
      </c>
      <c r="B107" s="522" t="s">
        <v>886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736</v>
      </c>
      <c r="C109" s="523">
        <f aca="true" t="shared" si="12" ref="C109:D115">IF(C$77=0,0,C47/C$77)</f>
        <v>0.16083159921311158</v>
      </c>
      <c r="D109" s="523">
        <f t="shared" si="12"/>
        <v>0.16526120181660475</v>
      </c>
      <c r="E109" s="523">
        <f aca="true" t="shared" si="13" ref="E109:E117">D109-C109</f>
        <v>0.004429602603493177</v>
      </c>
    </row>
    <row r="110" spans="1:5" s="506" customFormat="1" ht="12.75">
      <c r="A110" s="512">
        <v>2</v>
      </c>
      <c r="B110" s="511" t="s">
        <v>715</v>
      </c>
      <c r="C110" s="523">
        <f t="shared" si="12"/>
        <v>0.2561093848098202</v>
      </c>
      <c r="D110" s="523">
        <f t="shared" si="12"/>
        <v>0.2467982284451258</v>
      </c>
      <c r="E110" s="523">
        <f t="shared" si="13"/>
        <v>-0.0093111563646944</v>
      </c>
    </row>
    <row r="111" spans="1:5" s="506" customFormat="1" ht="12.75">
      <c r="A111" s="512">
        <v>3</v>
      </c>
      <c r="B111" s="511" t="s">
        <v>861</v>
      </c>
      <c r="C111" s="523">
        <f t="shared" si="12"/>
        <v>0.041973900176498866</v>
      </c>
      <c r="D111" s="523">
        <f t="shared" si="12"/>
        <v>0.038453214025192715</v>
      </c>
      <c r="E111" s="523">
        <f t="shared" si="13"/>
        <v>-0.00352068615130615</v>
      </c>
    </row>
    <row r="112" spans="1:5" s="506" customFormat="1" ht="12.75">
      <c r="A112" s="512">
        <v>4</v>
      </c>
      <c r="B112" s="511" t="s">
        <v>229</v>
      </c>
      <c r="C112" s="523">
        <f t="shared" si="12"/>
        <v>0.03301375236828736</v>
      </c>
      <c r="D112" s="523">
        <f t="shared" si="12"/>
        <v>0.03038438684253437</v>
      </c>
      <c r="E112" s="523">
        <f t="shared" si="13"/>
        <v>-0.002629365525752988</v>
      </c>
    </row>
    <row r="113" spans="1:5" s="506" customFormat="1" ht="12.75">
      <c r="A113" s="512">
        <v>5</v>
      </c>
      <c r="B113" s="511" t="s">
        <v>828</v>
      </c>
      <c r="C113" s="523">
        <f t="shared" si="12"/>
        <v>0.00896014780821151</v>
      </c>
      <c r="D113" s="523">
        <f t="shared" si="12"/>
        <v>0.008068827182658346</v>
      </c>
      <c r="E113" s="523">
        <f t="shared" si="13"/>
        <v>-0.0008913206255531641</v>
      </c>
    </row>
    <row r="114" spans="1:5" s="506" customFormat="1" ht="12.75">
      <c r="A114" s="512">
        <v>6</v>
      </c>
      <c r="B114" s="511" t="s">
        <v>533</v>
      </c>
      <c r="C114" s="523">
        <f t="shared" si="12"/>
        <v>0.0008556517498903349</v>
      </c>
      <c r="D114" s="523">
        <f t="shared" si="12"/>
        <v>0.0006288748625982552</v>
      </c>
      <c r="E114" s="523">
        <f t="shared" si="13"/>
        <v>-0.0002267768872920797</v>
      </c>
    </row>
    <row r="115" spans="1:5" s="506" customFormat="1" ht="12.75">
      <c r="A115" s="512">
        <v>7</v>
      </c>
      <c r="B115" s="511" t="s">
        <v>843</v>
      </c>
      <c r="C115" s="523">
        <f t="shared" si="12"/>
        <v>0.0003013476270547825</v>
      </c>
      <c r="D115" s="523">
        <f t="shared" si="12"/>
        <v>0.00020292713185226694</v>
      </c>
      <c r="E115" s="523">
        <f t="shared" si="13"/>
        <v>-9.842049520251555E-05</v>
      </c>
    </row>
    <row r="116" spans="1:5" s="506" customFormat="1" ht="12.75">
      <c r="A116" s="512"/>
      <c r="B116" s="516" t="s">
        <v>880</v>
      </c>
      <c r="C116" s="524">
        <f>SUM(C110+C111+C114)</f>
        <v>0.2989389367362094</v>
      </c>
      <c r="D116" s="524">
        <f>SUM(D110+D111+D114)</f>
        <v>0.2858803173329168</v>
      </c>
      <c r="E116" s="525">
        <f t="shared" si="13"/>
        <v>-0.013058619403292615</v>
      </c>
    </row>
    <row r="117" spans="1:5" s="506" customFormat="1" ht="12.75">
      <c r="A117" s="512"/>
      <c r="B117" s="516" t="s">
        <v>881</v>
      </c>
      <c r="C117" s="524">
        <f>SUM(C109+C116)</f>
        <v>0.459770535949321</v>
      </c>
      <c r="D117" s="524">
        <f>SUM(D109+D116)</f>
        <v>0.45114151914952155</v>
      </c>
      <c r="E117" s="525">
        <f t="shared" si="13"/>
        <v>-0.008629016799799438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436</v>
      </c>
      <c r="B119" s="522" t="s">
        <v>887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736</v>
      </c>
      <c r="C121" s="523">
        <f aca="true" t="shared" si="14" ref="C121:D127">IF(C$77=0,0,C58/C$77)</f>
        <v>0.34137510546471544</v>
      </c>
      <c r="D121" s="523">
        <f t="shared" si="14"/>
        <v>0.3468719089936822</v>
      </c>
      <c r="E121" s="523">
        <f aca="true" t="shared" si="15" ref="E121:E129">D121-C121</f>
        <v>0.005496803528966754</v>
      </c>
    </row>
    <row r="122" spans="1:5" s="506" customFormat="1" ht="12.75">
      <c r="A122" s="512">
        <v>2</v>
      </c>
      <c r="B122" s="511" t="s">
        <v>715</v>
      </c>
      <c r="C122" s="523">
        <f t="shared" si="14"/>
        <v>0.13446601481339296</v>
      </c>
      <c r="D122" s="523">
        <f t="shared" si="14"/>
        <v>0.14089565261630702</v>
      </c>
      <c r="E122" s="523">
        <f t="shared" si="15"/>
        <v>0.006429637802914057</v>
      </c>
    </row>
    <row r="123" spans="1:5" s="506" customFormat="1" ht="12.75">
      <c r="A123" s="512">
        <v>3</v>
      </c>
      <c r="B123" s="511" t="s">
        <v>861</v>
      </c>
      <c r="C123" s="523">
        <f t="shared" si="14"/>
        <v>0.0629318541696784</v>
      </c>
      <c r="D123" s="523">
        <f t="shared" si="14"/>
        <v>0.06027611226669184</v>
      </c>
      <c r="E123" s="523">
        <f t="shared" si="15"/>
        <v>-0.0026557419029865637</v>
      </c>
    </row>
    <row r="124" spans="1:5" s="506" customFormat="1" ht="12.75">
      <c r="A124" s="512">
        <v>4</v>
      </c>
      <c r="B124" s="511" t="s">
        <v>229</v>
      </c>
      <c r="C124" s="523">
        <f t="shared" si="14"/>
        <v>0.05151422112877029</v>
      </c>
      <c r="D124" s="523">
        <f t="shared" si="14"/>
        <v>0.052922781363373486</v>
      </c>
      <c r="E124" s="523">
        <f t="shared" si="15"/>
        <v>0.0014085602346031942</v>
      </c>
    </row>
    <row r="125" spans="1:5" s="506" customFormat="1" ht="12.75">
      <c r="A125" s="512">
        <v>5</v>
      </c>
      <c r="B125" s="511" t="s">
        <v>828</v>
      </c>
      <c r="C125" s="523">
        <f t="shared" si="14"/>
        <v>0.01141763304090811</v>
      </c>
      <c r="D125" s="523">
        <f t="shared" si="14"/>
        <v>0.007353330903318358</v>
      </c>
      <c r="E125" s="523">
        <f t="shared" si="15"/>
        <v>-0.004064302137589752</v>
      </c>
    </row>
    <row r="126" spans="1:5" s="506" customFormat="1" ht="12.75">
      <c r="A126" s="512">
        <v>6</v>
      </c>
      <c r="B126" s="511" t="s">
        <v>533</v>
      </c>
      <c r="C126" s="523">
        <f t="shared" si="14"/>
        <v>0.0014564896028922195</v>
      </c>
      <c r="D126" s="523">
        <f t="shared" si="14"/>
        <v>0.0008148069737973929</v>
      </c>
      <c r="E126" s="523">
        <f t="shared" si="15"/>
        <v>-0.0006416826290948266</v>
      </c>
    </row>
    <row r="127" spans="1:5" s="506" customFormat="1" ht="12.75">
      <c r="A127" s="512">
        <v>7</v>
      </c>
      <c r="B127" s="511" t="s">
        <v>843</v>
      </c>
      <c r="C127" s="523">
        <f t="shared" si="14"/>
        <v>0.002942275894753408</v>
      </c>
      <c r="D127" s="523">
        <f t="shared" si="14"/>
        <v>0.0022599493857384913</v>
      </c>
      <c r="E127" s="523">
        <f t="shared" si="15"/>
        <v>-0.0006823265090149166</v>
      </c>
    </row>
    <row r="128" spans="1:5" s="506" customFormat="1" ht="12.75">
      <c r="A128" s="512"/>
      <c r="B128" s="516" t="s">
        <v>883</v>
      </c>
      <c r="C128" s="524">
        <f>SUM(C122+C123+C126)</f>
        <v>0.1988543585859636</v>
      </c>
      <c r="D128" s="524">
        <f>SUM(D122+D123+D126)</f>
        <v>0.20198657185679628</v>
      </c>
      <c r="E128" s="525">
        <f t="shared" si="15"/>
        <v>0.0031322132708326844</v>
      </c>
    </row>
    <row r="129" spans="1:5" s="506" customFormat="1" ht="12.75">
      <c r="A129" s="512"/>
      <c r="B129" s="516" t="s">
        <v>884</v>
      </c>
      <c r="C129" s="524">
        <f>SUM(C121+C128)</f>
        <v>0.5402294640506791</v>
      </c>
      <c r="D129" s="524">
        <f>SUM(D121+D128)</f>
        <v>0.5488584808504785</v>
      </c>
      <c r="E129" s="525">
        <f t="shared" si="15"/>
        <v>0.008629016799799438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888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250</v>
      </c>
      <c r="B133" s="501" t="s">
        <v>889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129</v>
      </c>
      <c r="B135" s="509" t="s">
        <v>890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736</v>
      </c>
      <c r="C137" s="530">
        <v>2879</v>
      </c>
      <c r="D137" s="530">
        <v>2731</v>
      </c>
      <c r="E137" s="531">
        <f aca="true" t="shared" si="16" ref="E137:E145">D137-C137</f>
        <v>-148</v>
      </c>
    </row>
    <row r="138" spans="1:5" s="506" customFormat="1" ht="12.75">
      <c r="A138" s="512">
        <v>2</v>
      </c>
      <c r="B138" s="511" t="s">
        <v>715</v>
      </c>
      <c r="C138" s="530">
        <v>3640</v>
      </c>
      <c r="D138" s="530">
        <v>3597</v>
      </c>
      <c r="E138" s="531">
        <f t="shared" si="16"/>
        <v>-43</v>
      </c>
    </row>
    <row r="139" spans="1:5" s="506" customFormat="1" ht="12.75">
      <c r="A139" s="512">
        <v>3</v>
      </c>
      <c r="B139" s="511" t="s">
        <v>861</v>
      </c>
      <c r="C139" s="530">
        <f>C140+C141</f>
        <v>1486</v>
      </c>
      <c r="D139" s="530">
        <f>D140+D141</f>
        <v>1507</v>
      </c>
      <c r="E139" s="531">
        <f t="shared" si="16"/>
        <v>21</v>
      </c>
    </row>
    <row r="140" spans="1:5" s="506" customFormat="1" ht="12.75">
      <c r="A140" s="512">
        <v>4</v>
      </c>
      <c r="B140" s="511" t="s">
        <v>229</v>
      </c>
      <c r="C140" s="530">
        <v>1106</v>
      </c>
      <c r="D140" s="530">
        <v>1084</v>
      </c>
      <c r="E140" s="531">
        <f t="shared" si="16"/>
        <v>-22</v>
      </c>
    </row>
    <row r="141" spans="1:5" s="506" customFormat="1" ht="12.75">
      <c r="A141" s="512">
        <v>5</v>
      </c>
      <c r="B141" s="511" t="s">
        <v>828</v>
      </c>
      <c r="C141" s="530">
        <v>380</v>
      </c>
      <c r="D141" s="530">
        <v>423</v>
      </c>
      <c r="E141" s="531">
        <f t="shared" si="16"/>
        <v>43</v>
      </c>
    </row>
    <row r="142" spans="1:5" s="506" customFormat="1" ht="12.75">
      <c r="A142" s="512">
        <v>6</v>
      </c>
      <c r="B142" s="511" t="s">
        <v>533</v>
      </c>
      <c r="C142" s="530">
        <v>11</v>
      </c>
      <c r="D142" s="530">
        <v>11</v>
      </c>
      <c r="E142" s="531">
        <f t="shared" si="16"/>
        <v>0</v>
      </c>
    </row>
    <row r="143" spans="1:5" s="506" customFormat="1" ht="12.75">
      <c r="A143" s="512">
        <v>7</v>
      </c>
      <c r="B143" s="511" t="s">
        <v>843</v>
      </c>
      <c r="C143" s="530">
        <v>80</v>
      </c>
      <c r="D143" s="530">
        <v>43</v>
      </c>
      <c r="E143" s="531">
        <f t="shared" si="16"/>
        <v>-37</v>
      </c>
    </row>
    <row r="144" spans="1:5" s="506" customFormat="1" ht="12.75">
      <c r="A144" s="512"/>
      <c r="B144" s="516" t="s">
        <v>891</v>
      </c>
      <c r="C144" s="532">
        <f>SUM(C138+C139+C142)</f>
        <v>5137</v>
      </c>
      <c r="D144" s="532">
        <f>SUM(D138+D139+D142)</f>
        <v>5115</v>
      </c>
      <c r="E144" s="533">
        <f t="shared" si="16"/>
        <v>-22</v>
      </c>
    </row>
    <row r="145" spans="1:5" s="506" customFormat="1" ht="12.75">
      <c r="A145" s="512"/>
      <c r="B145" s="516" t="s">
        <v>805</v>
      </c>
      <c r="C145" s="532">
        <f>SUM(C137+C144)</f>
        <v>8016</v>
      </c>
      <c r="D145" s="532">
        <f>SUM(D137+D144)</f>
        <v>7846</v>
      </c>
      <c r="E145" s="533">
        <f t="shared" si="16"/>
        <v>-170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141</v>
      </c>
      <c r="B147" s="509" t="s">
        <v>254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736</v>
      </c>
      <c r="C149" s="534">
        <v>9701</v>
      </c>
      <c r="D149" s="534">
        <v>8932</v>
      </c>
      <c r="E149" s="531">
        <f aca="true" t="shared" si="17" ref="E149:E157">D149-C149</f>
        <v>-769</v>
      </c>
    </row>
    <row r="150" spans="1:5" s="506" customFormat="1" ht="12.75">
      <c r="A150" s="512">
        <v>2</v>
      </c>
      <c r="B150" s="511" t="s">
        <v>715</v>
      </c>
      <c r="C150" s="534">
        <v>18360</v>
      </c>
      <c r="D150" s="534">
        <v>19311</v>
      </c>
      <c r="E150" s="531">
        <f t="shared" si="17"/>
        <v>951</v>
      </c>
    </row>
    <row r="151" spans="1:5" s="506" customFormat="1" ht="12.75">
      <c r="A151" s="512">
        <v>3</v>
      </c>
      <c r="B151" s="511" t="s">
        <v>861</v>
      </c>
      <c r="C151" s="534">
        <f>C152+C153</f>
        <v>5157</v>
      </c>
      <c r="D151" s="534">
        <f>D152+D153</f>
        <v>5370</v>
      </c>
      <c r="E151" s="531">
        <f t="shared" si="17"/>
        <v>213</v>
      </c>
    </row>
    <row r="152" spans="1:5" s="506" customFormat="1" ht="12.75">
      <c r="A152" s="512">
        <v>4</v>
      </c>
      <c r="B152" s="511" t="s">
        <v>229</v>
      </c>
      <c r="C152" s="534">
        <v>3633</v>
      </c>
      <c r="D152" s="534">
        <v>3662</v>
      </c>
      <c r="E152" s="531">
        <f t="shared" si="17"/>
        <v>29</v>
      </c>
    </row>
    <row r="153" spans="1:5" s="506" customFormat="1" ht="12.75">
      <c r="A153" s="512">
        <v>5</v>
      </c>
      <c r="B153" s="511" t="s">
        <v>828</v>
      </c>
      <c r="C153" s="535">
        <v>1524</v>
      </c>
      <c r="D153" s="534">
        <v>1708</v>
      </c>
      <c r="E153" s="531">
        <f t="shared" si="17"/>
        <v>184</v>
      </c>
    </row>
    <row r="154" spans="1:5" s="506" customFormat="1" ht="12.75">
      <c r="A154" s="512">
        <v>6</v>
      </c>
      <c r="B154" s="511" t="s">
        <v>533</v>
      </c>
      <c r="C154" s="534">
        <v>40</v>
      </c>
      <c r="D154" s="534">
        <v>45</v>
      </c>
      <c r="E154" s="531">
        <f t="shared" si="17"/>
        <v>5</v>
      </c>
    </row>
    <row r="155" spans="1:5" s="506" customFormat="1" ht="12.75">
      <c r="A155" s="512">
        <v>7</v>
      </c>
      <c r="B155" s="511" t="s">
        <v>843</v>
      </c>
      <c r="C155" s="534">
        <v>370</v>
      </c>
      <c r="D155" s="534">
        <v>205</v>
      </c>
      <c r="E155" s="531">
        <f t="shared" si="17"/>
        <v>-165</v>
      </c>
    </row>
    <row r="156" spans="1:5" s="506" customFormat="1" ht="12.75">
      <c r="A156" s="512"/>
      <c r="B156" s="516" t="s">
        <v>892</v>
      </c>
      <c r="C156" s="532">
        <f>SUM(C150+C151+C154)</f>
        <v>23557</v>
      </c>
      <c r="D156" s="532">
        <f>SUM(D150+D151+D154)</f>
        <v>24726</v>
      </c>
      <c r="E156" s="533">
        <f t="shared" si="17"/>
        <v>1169</v>
      </c>
    </row>
    <row r="157" spans="1:5" s="506" customFormat="1" ht="12.75">
      <c r="A157" s="512"/>
      <c r="B157" s="516" t="s">
        <v>893</v>
      </c>
      <c r="C157" s="532">
        <f>SUM(C149+C156)</f>
        <v>33258</v>
      </c>
      <c r="D157" s="532">
        <f>SUM(D149+D156)</f>
        <v>33658</v>
      </c>
      <c r="E157" s="533">
        <f t="shared" si="17"/>
        <v>400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151</v>
      </c>
      <c r="B159" s="509" t="s">
        <v>894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736</v>
      </c>
      <c r="C161" s="536">
        <f aca="true" t="shared" si="18" ref="C161:D169">IF(C137=0,0,C149/C137)</f>
        <v>3.369572768322334</v>
      </c>
      <c r="D161" s="536">
        <f t="shared" si="18"/>
        <v>3.2705968509703407</v>
      </c>
      <c r="E161" s="537">
        <f aca="true" t="shared" si="19" ref="E161:E169">D161-C161</f>
        <v>-0.09897591735199329</v>
      </c>
    </row>
    <row r="162" spans="1:5" s="506" customFormat="1" ht="12.75">
      <c r="A162" s="512">
        <v>2</v>
      </c>
      <c r="B162" s="511" t="s">
        <v>715</v>
      </c>
      <c r="C162" s="536">
        <f t="shared" si="18"/>
        <v>5.043956043956044</v>
      </c>
      <c r="D162" s="536">
        <f t="shared" si="18"/>
        <v>5.368640533778149</v>
      </c>
      <c r="E162" s="537">
        <f t="shared" si="19"/>
        <v>0.32468448982210507</v>
      </c>
    </row>
    <row r="163" spans="1:5" s="506" customFormat="1" ht="12.75">
      <c r="A163" s="512">
        <v>3</v>
      </c>
      <c r="B163" s="511" t="s">
        <v>861</v>
      </c>
      <c r="C163" s="536">
        <f t="shared" si="18"/>
        <v>3.470390309555855</v>
      </c>
      <c r="D163" s="536">
        <f t="shared" si="18"/>
        <v>3.5633709356337095</v>
      </c>
      <c r="E163" s="537">
        <f t="shared" si="19"/>
        <v>0.09298062607785473</v>
      </c>
    </row>
    <row r="164" spans="1:5" s="506" customFormat="1" ht="12.75">
      <c r="A164" s="512">
        <v>4</v>
      </c>
      <c r="B164" s="511" t="s">
        <v>229</v>
      </c>
      <c r="C164" s="536">
        <f t="shared" si="18"/>
        <v>3.2848101265822787</v>
      </c>
      <c r="D164" s="536">
        <f t="shared" si="18"/>
        <v>3.378228782287823</v>
      </c>
      <c r="E164" s="537">
        <f t="shared" si="19"/>
        <v>0.0934186557055443</v>
      </c>
    </row>
    <row r="165" spans="1:5" s="506" customFormat="1" ht="12.75">
      <c r="A165" s="512">
        <v>5</v>
      </c>
      <c r="B165" s="511" t="s">
        <v>828</v>
      </c>
      <c r="C165" s="536">
        <f t="shared" si="18"/>
        <v>4.010526315789473</v>
      </c>
      <c r="D165" s="536">
        <f t="shared" si="18"/>
        <v>4.037825059101655</v>
      </c>
      <c r="E165" s="537">
        <f t="shared" si="19"/>
        <v>0.027298743312181628</v>
      </c>
    </row>
    <row r="166" spans="1:5" s="506" customFormat="1" ht="12.75">
      <c r="A166" s="512">
        <v>6</v>
      </c>
      <c r="B166" s="511" t="s">
        <v>533</v>
      </c>
      <c r="C166" s="536">
        <f t="shared" si="18"/>
        <v>3.6363636363636362</v>
      </c>
      <c r="D166" s="536">
        <f t="shared" si="18"/>
        <v>4.090909090909091</v>
      </c>
      <c r="E166" s="537">
        <f t="shared" si="19"/>
        <v>0.4545454545454546</v>
      </c>
    </row>
    <row r="167" spans="1:5" s="506" customFormat="1" ht="12.75">
      <c r="A167" s="512">
        <v>7</v>
      </c>
      <c r="B167" s="511" t="s">
        <v>843</v>
      </c>
      <c r="C167" s="536">
        <f t="shared" si="18"/>
        <v>4.625</v>
      </c>
      <c r="D167" s="536">
        <f t="shared" si="18"/>
        <v>4.767441860465116</v>
      </c>
      <c r="E167" s="537">
        <f t="shared" si="19"/>
        <v>0.14244186046511587</v>
      </c>
    </row>
    <row r="168" spans="1:5" s="506" customFormat="1" ht="12.75">
      <c r="A168" s="512"/>
      <c r="B168" s="516" t="s">
        <v>895</v>
      </c>
      <c r="C168" s="538">
        <f t="shared" si="18"/>
        <v>4.585750437998832</v>
      </c>
      <c r="D168" s="538">
        <f t="shared" si="18"/>
        <v>4.834017595307918</v>
      </c>
      <c r="E168" s="539">
        <f t="shared" si="19"/>
        <v>0.248267157309086</v>
      </c>
    </row>
    <row r="169" spans="1:5" s="506" customFormat="1" ht="12.75">
      <c r="A169" s="512"/>
      <c r="B169" s="516" t="s">
        <v>829</v>
      </c>
      <c r="C169" s="538">
        <f t="shared" si="18"/>
        <v>4.148952095808383</v>
      </c>
      <c r="D169" s="538">
        <f t="shared" si="18"/>
        <v>4.289829212337497</v>
      </c>
      <c r="E169" s="539">
        <f t="shared" si="19"/>
        <v>0.14087711652911405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436</v>
      </c>
      <c r="B171" s="509" t="s">
        <v>896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736</v>
      </c>
      <c r="C173" s="541">
        <f aca="true" t="shared" si="20" ref="C173:D181">IF(C137=0,0,C203/C137)</f>
        <v>0.9693</v>
      </c>
      <c r="D173" s="541">
        <f t="shared" si="20"/>
        <v>0.9559</v>
      </c>
      <c r="E173" s="542">
        <f aca="true" t="shared" si="21" ref="E173:E181">D173-C173</f>
        <v>-0.013400000000000079</v>
      </c>
    </row>
    <row r="174" spans="1:5" s="506" customFormat="1" ht="12.75">
      <c r="A174" s="512">
        <v>2</v>
      </c>
      <c r="B174" s="511" t="s">
        <v>715</v>
      </c>
      <c r="C174" s="541">
        <f t="shared" si="20"/>
        <v>1.2802</v>
      </c>
      <c r="D174" s="541">
        <f t="shared" si="20"/>
        <v>1.3004</v>
      </c>
      <c r="E174" s="542">
        <f t="shared" si="21"/>
        <v>0.020199999999999996</v>
      </c>
    </row>
    <row r="175" spans="1:5" s="506" customFormat="1" ht="12.75">
      <c r="A175" s="512">
        <v>0</v>
      </c>
      <c r="B175" s="511" t="s">
        <v>861</v>
      </c>
      <c r="C175" s="541">
        <f t="shared" si="20"/>
        <v>0.8089153432032302</v>
      </c>
      <c r="D175" s="541">
        <f t="shared" si="20"/>
        <v>0.8292006635700065</v>
      </c>
      <c r="E175" s="542">
        <f t="shared" si="21"/>
        <v>0.020285320366776327</v>
      </c>
    </row>
    <row r="176" spans="1:5" s="506" customFormat="1" ht="12.75">
      <c r="A176" s="512">
        <v>4</v>
      </c>
      <c r="B176" s="511" t="s">
        <v>229</v>
      </c>
      <c r="C176" s="541">
        <f t="shared" si="20"/>
        <v>0.7747</v>
      </c>
      <c r="D176" s="541">
        <f t="shared" si="20"/>
        <v>0.8029</v>
      </c>
      <c r="E176" s="542">
        <f t="shared" si="21"/>
        <v>0.028199999999999892</v>
      </c>
    </row>
    <row r="177" spans="1:5" s="506" customFormat="1" ht="12.75">
      <c r="A177" s="512">
        <v>5</v>
      </c>
      <c r="B177" s="511" t="s">
        <v>828</v>
      </c>
      <c r="C177" s="541">
        <f t="shared" si="20"/>
        <v>0.9085000000000001</v>
      </c>
      <c r="D177" s="541">
        <f t="shared" si="20"/>
        <v>0.8966</v>
      </c>
      <c r="E177" s="542">
        <f t="shared" si="21"/>
        <v>-0.011900000000000133</v>
      </c>
    </row>
    <row r="178" spans="1:5" s="506" customFormat="1" ht="12.75">
      <c r="A178" s="512">
        <v>6</v>
      </c>
      <c r="B178" s="511" t="s">
        <v>533</v>
      </c>
      <c r="C178" s="541">
        <f t="shared" si="20"/>
        <v>1.6674</v>
      </c>
      <c r="D178" s="541">
        <f t="shared" si="20"/>
        <v>1.054</v>
      </c>
      <c r="E178" s="542">
        <f t="shared" si="21"/>
        <v>-0.6134</v>
      </c>
    </row>
    <row r="179" spans="1:5" s="506" customFormat="1" ht="12.75">
      <c r="A179" s="512">
        <v>7</v>
      </c>
      <c r="B179" s="511" t="s">
        <v>843</v>
      </c>
      <c r="C179" s="541">
        <f t="shared" si="20"/>
        <v>0.9295</v>
      </c>
      <c r="D179" s="541">
        <f t="shared" si="20"/>
        <v>0.9646</v>
      </c>
      <c r="E179" s="542">
        <f t="shared" si="21"/>
        <v>0.03510000000000002</v>
      </c>
    </row>
    <row r="180" spans="1:5" s="506" customFormat="1" ht="12.75">
      <c r="A180" s="512"/>
      <c r="B180" s="516" t="s">
        <v>897</v>
      </c>
      <c r="C180" s="543">
        <f t="shared" si="20"/>
        <v>1.1446987736032705</v>
      </c>
      <c r="D180" s="543">
        <f t="shared" si="20"/>
        <v>1.1610436363636365</v>
      </c>
      <c r="E180" s="544">
        <f t="shared" si="21"/>
        <v>0.016344862760365952</v>
      </c>
    </row>
    <row r="181" spans="1:5" s="506" customFormat="1" ht="12.75">
      <c r="A181" s="512"/>
      <c r="B181" s="516" t="s">
        <v>806</v>
      </c>
      <c r="C181" s="543">
        <f t="shared" si="20"/>
        <v>1.081703131237525</v>
      </c>
      <c r="D181" s="543">
        <f t="shared" si="20"/>
        <v>1.0896381723171042</v>
      </c>
      <c r="E181" s="544">
        <f t="shared" si="21"/>
        <v>0.00793504107957932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457</v>
      </c>
      <c r="B183" s="509" t="s">
        <v>898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899</v>
      </c>
      <c r="C185" s="513">
        <v>126486016</v>
      </c>
      <c r="D185" s="513">
        <v>131777027</v>
      </c>
      <c r="E185" s="514">
        <f>D185-C185</f>
        <v>5291011</v>
      </c>
    </row>
    <row r="186" spans="1:5" s="506" customFormat="1" ht="25.5">
      <c r="A186" s="512">
        <v>2</v>
      </c>
      <c r="B186" s="511" t="s">
        <v>900</v>
      </c>
      <c r="C186" s="513">
        <v>46594740</v>
      </c>
      <c r="D186" s="513">
        <v>55788426</v>
      </c>
      <c r="E186" s="514">
        <f>D186-C186</f>
        <v>9193686</v>
      </c>
    </row>
    <row r="187" spans="1:5" s="506" customFormat="1" ht="12.75">
      <c r="A187" s="512"/>
      <c r="B187" s="511" t="s">
        <v>748</v>
      </c>
      <c r="C187" s="510"/>
      <c r="D187" s="510"/>
      <c r="E187" s="511"/>
    </row>
    <row r="188" spans="1:5" s="506" customFormat="1" ht="12.75">
      <c r="A188" s="512">
        <v>3</v>
      </c>
      <c r="B188" s="511" t="s">
        <v>832</v>
      </c>
      <c r="C188" s="546">
        <f>+C185-C186</f>
        <v>79891276</v>
      </c>
      <c r="D188" s="546">
        <f>+D185-D186</f>
        <v>75988601</v>
      </c>
      <c r="E188" s="514">
        <f aca="true" t="shared" si="22" ref="E188:E197">D188-C188</f>
        <v>-3902675</v>
      </c>
    </row>
    <row r="189" spans="1:5" s="506" customFormat="1" ht="12.75">
      <c r="A189" s="512">
        <v>4</v>
      </c>
      <c r="B189" s="511" t="s">
        <v>750</v>
      </c>
      <c r="C189" s="547">
        <f>IF(C185=0,0,+C188/C185)</f>
        <v>0.6316214118088754</v>
      </c>
      <c r="D189" s="547">
        <f>IF(D185=0,0,+D188/D185)</f>
        <v>0.5766452827927283</v>
      </c>
      <c r="E189" s="523">
        <f t="shared" si="22"/>
        <v>-0.054976129016147124</v>
      </c>
    </row>
    <row r="190" spans="1:5" s="506" customFormat="1" ht="12.75">
      <c r="A190" s="512">
        <v>5</v>
      </c>
      <c r="B190" s="511" t="s">
        <v>847</v>
      </c>
      <c r="C190" s="513">
        <v>5874584</v>
      </c>
      <c r="D190" s="513">
        <v>5032151</v>
      </c>
      <c r="E190" s="546">
        <f t="shared" si="22"/>
        <v>-842433</v>
      </c>
    </row>
    <row r="191" spans="1:5" s="506" customFormat="1" ht="12.75">
      <c r="A191" s="512">
        <v>6</v>
      </c>
      <c r="B191" s="511" t="s">
        <v>833</v>
      </c>
      <c r="C191" s="513">
        <v>3825681</v>
      </c>
      <c r="D191" s="513">
        <v>3539186</v>
      </c>
      <c r="E191" s="546">
        <f t="shared" si="22"/>
        <v>-286495</v>
      </c>
    </row>
    <row r="192" spans="1:5" ht="29.25">
      <c r="A192" s="512">
        <v>7</v>
      </c>
      <c r="B192" s="548" t="s">
        <v>901</v>
      </c>
      <c r="C192" s="513">
        <v>643415</v>
      </c>
      <c r="D192" s="513">
        <v>624350</v>
      </c>
      <c r="E192" s="546">
        <f t="shared" si="22"/>
        <v>-19065</v>
      </c>
    </row>
    <row r="193" spans="1:5" s="506" customFormat="1" ht="12.75">
      <c r="A193" s="512">
        <v>8</v>
      </c>
      <c r="B193" s="511" t="s">
        <v>902</v>
      </c>
      <c r="C193" s="513">
        <v>929468</v>
      </c>
      <c r="D193" s="513">
        <v>558883</v>
      </c>
      <c r="E193" s="546">
        <f t="shared" si="22"/>
        <v>-370585</v>
      </c>
    </row>
    <row r="194" spans="1:5" s="506" customFormat="1" ht="12.75">
      <c r="A194" s="512">
        <v>9</v>
      </c>
      <c r="B194" s="511" t="s">
        <v>903</v>
      </c>
      <c r="C194" s="513">
        <v>10951622</v>
      </c>
      <c r="D194" s="513">
        <v>9166346</v>
      </c>
      <c r="E194" s="546">
        <f t="shared" si="22"/>
        <v>-1785276</v>
      </c>
    </row>
    <row r="195" spans="1:5" s="506" customFormat="1" ht="12.75">
      <c r="A195" s="512">
        <v>10</v>
      </c>
      <c r="B195" s="511" t="s">
        <v>904</v>
      </c>
      <c r="C195" s="513">
        <f>+C193+C194</f>
        <v>11881090</v>
      </c>
      <c r="D195" s="513">
        <f>+D193+D194</f>
        <v>9725229</v>
      </c>
      <c r="E195" s="549">
        <f t="shared" si="22"/>
        <v>-2155861</v>
      </c>
    </row>
    <row r="196" spans="1:5" s="506" customFormat="1" ht="12.75">
      <c r="A196" s="512">
        <v>11</v>
      </c>
      <c r="B196" s="511" t="s">
        <v>905</v>
      </c>
      <c r="C196" s="513">
        <v>126486016</v>
      </c>
      <c r="D196" s="513">
        <v>131777027</v>
      </c>
      <c r="E196" s="546">
        <f t="shared" si="22"/>
        <v>5291011</v>
      </c>
    </row>
    <row r="197" spans="1:5" s="506" customFormat="1" ht="12.75">
      <c r="A197" s="512">
        <v>12</v>
      </c>
      <c r="B197" s="511" t="s">
        <v>790</v>
      </c>
      <c r="C197" s="513">
        <v>114761390</v>
      </c>
      <c r="D197" s="513">
        <v>129657399</v>
      </c>
      <c r="E197" s="546">
        <f t="shared" si="22"/>
        <v>14896009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259</v>
      </c>
      <c r="B199" s="550" t="s">
        <v>906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129</v>
      </c>
      <c r="B201" s="509" t="s">
        <v>907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736</v>
      </c>
      <c r="C203" s="553">
        <v>2790.6147</v>
      </c>
      <c r="D203" s="553">
        <v>2610.5629</v>
      </c>
      <c r="E203" s="554">
        <f aca="true" t="shared" si="23" ref="E203:E211">D203-C203</f>
        <v>-180.05180000000018</v>
      </c>
    </row>
    <row r="204" spans="1:5" s="506" customFormat="1" ht="12.75">
      <c r="A204" s="512">
        <v>2</v>
      </c>
      <c r="B204" s="511" t="s">
        <v>715</v>
      </c>
      <c r="C204" s="553">
        <v>4659.928</v>
      </c>
      <c r="D204" s="553">
        <v>4677.5388</v>
      </c>
      <c r="E204" s="554">
        <f t="shared" si="23"/>
        <v>17.61080000000038</v>
      </c>
    </row>
    <row r="205" spans="1:5" s="506" customFormat="1" ht="12.75">
      <c r="A205" s="512">
        <v>3</v>
      </c>
      <c r="B205" s="511" t="s">
        <v>861</v>
      </c>
      <c r="C205" s="553">
        <f>C206+C207</f>
        <v>1202.0482000000002</v>
      </c>
      <c r="D205" s="553">
        <f>D206+D207</f>
        <v>1249.6054</v>
      </c>
      <c r="E205" s="554">
        <f t="shared" si="23"/>
        <v>47.55719999999974</v>
      </c>
    </row>
    <row r="206" spans="1:5" s="506" customFormat="1" ht="12.75">
      <c r="A206" s="512">
        <v>4</v>
      </c>
      <c r="B206" s="511" t="s">
        <v>229</v>
      </c>
      <c r="C206" s="553">
        <v>856.8182</v>
      </c>
      <c r="D206" s="553">
        <v>870.3435999999999</v>
      </c>
      <c r="E206" s="554">
        <f t="shared" si="23"/>
        <v>13.525399999999877</v>
      </c>
    </row>
    <row r="207" spans="1:5" s="506" customFormat="1" ht="12.75">
      <c r="A207" s="512">
        <v>5</v>
      </c>
      <c r="B207" s="511" t="s">
        <v>828</v>
      </c>
      <c r="C207" s="553">
        <v>345.23</v>
      </c>
      <c r="D207" s="553">
        <v>379.2618</v>
      </c>
      <c r="E207" s="554">
        <f t="shared" si="23"/>
        <v>34.031799999999976</v>
      </c>
    </row>
    <row r="208" spans="1:5" s="506" customFormat="1" ht="12.75">
      <c r="A208" s="512">
        <v>6</v>
      </c>
      <c r="B208" s="511" t="s">
        <v>533</v>
      </c>
      <c r="C208" s="553">
        <v>18.3414</v>
      </c>
      <c r="D208" s="553">
        <v>11.594000000000001</v>
      </c>
      <c r="E208" s="554">
        <f t="shared" si="23"/>
        <v>-6.747399999999999</v>
      </c>
    </row>
    <row r="209" spans="1:5" s="506" customFormat="1" ht="12.75">
      <c r="A209" s="512">
        <v>7</v>
      </c>
      <c r="B209" s="511" t="s">
        <v>843</v>
      </c>
      <c r="C209" s="553">
        <v>74.36</v>
      </c>
      <c r="D209" s="553">
        <v>41.4778</v>
      </c>
      <c r="E209" s="554">
        <f t="shared" si="23"/>
        <v>-32.8822</v>
      </c>
    </row>
    <row r="210" spans="1:5" s="506" customFormat="1" ht="12.75">
      <c r="A210" s="512"/>
      <c r="B210" s="516" t="s">
        <v>908</v>
      </c>
      <c r="C210" s="555">
        <f>C204+C205+C208</f>
        <v>5880.3176</v>
      </c>
      <c r="D210" s="555">
        <f>D204+D205+D208</f>
        <v>5938.738200000001</v>
      </c>
      <c r="E210" s="556">
        <f t="shared" si="23"/>
        <v>58.42060000000038</v>
      </c>
    </row>
    <row r="211" spans="1:5" s="506" customFormat="1" ht="12.75">
      <c r="A211" s="512"/>
      <c r="B211" s="516" t="s">
        <v>807</v>
      </c>
      <c r="C211" s="555">
        <f>C210+C203</f>
        <v>8670.9323</v>
      </c>
      <c r="D211" s="555">
        <f>D210+D203</f>
        <v>8549.3011</v>
      </c>
      <c r="E211" s="556">
        <f t="shared" si="23"/>
        <v>-121.63119999999981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141</v>
      </c>
      <c r="B213" s="509" t="s">
        <v>909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736</v>
      </c>
      <c r="C215" s="557">
        <f>IF(C14*C137=0,0,C25/C14*C137)</f>
        <v>6465.422571394687</v>
      </c>
      <c r="D215" s="557">
        <f>IF(D14*D137=0,0,D25/D14*D137)</f>
        <v>6214.995657226285</v>
      </c>
      <c r="E215" s="557">
        <f aca="true" t="shared" si="24" ref="E215:E223">D215-C215</f>
        <v>-250.4269141684017</v>
      </c>
    </row>
    <row r="216" spans="1:5" s="506" customFormat="1" ht="12.75">
      <c r="A216" s="512">
        <v>2</v>
      </c>
      <c r="B216" s="511" t="s">
        <v>715</v>
      </c>
      <c r="C216" s="557">
        <f>IF(C15*C138=0,0,C26/C15*C138)</f>
        <v>2870.8901720309796</v>
      </c>
      <c r="D216" s="557">
        <f>IF(D15*D138=0,0,D26/D15*D138)</f>
        <v>2957.3392225598145</v>
      </c>
      <c r="E216" s="557">
        <f t="shared" si="24"/>
        <v>86.44905052883496</v>
      </c>
    </row>
    <row r="217" spans="1:5" s="506" customFormat="1" ht="12.75">
      <c r="A217" s="512">
        <v>3</v>
      </c>
      <c r="B217" s="511" t="s">
        <v>861</v>
      </c>
      <c r="C217" s="557">
        <f>C218+C219</f>
        <v>2375.7003746254227</v>
      </c>
      <c r="D217" s="557">
        <f>D218+D219</f>
        <v>2406.4496242285354</v>
      </c>
      <c r="E217" s="557">
        <f t="shared" si="24"/>
        <v>30.74924960311273</v>
      </c>
    </row>
    <row r="218" spans="1:5" s="506" customFormat="1" ht="12.75">
      <c r="A218" s="512">
        <v>4</v>
      </c>
      <c r="B218" s="511" t="s">
        <v>229</v>
      </c>
      <c r="C218" s="557">
        <f aca="true" t="shared" si="25" ref="C218:D221">IF(C17*C140=0,0,C28/C17*C140)</f>
        <v>1874.156977231725</v>
      </c>
      <c r="D218" s="557">
        <f t="shared" si="25"/>
        <v>1915.9307796232777</v>
      </c>
      <c r="E218" s="557">
        <f t="shared" si="24"/>
        <v>41.773802391552636</v>
      </c>
    </row>
    <row r="219" spans="1:5" s="506" customFormat="1" ht="12.75">
      <c r="A219" s="512">
        <v>5</v>
      </c>
      <c r="B219" s="511" t="s">
        <v>828</v>
      </c>
      <c r="C219" s="557">
        <f t="shared" si="25"/>
        <v>501.5433973936976</v>
      </c>
      <c r="D219" s="557">
        <f t="shared" si="25"/>
        <v>490.51884460525764</v>
      </c>
      <c r="E219" s="557">
        <f t="shared" si="24"/>
        <v>-11.024552788439962</v>
      </c>
    </row>
    <row r="220" spans="1:5" s="506" customFormat="1" ht="12.75">
      <c r="A220" s="512">
        <v>6</v>
      </c>
      <c r="B220" s="511" t="s">
        <v>533</v>
      </c>
      <c r="C220" s="557">
        <f t="shared" si="25"/>
        <v>26.065215081289427</v>
      </c>
      <c r="D220" s="557">
        <f t="shared" si="25"/>
        <v>23.357194836265762</v>
      </c>
      <c r="E220" s="557">
        <f t="shared" si="24"/>
        <v>-2.708020245023665</v>
      </c>
    </row>
    <row r="221" spans="1:5" s="506" customFormat="1" ht="12.75">
      <c r="A221" s="512">
        <v>7</v>
      </c>
      <c r="B221" s="511" t="s">
        <v>843</v>
      </c>
      <c r="C221" s="557">
        <f t="shared" si="25"/>
        <v>266.34503267778973</v>
      </c>
      <c r="D221" s="557">
        <f t="shared" si="25"/>
        <v>262.92066280505173</v>
      </c>
      <c r="E221" s="557">
        <f t="shared" si="24"/>
        <v>-3.424369872737998</v>
      </c>
    </row>
    <row r="222" spans="1:5" s="506" customFormat="1" ht="12.75">
      <c r="A222" s="512"/>
      <c r="B222" s="516" t="s">
        <v>910</v>
      </c>
      <c r="C222" s="558">
        <f>C216+C218+C219+C220</f>
        <v>5272.655761737692</v>
      </c>
      <c r="D222" s="558">
        <f>D216+D218+D219+D220</f>
        <v>5387.146041624616</v>
      </c>
      <c r="E222" s="558">
        <f t="shared" si="24"/>
        <v>114.49027988692433</v>
      </c>
    </row>
    <row r="223" spans="1:5" s="506" customFormat="1" ht="12.75">
      <c r="A223" s="512"/>
      <c r="B223" s="516" t="s">
        <v>911</v>
      </c>
      <c r="C223" s="558">
        <f>C215+C222</f>
        <v>11738.07833313238</v>
      </c>
      <c r="D223" s="558">
        <f>D215+D222</f>
        <v>11602.1416988509</v>
      </c>
      <c r="E223" s="558">
        <f t="shared" si="24"/>
        <v>-135.9366342814792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151</v>
      </c>
      <c r="B225" s="509" t="s">
        <v>912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736</v>
      </c>
      <c r="C227" s="560">
        <f aca="true" t="shared" si="26" ref="C227:D235">IF(C203=0,0,C47/C203)</f>
        <v>6422.973762734067</v>
      </c>
      <c r="D227" s="560">
        <f t="shared" si="26"/>
        <v>7498.231128619808</v>
      </c>
      <c r="E227" s="560">
        <f aca="true" t="shared" si="27" ref="E227:E235">D227-C227</f>
        <v>1075.257365885741</v>
      </c>
    </row>
    <row r="228" spans="1:5" s="506" customFormat="1" ht="12.75">
      <c r="A228" s="512">
        <v>2</v>
      </c>
      <c r="B228" s="511" t="s">
        <v>715</v>
      </c>
      <c r="C228" s="560">
        <f t="shared" si="26"/>
        <v>6125.068241397721</v>
      </c>
      <c r="D228" s="560">
        <f t="shared" si="26"/>
        <v>6249.520794995864</v>
      </c>
      <c r="E228" s="560">
        <f t="shared" si="27"/>
        <v>124.45255359814291</v>
      </c>
    </row>
    <row r="229" spans="1:5" s="506" customFormat="1" ht="12.75">
      <c r="A229" s="512">
        <v>3</v>
      </c>
      <c r="B229" s="511" t="s">
        <v>861</v>
      </c>
      <c r="C229" s="560">
        <f t="shared" si="26"/>
        <v>3891.54528079656</v>
      </c>
      <c r="D229" s="560">
        <f t="shared" si="26"/>
        <v>3644.8682119971636</v>
      </c>
      <c r="E229" s="560">
        <f t="shared" si="27"/>
        <v>-246.67706879939624</v>
      </c>
    </row>
    <row r="230" spans="1:5" s="506" customFormat="1" ht="12.75">
      <c r="A230" s="512">
        <v>4</v>
      </c>
      <c r="B230" s="511" t="s">
        <v>229</v>
      </c>
      <c r="C230" s="560">
        <f t="shared" si="26"/>
        <v>4294.087123732899</v>
      </c>
      <c r="D230" s="560">
        <f t="shared" si="26"/>
        <v>4135.059992398405</v>
      </c>
      <c r="E230" s="560">
        <f t="shared" si="27"/>
        <v>-159.0271313344947</v>
      </c>
    </row>
    <row r="231" spans="1:5" s="506" customFormat="1" ht="12.75">
      <c r="A231" s="512">
        <v>5</v>
      </c>
      <c r="B231" s="511" t="s">
        <v>828</v>
      </c>
      <c r="C231" s="560">
        <f t="shared" si="26"/>
        <v>2892.4861686411955</v>
      </c>
      <c r="D231" s="560">
        <f t="shared" si="26"/>
        <v>2519.958508871708</v>
      </c>
      <c r="E231" s="560">
        <f t="shared" si="27"/>
        <v>-372.5276597694874</v>
      </c>
    </row>
    <row r="232" spans="1:5" s="506" customFormat="1" ht="12.75">
      <c r="A232" s="512">
        <v>6</v>
      </c>
      <c r="B232" s="511" t="s">
        <v>533</v>
      </c>
      <c r="C232" s="560">
        <f t="shared" si="26"/>
        <v>5199.112390548159</v>
      </c>
      <c r="D232" s="560">
        <f t="shared" si="26"/>
        <v>6424.7024322925645</v>
      </c>
      <c r="E232" s="560">
        <f t="shared" si="27"/>
        <v>1225.5900417444054</v>
      </c>
    </row>
    <row r="233" spans="1:5" s="506" customFormat="1" ht="12.75">
      <c r="A233" s="512">
        <v>7</v>
      </c>
      <c r="B233" s="511" t="s">
        <v>843</v>
      </c>
      <c r="C233" s="560">
        <f t="shared" si="26"/>
        <v>451.6406670252824</v>
      </c>
      <c r="D233" s="560">
        <f t="shared" si="26"/>
        <v>579.4907155152877</v>
      </c>
      <c r="E233" s="560">
        <f t="shared" si="27"/>
        <v>127.85004849000524</v>
      </c>
    </row>
    <row r="234" spans="1:5" ht="12.75">
      <c r="A234" s="512"/>
      <c r="B234" s="516" t="s">
        <v>913</v>
      </c>
      <c r="C234" s="561">
        <f t="shared" si="26"/>
        <v>5665.605714902202</v>
      </c>
      <c r="D234" s="561">
        <f t="shared" si="26"/>
        <v>5701.802278470534</v>
      </c>
      <c r="E234" s="561">
        <f t="shared" si="27"/>
        <v>36.19656356833184</v>
      </c>
    </row>
    <row r="235" spans="1:5" s="506" customFormat="1" ht="12.75">
      <c r="A235" s="512"/>
      <c r="B235" s="516" t="s">
        <v>914</v>
      </c>
      <c r="C235" s="561">
        <f t="shared" si="26"/>
        <v>5909.35371505553</v>
      </c>
      <c r="D235" s="561">
        <f t="shared" si="26"/>
        <v>6250.348932031415</v>
      </c>
      <c r="E235" s="561">
        <f t="shared" si="27"/>
        <v>340.99521697588443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436</v>
      </c>
      <c r="B237" s="509" t="s">
        <v>915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736</v>
      </c>
      <c r="C239" s="560">
        <f aca="true" t="shared" si="28" ref="C239:D247">IF(C215=0,0,C58/C215)</f>
        <v>5884.364645912565</v>
      </c>
      <c r="D239" s="560">
        <f t="shared" si="28"/>
        <v>6610.7446032128555</v>
      </c>
      <c r="E239" s="562">
        <f aca="true" t="shared" si="29" ref="E239:E247">D239-C239</f>
        <v>726.3799573002907</v>
      </c>
    </row>
    <row r="240" spans="1:5" s="506" customFormat="1" ht="12.75">
      <c r="A240" s="512">
        <v>2</v>
      </c>
      <c r="B240" s="511" t="s">
        <v>715</v>
      </c>
      <c r="C240" s="560">
        <f t="shared" si="28"/>
        <v>5219.880978379096</v>
      </c>
      <c r="D240" s="560">
        <f t="shared" si="28"/>
        <v>5643.110155470999</v>
      </c>
      <c r="E240" s="562">
        <f t="shared" si="29"/>
        <v>423.2291770919037</v>
      </c>
    </row>
    <row r="241" spans="1:5" ht="12.75">
      <c r="A241" s="512">
        <v>3</v>
      </c>
      <c r="B241" s="511" t="s">
        <v>861</v>
      </c>
      <c r="C241" s="560">
        <f t="shared" si="28"/>
        <v>2952.18457466709</v>
      </c>
      <c r="D241" s="560">
        <f t="shared" si="28"/>
        <v>2966.815481246067</v>
      </c>
      <c r="E241" s="562">
        <f t="shared" si="29"/>
        <v>14.63090657897692</v>
      </c>
    </row>
    <row r="242" spans="1:5" ht="12.75">
      <c r="A242" s="512">
        <v>4</v>
      </c>
      <c r="B242" s="511" t="s">
        <v>229</v>
      </c>
      <c r="C242" s="560">
        <f t="shared" si="28"/>
        <v>3063.2738184396826</v>
      </c>
      <c r="D242" s="560">
        <f t="shared" si="28"/>
        <v>3271.7862600613134</v>
      </c>
      <c r="E242" s="562">
        <f t="shared" si="29"/>
        <v>208.51244162163084</v>
      </c>
    </row>
    <row r="243" spans="1:5" ht="12.75">
      <c r="A243" s="512">
        <v>5</v>
      </c>
      <c r="B243" s="511" t="s">
        <v>828</v>
      </c>
      <c r="C243" s="560">
        <f t="shared" si="28"/>
        <v>2537.0685899014284</v>
      </c>
      <c r="D243" s="560">
        <f t="shared" si="28"/>
        <v>1775.621894202481</v>
      </c>
      <c r="E243" s="562">
        <f t="shared" si="29"/>
        <v>-761.4466956989475</v>
      </c>
    </row>
    <row r="244" spans="1:5" ht="12.75">
      <c r="A244" s="512">
        <v>6</v>
      </c>
      <c r="B244" s="511" t="s">
        <v>533</v>
      </c>
      <c r="C244" s="560">
        <f t="shared" si="28"/>
        <v>6227.456765416038</v>
      </c>
      <c r="D244" s="560">
        <f t="shared" si="28"/>
        <v>4131.960223671694</v>
      </c>
      <c r="E244" s="562">
        <f t="shared" si="29"/>
        <v>-2095.4965417443445</v>
      </c>
    </row>
    <row r="245" spans="1:5" ht="12.75">
      <c r="A245" s="512">
        <v>7</v>
      </c>
      <c r="B245" s="511" t="s">
        <v>843</v>
      </c>
      <c r="C245" s="560">
        <f t="shared" si="28"/>
        <v>1231.1286480671195</v>
      </c>
      <c r="D245" s="560">
        <f t="shared" si="28"/>
        <v>1018.1132100616961</v>
      </c>
      <c r="E245" s="562">
        <f t="shared" si="29"/>
        <v>-213.01543800542333</v>
      </c>
    </row>
    <row r="246" spans="1:5" ht="25.5">
      <c r="A246" s="512"/>
      <c r="B246" s="516" t="s">
        <v>916</v>
      </c>
      <c r="C246" s="561">
        <f t="shared" si="28"/>
        <v>4203.105987085395</v>
      </c>
      <c r="D246" s="561">
        <f t="shared" si="28"/>
        <v>4441.051683979407</v>
      </c>
      <c r="E246" s="563">
        <f t="shared" si="29"/>
        <v>237.94569689401214</v>
      </c>
    </row>
    <row r="247" spans="1:5" ht="12.75">
      <c r="A247" s="512"/>
      <c r="B247" s="516" t="s">
        <v>917</v>
      </c>
      <c r="C247" s="561">
        <f t="shared" si="28"/>
        <v>5129.1560075944335</v>
      </c>
      <c r="D247" s="561">
        <f t="shared" si="28"/>
        <v>5603.305379940219</v>
      </c>
      <c r="E247" s="563">
        <f t="shared" si="29"/>
        <v>474.1493723457852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845</v>
      </c>
      <c r="B249" s="550" t="s">
        <v>842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229</v>
      </c>
      <c r="C251" s="546">
        <f>((IF((IF(C15=0,0,C26/C15)*C138)=0,0,C59/(IF(C15=0,0,C26/C15)*C138)))-(IF((IF(C17=0,0,C28/C17)*C140)=0,0,C61/(IF(C17=0,0,C28/C17)*C140))))*(IF(C17=0,0,C28/C17)*C140)</f>
        <v>4041820.3559483457</v>
      </c>
      <c r="D251" s="546">
        <f>((IF((IF(D15=0,0,D26/D15)*D138)=0,0,D59/(IF(D15=0,0,D26/D15)*D138)))-(IF((IF(D17=0,0,D28/D17)*D140)=0,0,D61/(IF(D17=0,0,D28/D17)*D140))))*(IF(D17=0,0,D28/D17)*D140)</f>
        <v>4543292.439671587</v>
      </c>
      <c r="E251" s="546">
        <f>D251-C251</f>
        <v>501472.08372324146</v>
      </c>
    </row>
    <row r="252" spans="1:5" ht="12.75">
      <c r="A252" s="512">
        <v>2</v>
      </c>
      <c r="B252" s="511" t="s">
        <v>828</v>
      </c>
      <c r="C252" s="546">
        <f>IF(C231=0,0,(C228-C231)*C207)+IF(C243=0,0,(C240-C243)*C219)</f>
        <v>2461531.148864725</v>
      </c>
      <c r="D252" s="546">
        <f>IF(D231=0,0,(D228-D231)*D207)+IF(D243=0,0,(D240-D243)*D219)</f>
        <v>3311556.379289393</v>
      </c>
      <c r="E252" s="546">
        <f>D252-C252</f>
        <v>850025.2304246677</v>
      </c>
    </row>
    <row r="253" spans="1:5" ht="12.75">
      <c r="A253" s="512">
        <v>3</v>
      </c>
      <c r="B253" s="511" t="s">
        <v>843</v>
      </c>
      <c r="C253" s="546">
        <f>IF(C233=0,0,(C228-C233)*C209+IF(C221=0,0,(C240-C245)*C221))</f>
        <v>1484260.4441908877</v>
      </c>
      <c r="D253" s="546">
        <f>IF(D233=0,0,(D228-D233)*D209+IF(D221=0,0,(D240-D245)*D221))</f>
        <v>1451187.6359890332</v>
      </c>
      <c r="E253" s="546">
        <f>D253-C253</f>
        <v>-33072.80820185458</v>
      </c>
    </row>
    <row r="254" spans="1:5" ht="15" customHeight="1">
      <c r="A254" s="512"/>
      <c r="B254" s="516" t="s">
        <v>844</v>
      </c>
      <c r="C254" s="564">
        <f>+C251+C252+C253</f>
        <v>7987611.949003959</v>
      </c>
      <c r="D254" s="564">
        <f>+D251+D252+D253</f>
        <v>9306036.454950012</v>
      </c>
      <c r="E254" s="564">
        <f>D254-C254</f>
        <v>1318424.5059460532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918</v>
      </c>
      <c r="B256" s="550" t="s">
        <v>919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810</v>
      </c>
      <c r="C258" s="546">
        <f>+C44</f>
        <v>344471295</v>
      </c>
      <c r="D258" s="549">
        <f>+D44</f>
        <v>359092081</v>
      </c>
      <c r="E258" s="546">
        <f aca="true" t="shared" si="30" ref="E258:E271">D258-C258</f>
        <v>14620786</v>
      </c>
    </row>
    <row r="259" spans="1:5" ht="12.75">
      <c r="A259" s="512">
        <v>2</v>
      </c>
      <c r="B259" s="511" t="s">
        <v>827</v>
      </c>
      <c r="C259" s="546">
        <f>+(C43-C76)</f>
        <v>137427208</v>
      </c>
      <c r="D259" s="549">
        <f>+(D43-D76)</f>
        <v>151392607</v>
      </c>
      <c r="E259" s="546">
        <f t="shared" si="30"/>
        <v>13965399</v>
      </c>
    </row>
    <row r="260" spans="1:5" ht="12.75">
      <c r="A260" s="512">
        <v>3</v>
      </c>
      <c r="B260" s="511" t="s">
        <v>831</v>
      </c>
      <c r="C260" s="546">
        <f>C195</f>
        <v>11881090</v>
      </c>
      <c r="D260" s="546">
        <f>D195</f>
        <v>9725229</v>
      </c>
      <c r="E260" s="546">
        <f t="shared" si="30"/>
        <v>-2155861</v>
      </c>
    </row>
    <row r="261" spans="1:5" ht="12.75">
      <c r="A261" s="512">
        <v>4</v>
      </c>
      <c r="B261" s="511" t="s">
        <v>832</v>
      </c>
      <c r="C261" s="546">
        <f>C188</f>
        <v>79891276</v>
      </c>
      <c r="D261" s="546">
        <f>D188</f>
        <v>75988601</v>
      </c>
      <c r="E261" s="546">
        <f t="shared" si="30"/>
        <v>-3902675</v>
      </c>
    </row>
    <row r="262" spans="1:5" ht="12.75">
      <c r="A262" s="512">
        <v>5</v>
      </c>
      <c r="B262" s="511" t="s">
        <v>833</v>
      </c>
      <c r="C262" s="546">
        <f>C191</f>
        <v>3825681</v>
      </c>
      <c r="D262" s="546">
        <f>D191</f>
        <v>3539186</v>
      </c>
      <c r="E262" s="546">
        <f t="shared" si="30"/>
        <v>-286495</v>
      </c>
    </row>
    <row r="263" spans="1:5" ht="12.75">
      <c r="A263" s="512">
        <v>6</v>
      </c>
      <c r="B263" s="511" t="s">
        <v>834</v>
      </c>
      <c r="C263" s="546">
        <f>+C259+C260+C261+C262</f>
        <v>233025255</v>
      </c>
      <c r="D263" s="546">
        <f>+D259+D260+D261+D262</f>
        <v>240645623</v>
      </c>
      <c r="E263" s="546">
        <f t="shared" si="30"/>
        <v>7620368</v>
      </c>
    </row>
    <row r="264" spans="1:5" ht="12.75">
      <c r="A264" s="512">
        <v>7</v>
      </c>
      <c r="B264" s="511" t="s">
        <v>734</v>
      </c>
      <c r="C264" s="546">
        <f>+C258-C263</f>
        <v>111446040</v>
      </c>
      <c r="D264" s="546">
        <f>+D258-D263</f>
        <v>118446458</v>
      </c>
      <c r="E264" s="546">
        <f t="shared" si="30"/>
        <v>7000418</v>
      </c>
    </row>
    <row r="265" spans="1:5" ht="12.75">
      <c r="A265" s="512">
        <v>8</v>
      </c>
      <c r="B265" s="511" t="s">
        <v>920</v>
      </c>
      <c r="C265" s="565">
        <f>C192</f>
        <v>643415</v>
      </c>
      <c r="D265" s="565">
        <f>D192</f>
        <v>624350</v>
      </c>
      <c r="E265" s="546">
        <f t="shared" si="30"/>
        <v>-19065</v>
      </c>
    </row>
    <row r="266" spans="1:5" ht="12.75">
      <c r="A266" s="512">
        <v>9</v>
      </c>
      <c r="B266" s="511" t="s">
        <v>921</v>
      </c>
      <c r="C266" s="546">
        <f>+C264+C265</f>
        <v>112089455</v>
      </c>
      <c r="D266" s="546">
        <f>+D264+D265</f>
        <v>119070808</v>
      </c>
      <c r="E266" s="565">
        <f t="shared" si="30"/>
        <v>6981353</v>
      </c>
    </row>
    <row r="267" spans="1:5" ht="12.75">
      <c r="A267" s="512">
        <v>10</v>
      </c>
      <c r="B267" s="511" t="s">
        <v>922</v>
      </c>
      <c r="C267" s="566">
        <f>IF(C258=0,0,C266/C258)</f>
        <v>0.32539563274786076</v>
      </c>
      <c r="D267" s="566">
        <f>IF(D258=0,0,D266/D258)</f>
        <v>0.331588509744942</v>
      </c>
      <c r="E267" s="567">
        <f t="shared" si="30"/>
        <v>0.006192876997081209</v>
      </c>
    </row>
    <row r="268" spans="1:5" ht="12.75">
      <c r="A268" s="512">
        <v>11</v>
      </c>
      <c r="B268" s="511" t="s">
        <v>796</v>
      </c>
      <c r="C268" s="546">
        <f>+C260*C267</f>
        <v>3866054.798284281</v>
      </c>
      <c r="D268" s="568">
        <f>+D260*D267</f>
        <v>3224774.1910382924</v>
      </c>
      <c r="E268" s="546">
        <f t="shared" si="30"/>
        <v>-641280.6072459887</v>
      </c>
    </row>
    <row r="269" spans="1:5" ht="12.75">
      <c r="A269" s="512">
        <v>12</v>
      </c>
      <c r="B269" s="511" t="s">
        <v>923</v>
      </c>
      <c r="C269" s="546">
        <f>((C17+C18+C28+C29)*C267)-(C50+C51+C61+C62)</f>
        <v>3071150.0588177033</v>
      </c>
      <c r="D269" s="568">
        <f>((D17+D18+D28+D29)*D267)-(D50+D51+D61+D62)</f>
        <v>5079544.299796075</v>
      </c>
      <c r="E269" s="546">
        <f t="shared" si="30"/>
        <v>2008394.2409783714</v>
      </c>
    </row>
    <row r="270" spans="1:5" s="569" customFormat="1" ht="12.75">
      <c r="A270" s="570">
        <v>13</v>
      </c>
      <c r="B270" s="571" t="s">
        <v>924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925</v>
      </c>
      <c r="C271" s="546">
        <f>+C268+C269+C270</f>
        <v>6937204.857101984</v>
      </c>
      <c r="D271" s="546">
        <f>+D268+D269+D270</f>
        <v>8304318.4908343665</v>
      </c>
      <c r="E271" s="549">
        <f t="shared" si="30"/>
        <v>1367113.6337323822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926</v>
      </c>
      <c r="B273" s="550" t="s">
        <v>927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129</v>
      </c>
      <c r="B275" s="509" t="s">
        <v>928</v>
      </c>
      <c r="C275" s="340"/>
      <c r="D275" s="340"/>
      <c r="E275" s="520"/>
    </row>
    <row r="276" spans="1:5" ht="12.75">
      <c r="A276" s="512">
        <v>1</v>
      </c>
      <c r="B276" s="511" t="s">
        <v>736</v>
      </c>
      <c r="C276" s="547">
        <f aca="true" t="shared" si="31" ref="C276:D284">IF(C14=0,0,+C47/C14)</f>
        <v>0.3838328937454112</v>
      </c>
      <c r="D276" s="547">
        <f t="shared" si="31"/>
        <v>0.427720044782703</v>
      </c>
      <c r="E276" s="574">
        <f aca="true" t="shared" si="32" ref="E276:E284">D276-C276</f>
        <v>0.043887151037291794</v>
      </c>
    </row>
    <row r="277" spans="1:5" ht="12.75">
      <c r="A277" s="512">
        <v>2</v>
      </c>
      <c r="B277" s="511" t="s">
        <v>715</v>
      </c>
      <c r="C277" s="547">
        <f t="shared" si="31"/>
        <v>0.34851457606146513</v>
      </c>
      <c r="D277" s="547">
        <f t="shared" si="31"/>
        <v>0.3372006049369331</v>
      </c>
      <c r="E277" s="574">
        <f t="shared" si="32"/>
        <v>-0.01131397112453203</v>
      </c>
    </row>
    <row r="278" spans="1:5" ht="12.75">
      <c r="A278" s="512">
        <v>3</v>
      </c>
      <c r="B278" s="511" t="s">
        <v>861</v>
      </c>
      <c r="C278" s="547">
        <f t="shared" si="31"/>
        <v>0.26725596583566263</v>
      </c>
      <c r="D278" s="547">
        <f t="shared" si="31"/>
        <v>0.23174664216084595</v>
      </c>
      <c r="E278" s="574">
        <f t="shared" si="32"/>
        <v>-0.035509323674816684</v>
      </c>
    </row>
    <row r="279" spans="1:5" ht="12.75">
      <c r="A279" s="512">
        <v>4</v>
      </c>
      <c r="B279" s="511" t="s">
        <v>229</v>
      </c>
      <c r="C279" s="547">
        <f t="shared" si="31"/>
        <v>0.2894277149709074</v>
      </c>
      <c r="D279" s="547">
        <f t="shared" si="31"/>
        <v>0.26869135922660625</v>
      </c>
      <c r="E279" s="574">
        <f t="shared" si="32"/>
        <v>-0.02073635574430116</v>
      </c>
    </row>
    <row r="280" spans="1:5" ht="12.75">
      <c r="A280" s="512">
        <v>5</v>
      </c>
      <c r="B280" s="511" t="s">
        <v>828</v>
      </c>
      <c r="C280" s="547">
        <f t="shared" si="31"/>
        <v>0.2084267549877875</v>
      </c>
      <c r="D280" s="547">
        <f t="shared" si="31"/>
        <v>0.15268868809249855</v>
      </c>
      <c r="E280" s="574">
        <f t="shared" si="32"/>
        <v>-0.05573806689528896</v>
      </c>
    </row>
    <row r="281" spans="1:5" ht="12.75">
      <c r="A281" s="512">
        <v>6</v>
      </c>
      <c r="B281" s="511" t="s">
        <v>533</v>
      </c>
      <c r="C281" s="547">
        <f t="shared" si="31"/>
        <v>0.3070579635944448</v>
      </c>
      <c r="D281" s="547">
        <f t="shared" si="31"/>
        <v>0.37127049793151573</v>
      </c>
      <c r="E281" s="574">
        <f t="shared" si="32"/>
        <v>0.06421253433707091</v>
      </c>
    </row>
    <row r="282" spans="1:5" ht="12.75">
      <c r="A282" s="512">
        <v>7</v>
      </c>
      <c r="B282" s="511" t="s">
        <v>843</v>
      </c>
      <c r="C282" s="547">
        <f t="shared" si="31"/>
        <v>0.018893877773758415</v>
      </c>
      <c r="D282" s="547">
        <f t="shared" si="31"/>
        <v>0.026539585233408342</v>
      </c>
      <c r="E282" s="574">
        <f t="shared" si="32"/>
        <v>0.007645707459649927</v>
      </c>
    </row>
    <row r="283" spans="1:5" ht="29.25" customHeight="1">
      <c r="A283" s="512"/>
      <c r="B283" s="516" t="s">
        <v>929</v>
      </c>
      <c r="C283" s="575">
        <f t="shared" si="31"/>
        <v>0.33412139792434226</v>
      </c>
      <c r="D283" s="575">
        <f t="shared" si="31"/>
        <v>0.3178125527034012</v>
      </c>
      <c r="E283" s="576">
        <f t="shared" si="32"/>
        <v>-0.01630884522094106</v>
      </c>
    </row>
    <row r="284" spans="1:5" ht="12.75">
      <c r="A284" s="512"/>
      <c r="B284" s="516" t="s">
        <v>930</v>
      </c>
      <c r="C284" s="575">
        <f t="shared" si="31"/>
        <v>0.3499770631437994</v>
      </c>
      <c r="D284" s="575">
        <f t="shared" si="31"/>
        <v>0.3508366335318606</v>
      </c>
      <c r="E284" s="576">
        <f t="shared" si="32"/>
        <v>0.000859570388061226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141</v>
      </c>
      <c r="B286" s="509" t="s">
        <v>931</v>
      </c>
      <c r="C286" s="520"/>
      <c r="D286" s="520"/>
      <c r="E286" s="520"/>
    </row>
    <row r="287" spans="1:5" ht="12.75">
      <c r="A287" s="512">
        <v>1</v>
      </c>
      <c r="B287" s="511" t="s">
        <v>736</v>
      </c>
      <c r="C287" s="547">
        <f aca="true" t="shared" si="33" ref="C287:D295">IF(C25=0,0,+C58/C25)</f>
        <v>0.36278340027512107</v>
      </c>
      <c r="D287" s="547">
        <f t="shared" si="33"/>
        <v>0.39449245191317334</v>
      </c>
      <c r="E287" s="574">
        <f aca="true" t="shared" si="34" ref="E287:E295">D287-C287</f>
        <v>0.031709051638052266</v>
      </c>
    </row>
    <row r="288" spans="1:5" ht="12.75">
      <c r="A288" s="512">
        <v>2</v>
      </c>
      <c r="B288" s="511" t="s">
        <v>715</v>
      </c>
      <c r="C288" s="547">
        <f t="shared" si="33"/>
        <v>0.23200256821030676</v>
      </c>
      <c r="D288" s="547">
        <f t="shared" si="33"/>
        <v>0.23414408698313152</v>
      </c>
      <c r="E288" s="574">
        <f t="shared" si="34"/>
        <v>0.0021415187728247576</v>
      </c>
    </row>
    <row r="289" spans="1:5" ht="12.75">
      <c r="A289" s="512">
        <v>3</v>
      </c>
      <c r="B289" s="511" t="s">
        <v>861</v>
      </c>
      <c r="C289" s="547">
        <f t="shared" si="33"/>
        <v>0.251699260140823</v>
      </c>
      <c r="D289" s="547">
        <f t="shared" si="33"/>
        <v>0.23081041751920114</v>
      </c>
      <c r="E289" s="574">
        <f t="shared" si="34"/>
        <v>-0.020888842621621856</v>
      </c>
    </row>
    <row r="290" spans="1:5" ht="12.75">
      <c r="A290" s="512">
        <v>4</v>
      </c>
      <c r="B290" s="511" t="s">
        <v>229</v>
      </c>
      <c r="C290" s="547">
        <f t="shared" si="33"/>
        <v>0.2665149203726549</v>
      </c>
      <c r="D290" s="547">
        <f t="shared" si="33"/>
        <v>0.2647862029527314</v>
      </c>
      <c r="E290" s="574">
        <f t="shared" si="34"/>
        <v>-0.0017287174199234756</v>
      </c>
    </row>
    <row r="291" spans="1:5" ht="12.75">
      <c r="A291" s="512">
        <v>5</v>
      </c>
      <c r="B291" s="511" t="s">
        <v>828</v>
      </c>
      <c r="C291" s="547">
        <f t="shared" si="33"/>
        <v>0.20122848292748421</v>
      </c>
      <c r="D291" s="547">
        <f t="shared" si="33"/>
        <v>0.11999557478293084</v>
      </c>
      <c r="E291" s="574">
        <f t="shared" si="34"/>
        <v>-0.08123290814455338</v>
      </c>
    </row>
    <row r="292" spans="1:5" ht="12.75">
      <c r="A292" s="512">
        <v>6</v>
      </c>
      <c r="B292" s="511" t="s">
        <v>533</v>
      </c>
      <c r="C292" s="547">
        <f t="shared" si="33"/>
        <v>0.22057794356455152</v>
      </c>
      <c r="D292" s="547">
        <f t="shared" si="33"/>
        <v>0.22654419807799744</v>
      </c>
      <c r="E292" s="574">
        <f t="shared" si="34"/>
        <v>0.005966254513445929</v>
      </c>
    </row>
    <row r="293" spans="1:5" ht="12.75">
      <c r="A293" s="512">
        <v>7</v>
      </c>
      <c r="B293" s="511" t="s">
        <v>843</v>
      </c>
      <c r="C293" s="547">
        <f t="shared" si="33"/>
        <v>0.05540922868116387</v>
      </c>
      <c r="D293" s="547">
        <f t="shared" si="33"/>
        <v>0.048338866682256953</v>
      </c>
      <c r="E293" s="574">
        <f t="shared" si="34"/>
        <v>-0.00707036199890692</v>
      </c>
    </row>
    <row r="294" spans="1:5" ht="29.25" customHeight="1">
      <c r="A294" s="512"/>
      <c r="B294" s="516" t="s">
        <v>932</v>
      </c>
      <c r="C294" s="575">
        <f t="shared" si="33"/>
        <v>0.23780162733279916</v>
      </c>
      <c r="D294" s="575">
        <f t="shared" si="33"/>
        <v>0.23310781722037638</v>
      </c>
      <c r="E294" s="576">
        <f t="shared" si="34"/>
        <v>-0.004693810112422786</v>
      </c>
    </row>
    <row r="295" spans="1:5" ht="12.75">
      <c r="A295" s="512"/>
      <c r="B295" s="516" t="s">
        <v>933</v>
      </c>
      <c r="C295" s="575">
        <f t="shared" si="33"/>
        <v>0.30397645139123686</v>
      </c>
      <c r="D295" s="575">
        <f t="shared" si="33"/>
        <v>0.31439141423968553</v>
      </c>
      <c r="E295" s="576">
        <f t="shared" si="34"/>
        <v>0.010414962848448672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934</v>
      </c>
      <c r="B297" s="501" t="s">
        <v>935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129</v>
      </c>
      <c r="B299" s="509" t="s">
        <v>936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734</v>
      </c>
      <c r="C301" s="514">
        <f>+C48+C47+C50+C51+C52+C59+C58+C61+C62+C63</f>
        <v>111446041</v>
      </c>
      <c r="D301" s="514">
        <f>+D48+D47+D50+D51+D52+D59+D58+D61+D62+D63</f>
        <v>118446458</v>
      </c>
      <c r="E301" s="514">
        <f>D301-C301</f>
        <v>7000417</v>
      </c>
    </row>
    <row r="302" spans="1:5" ht="25.5">
      <c r="A302" s="512">
        <v>2</v>
      </c>
      <c r="B302" s="511" t="s">
        <v>937</v>
      </c>
      <c r="C302" s="546">
        <f>C265</f>
        <v>643415</v>
      </c>
      <c r="D302" s="546">
        <f>D265</f>
        <v>624350</v>
      </c>
      <c r="E302" s="514">
        <f>D302-C302</f>
        <v>-19065</v>
      </c>
    </row>
    <row r="303" spans="1:5" ht="12.75">
      <c r="A303" s="512"/>
      <c r="B303" s="516" t="s">
        <v>938</v>
      </c>
      <c r="C303" s="517">
        <f>+C301+C302</f>
        <v>112089456</v>
      </c>
      <c r="D303" s="517">
        <f>+D301+D302</f>
        <v>119070808</v>
      </c>
      <c r="E303" s="517">
        <f>D303-C303</f>
        <v>6981352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939</v>
      </c>
      <c r="C305" s="513">
        <v>7844153</v>
      </c>
      <c r="D305" s="578">
        <v>6543376</v>
      </c>
      <c r="E305" s="579">
        <f>D305-C305</f>
        <v>-1300777</v>
      </c>
    </row>
    <row r="306" spans="1:5" ht="12.75">
      <c r="A306" s="512">
        <v>4</v>
      </c>
      <c r="B306" s="516" t="s">
        <v>940</v>
      </c>
      <c r="C306" s="580">
        <f>+C303+C305+C194+C190-C191</f>
        <v>132934134</v>
      </c>
      <c r="D306" s="580">
        <f>+D303+D305</f>
        <v>125614184</v>
      </c>
      <c r="E306" s="580">
        <f>D306-C306</f>
        <v>-7319950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941</v>
      </c>
      <c r="C308" s="513">
        <v>119933611</v>
      </c>
      <c r="D308" s="513">
        <v>125614183</v>
      </c>
      <c r="E308" s="514">
        <f>D308-C308</f>
        <v>5680572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942</v>
      </c>
      <c r="C310" s="581">
        <f>C306-C308</f>
        <v>13000523</v>
      </c>
      <c r="D310" s="582">
        <f>D306-D308</f>
        <v>1</v>
      </c>
      <c r="E310" s="580">
        <f>D310-C310</f>
        <v>-13000522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141</v>
      </c>
      <c r="B312" s="509" t="s">
        <v>943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944</v>
      </c>
      <c r="C314" s="514">
        <f>+C14+C15+C16+C19+C25+C26+C27+C30</f>
        <v>344471295</v>
      </c>
      <c r="D314" s="514">
        <f>+D14+D15+D16+D19+D25+D26+D27+D30</f>
        <v>359092081</v>
      </c>
      <c r="E314" s="514">
        <f>D314-C314</f>
        <v>14620786</v>
      </c>
    </row>
    <row r="315" spans="1:5" ht="12.75">
      <c r="A315" s="512">
        <v>2</v>
      </c>
      <c r="B315" s="583" t="s">
        <v>945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946</v>
      </c>
      <c r="C316" s="581">
        <f>C314+C315</f>
        <v>344471295</v>
      </c>
      <c r="D316" s="581">
        <f>D314+D315</f>
        <v>359092081</v>
      </c>
      <c r="E316" s="517">
        <f>D316-C316</f>
        <v>14620786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947</v>
      </c>
      <c r="C318" s="513">
        <v>344471279</v>
      </c>
      <c r="D318" s="513">
        <v>359092081</v>
      </c>
      <c r="E318" s="514">
        <f>D318-C318</f>
        <v>14620802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942</v>
      </c>
      <c r="C320" s="581">
        <f>C316-C318</f>
        <v>16</v>
      </c>
      <c r="D320" s="581">
        <f>D316-D318</f>
        <v>0</v>
      </c>
      <c r="E320" s="517">
        <f>D320-C320</f>
        <v>-16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151</v>
      </c>
      <c r="B322" s="509" t="s">
        <v>948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949</v>
      </c>
      <c r="C324" s="513">
        <f>+C193+C194</f>
        <v>11881090</v>
      </c>
      <c r="D324" s="513">
        <f>+D193+D194</f>
        <v>9725229</v>
      </c>
      <c r="E324" s="514">
        <f>D324-C324</f>
        <v>-2155861</v>
      </c>
    </row>
    <row r="325" spans="1:5" ht="12.75">
      <c r="A325" s="512">
        <v>2</v>
      </c>
      <c r="B325" s="511" t="s">
        <v>950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951</v>
      </c>
      <c r="C326" s="581">
        <f>C324+C325</f>
        <v>11881090</v>
      </c>
      <c r="D326" s="581">
        <f>D324+D325</f>
        <v>9725229</v>
      </c>
      <c r="E326" s="517">
        <f>D326-C326</f>
        <v>-2155861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952</v>
      </c>
      <c r="C328" s="513">
        <v>11881090</v>
      </c>
      <c r="D328" s="513">
        <v>9725229</v>
      </c>
      <c r="E328" s="514">
        <f>D328-C328</f>
        <v>-2155861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953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FILING&amp;RBRISTOL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115</v>
      </c>
      <c r="B2" s="705"/>
      <c r="C2" s="705"/>
      <c r="D2" s="585"/>
    </row>
    <row r="3" spans="1:4" s="338" customFormat="1" ht="15.75" customHeight="1">
      <c r="A3" s="695" t="s">
        <v>706</v>
      </c>
      <c r="B3" s="696"/>
      <c r="C3" s="697"/>
      <c r="D3" s="585"/>
    </row>
    <row r="4" spans="1:4" s="338" customFormat="1" ht="15.75" customHeight="1">
      <c r="A4" s="695" t="s">
        <v>117</v>
      </c>
      <c r="B4" s="696"/>
      <c r="C4" s="697"/>
      <c r="D4" s="585"/>
    </row>
    <row r="5" spans="1:4" s="338" customFormat="1" ht="15.75" customHeight="1">
      <c r="A5" s="695" t="s">
        <v>954</v>
      </c>
      <c r="B5" s="696"/>
      <c r="C5" s="697"/>
      <c r="D5" s="585"/>
    </row>
    <row r="6" spans="1:4" s="338" customFormat="1" ht="15.75" customHeight="1">
      <c r="A6" s="695" t="s">
        <v>955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123</v>
      </c>
      <c r="B9" s="493" t="s">
        <v>124</v>
      </c>
      <c r="C9" s="494" t="s">
        <v>956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127</v>
      </c>
      <c r="B11" s="501" t="s">
        <v>957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129</v>
      </c>
      <c r="B13" s="509" t="s">
        <v>860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736</v>
      </c>
      <c r="C14" s="513">
        <v>45764991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715</v>
      </c>
      <c r="C15" s="515">
        <v>86691351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861</v>
      </c>
      <c r="C16" s="515">
        <v>19653562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229</v>
      </c>
      <c r="C17" s="515">
        <v>13394264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828</v>
      </c>
      <c r="C18" s="515">
        <v>6259298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533</v>
      </c>
      <c r="C19" s="515">
        <v>200630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843</v>
      </c>
      <c r="C20" s="515">
        <v>905666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862</v>
      </c>
      <c r="C21" s="517">
        <f>SUM(C15+C16+C19)</f>
        <v>106545543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802</v>
      </c>
      <c r="C22" s="517">
        <f>SUM(C14+C21)</f>
        <v>152310534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141</v>
      </c>
      <c r="B24" s="509" t="s">
        <v>863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736</v>
      </c>
      <c r="C25" s="513">
        <v>104148378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715</v>
      </c>
      <c r="C26" s="515">
        <v>71274877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861</v>
      </c>
      <c r="C27" s="515">
        <v>30932278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229</v>
      </c>
      <c r="C28" s="515">
        <v>23673877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828</v>
      </c>
      <c r="C29" s="515">
        <v>7258401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533</v>
      </c>
      <c r="C30" s="515">
        <v>426014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843</v>
      </c>
      <c r="C31" s="518">
        <v>5537635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864</v>
      </c>
      <c r="C32" s="517">
        <f>SUM(C26+C27+C30)</f>
        <v>102633169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808</v>
      </c>
      <c r="C33" s="517">
        <f>SUM(C25+C32)</f>
        <v>206781547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151</v>
      </c>
      <c r="B35" s="509" t="s">
        <v>733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958</v>
      </c>
      <c r="C36" s="514">
        <f>SUM(C14+C25)</f>
        <v>149913369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959</v>
      </c>
      <c r="C37" s="518">
        <f>SUM(C21+C32)</f>
        <v>209178712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733</v>
      </c>
      <c r="C38" s="517">
        <f>SUM(+C36+C37)</f>
        <v>359092081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436</v>
      </c>
      <c r="B40" s="509" t="s">
        <v>873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736</v>
      </c>
      <c r="C41" s="513">
        <v>19574604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715</v>
      </c>
      <c r="C42" s="515">
        <v>29232376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861</v>
      </c>
      <c r="C43" s="515">
        <v>4554647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229</v>
      </c>
      <c r="C44" s="515">
        <v>3598923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828</v>
      </c>
      <c r="C45" s="515">
        <v>955724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533</v>
      </c>
      <c r="C46" s="515">
        <v>74488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843</v>
      </c>
      <c r="C47" s="515">
        <v>24036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874</v>
      </c>
      <c r="C48" s="517">
        <f>SUM(C42+C43+C46)</f>
        <v>33861511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803</v>
      </c>
      <c r="C49" s="517">
        <f>SUM(C41+C48)</f>
        <v>53436115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457</v>
      </c>
      <c r="B51" s="509" t="s">
        <v>875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736</v>
      </c>
      <c r="C52" s="513">
        <v>41085749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715</v>
      </c>
      <c r="C53" s="515">
        <v>16688591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861</v>
      </c>
      <c r="C54" s="515">
        <v>7139492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229</v>
      </c>
      <c r="C55" s="515">
        <v>6268516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828</v>
      </c>
      <c r="C56" s="515">
        <v>870976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533</v>
      </c>
      <c r="C57" s="515">
        <v>96511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843</v>
      </c>
      <c r="C58" s="515">
        <v>267683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876</v>
      </c>
      <c r="C59" s="517">
        <f>SUM(C53+C54+C57)</f>
        <v>23924594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809</v>
      </c>
      <c r="C60" s="517">
        <f>SUM(C52+C59)</f>
        <v>65010343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469</v>
      </c>
      <c r="B62" s="521" t="s">
        <v>734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960</v>
      </c>
      <c r="C63" s="514">
        <f>SUM(C41+C52)</f>
        <v>60660353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961</v>
      </c>
      <c r="C64" s="518">
        <f>SUM(C48+C59)</f>
        <v>57786105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734</v>
      </c>
      <c r="C65" s="517">
        <f>SUM(+C63+C64)</f>
        <v>118446458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159</v>
      </c>
      <c r="B67" s="501" t="s">
        <v>962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129</v>
      </c>
      <c r="B69" s="509" t="s">
        <v>963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736</v>
      </c>
      <c r="C70" s="530">
        <v>2731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715</v>
      </c>
      <c r="C71" s="530">
        <v>3597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861</v>
      </c>
      <c r="C72" s="530">
        <v>1507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229</v>
      </c>
      <c r="C73" s="530">
        <v>1084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828</v>
      </c>
      <c r="C74" s="530">
        <v>423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533</v>
      </c>
      <c r="C75" s="545">
        <v>11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843</v>
      </c>
      <c r="C76" s="545">
        <v>43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891</v>
      </c>
      <c r="C77" s="532">
        <f>SUM(C71+C72+C75)</f>
        <v>5115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805</v>
      </c>
      <c r="C78" s="596">
        <f>SUM(C70+C77)</f>
        <v>7846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141</v>
      </c>
      <c r="B80" s="509" t="s">
        <v>896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736</v>
      </c>
      <c r="C81" s="541">
        <v>0.9559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715</v>
      </c>
      <c r="C82" s="541">
        <v>1.3004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861</v>
      </c>
      <c r="C83" s="541">
        <f>((C73*C84)+(C74*C85))/(C73+C74)</f>
        <v>0.8292006635700065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229</v>
      </c>
      <c r="C84" s="541">
        <v>0.8029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828</v>
      </c>
      <c r="C85" s="541">
        <v>0.8966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533</v>
      </c>
      <c r="C86" s="541">
        <v>1.054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843</v>
      </c>
      <c r="C87" s="541">
        <v>0.9646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897</v>
      </c>
      <c r="C88" s="543">
        <f>((C71*C82)+(C73*C84)+(C74*C85)+(C75*C86))/(C71+C73+C74+C75)</f>
        <v>1.1610436363636365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806</v>
      </c>
      <c r="C89" s="543">
        <f>((C70*C81)+(C71*C82)+(C73*C84)+(C74*C85)+(C75*C86))/(C70+C71+C73+C74+C75)</f>
        <v>1.089638172317104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151</v>
      </c>
      <c r="B91" s="509" t="s">
        <v>898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899</v>
      </c>
      <c r="C92" s="513">
        <v>131777027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900</v>
      </c>
      <c r="C93" s="546">
        <v>55788426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748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832</v>
      </c>
      <c r="C95" s="513">
        <f>+C92-C93</f>
        <v>75988601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750</v>
      </c>
      <c r="C96" s="597">
        <f>(+C92-C93)/C92</f>
        <v>0.5766452827927283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847</v>
      </c>
      <c r="C98" s="513">
        <v>5032151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833</v>
      </c>
      <c r="C99" s="513">
        <v>3539186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964</v>
      </c>
      <c r="C101" s="513">
        <v>624350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902</v>
      </c>
      <c r="C103" s="513">
        <v>558883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903</v>
      </c>
      <c r="C104" s="513">
        <v>9166346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904</v>
      </c>
      <c r="C105" s="578">
        <f>+C103+C104</f>
        <v>9725229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905</v>
      </c>
      <c r="C107" s="513">
        <v>4093007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790</v>
      </c>
      <c r="C108" s="513">
        <v>129657399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250</v>
      </c>
      <c r="B110" s="501" t="s">
        <v>935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129</v>
      </c>
      <c r="B112" s="509" t="s">
        <v>936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734</v>
      </c>
      <c r="C114" s="514">
        <f>+C65</f>
        <v>118446458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937</v>
      </c>
      <c r="C115" s="546">
        <f>+C101</f>
        <v>624350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938</v>
      </c>
      <c r="C116" s="517">
        <f>+C114+C115</f>
        <v>119070808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939</v>
      </c>
      <c r="C118" s="578">
        <v>6543376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940</v>
      </c>
      <c r="C119" s="580">
        <f>+C116+C118</f>
        <v>125614184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941</v>
      </c>
      <c r="C121" s="513">
        <v>125614183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942</v>
      </c>
      <c r="C123" s="582">
        <f>C119-C121</f>
        <v>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141</v>
      </c>
      <c r="B125" s="509" t="s">
        <v>943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944</v>
      </c>
      <c r="C127" s="514">
        <f>+C38</f>
        <v>359092081</v>
      </c>
      <c r="D127" s="588"/>
      <c r="AR127" s="507"/>
    </row>
    <row r="128" spans="1:44" s="506" customFormat="1" ht="12.75">
      <c r="A128" s="512">
        <v>2</v>
      </c>
      <c r="B128" s="583" t="s">
        <v>945</v>
      </c>
      <c r="C128" s="513">
        <v>0</v>
      </c>
      <c r="D128" s="588"/>
      <c r="AR128" s="507"/>
    </row>
    <row r="129" spans="1:44" s="506" customFormat="1" ht="12.75">
      <c r="A129" s="512"/>
      <c r="B129" s="516" t="s">
        <v>946</v>
      </c>
      <c r="C129" s="581">
        <f>C127+C128</f>
        <v>359092081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947</v>
      </c>
      <c r="C131" s="513">
        <v>359092081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942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151</v>
      </c>
      <c r="B135" s="509" t="s">
        <v>948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949</v>
      </c>
      <c r="C137" s="513">
        <f>C105</f>
        <v>9725229</v>
      </c>
      <c r="D137" s="588"/>
      <c r="AR137" s="507"/>
    </row>
    <row r="138" spans="1:44" s="506" customFormat="1" ht="12.75">
      <c r="A138" s="512">
        <v>2</v>
      </c>
      <c r="B138" s="511" t="s">
        <v>965</v>
      </c>
      <c r="C138" s="513">
        <v>0</v>
      </c>
      <c r="D138" s="588"/>
      <c r="AR138" s="507"/>
    </row>
    <row r="139" spans="1:44" s="506" customFormat="1" ht="12.75">
      <c r="A139" s="512"/>
      <c r="B139" s="516" t="s">
        <v>951</v>
      </c>
      <c r="C139" s="581">
        <f>C137+C138</f>
        <v>9725229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966</v>
      </c>
      <c r="C141" s="513">
        <v>9725229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953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&amp;LOFFICE OF HEALTH CARE ACCESS&amp;CTWELVE MONTHS ACTUAL FILING&amp;RBRISTOL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967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710</v>
      </c>
      <c r="D8" s="35" t="s">
        <v>710</v>
      </c>
      <c r="E8" s="35" t="s">
        <v>121</v>
      </c>
      <c r="F8" s="35" t="s">
        <v>122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123</v>
      </c>
      <c r="B9" s="606" t="s">
        <v>124</v>
      </c>
      <c r="C9" s="607" t="s">
        <v>712</v>
      </c>
      <c r="D9" s="607" t="s">
        <v>713</v>
      </c>
      <c r="E9" s="605" t="s">
        <v>126</v>
      </c>
      <c r="F9" s="605" t="s">
        <v>126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129</v>
      </c>
      <c r="B11" s="606" t="s">
        <v>968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969</v>
      </c>
      <c r="C12" s="49">
        <v>274</v>
      </c>
      <c r="D12" s="49">
        <v>310</v>
      </c>
      <c r="E12" s="49">
        <f>+D12-C12</f>
        <v>36</v>
      </c>
      <c r="F12" s="70">
        <f>IF(C12=0,0,+E12/C12)</f>
        <v>0.13138686131386862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970</v>
      </c>
      <c r="C13" s="49">
        <v>262</v>
      </c>
      <c r="D13" s="49">
        <v>271</v>
      </c>
      <c r="E13" s="49">
        <f>+D13-C13</f>
        <v>9</v>
      </c>
      <c r="F13" s="70">
        <f>IF(C13=0,0,+E13/C13)</f>
        <v>0.03435114503816794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971</v>
      </c>
      <c r="C15" s="51">
        <v>929468</v>
      </c>
      <c r="D15" s="51">
        <v>558883</v>
      </c>
      <c r="E15" s="51">
        <f>+D15-C15</f>
        <v>-370585</v>
      </c>
      <c r="F15" s="70">
        <f>IF(C15=0,0,+E15/C15)</f>
        <v>-0.39870657193147047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972</v>
      </c>
      <c r="C16" s="27">
        <f>IF(C13=0,0,+C15/+C13)</f>
        <v>3547.587786259542</v>
      </c>
      <c r="D16" s="27">
        <f>IF(D13=0,0,+D15/+D13)</f>
        <v>2062.2988929889298</v>
      </c>
      <c r="E16" s="27">
        <f>+D16-C16</f>
        <v>-1485.2888932706123</v>
      </c>
      <c r="F16" s="28">
        <f>IF(C16=0,0,+E16/C16)</f>
        <v>-0.4186757263691708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973</v>
      </c>
      <c r="C18" s="210">
        <v>0.333691</v>
      </c>
      <c r="D18" s="210">
        <v>0.327496</v>
      </c>
      <c r="E18" s="210">
        <f>+D18-C18</f>
        <v>-0.006195000000000006</v>
      </c>
      <c r="F18" s="70">
        <f>IF(C18=0,0,+E18/C18)</f>
        <v>-0.01856507966951463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974</v>
      </c>
      <c r="C19" s="27">
        <f>+C15*C18</f>
        <v>310155.106388</v>
      </c>
      <c r="D19" s="27">
        <f>+D15*D18</f>
        <v>183031.946968</v>
      </c>
      <c r="E19" s="27">
        <f>+D19-C19</f>
        <v>-127123.15942000001</v>
      </c>
      <c r="F19" s="28">
        <f>IF(C19=0,0,+E19/C19)</f>
        <v>-0.4098696323283183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975</v>
      </c>
      <c r="C20" s="27">
        <f>IF(C13=0,0,+C19/C13)</f>
        <v>1183.798115984733</v>
      </c>
      <c r="D20" s="27">
        <f>IF(D13=0,0,+D19/D13)</f>
        <v>675.3946382583026</v>
      </c>
      <c r="E20" s="27">
        <f>+D20-C20</f>
        <v>-508.4034777264303</v>
      </c>
      <c r="F20" s="28">
        <f>IF(C20=0,0,+E20/C20)</f>
        <v>-0.4294680578229498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976</v>
      </c>
      <c r="C22" s="51">
        <v>302760</v>
      </c>
      <c r="D22" s="51">
        <v>311902</v>
      </c>
      <c r="E22" s="51">
        <f>+D22-C22</f>
        <v>9142</v>
      </c>
      <c r="F22" s="70">
        <f>IF(C22=0,0,+E22/C22)</f>
        <v>0.030195534416699695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977</v>
      </c>
      <c r="C23" s="49">
        <v>503643</v>
      </c>
      <c r="D23" s="49">
        <v>148746</v>
      </c>
      <c r="E23" s="49">
        <f>+D23-C23</f>
        <v>-354897</v>
      </c>
      <c r="F23" s="70">
        <f>IF(C23=0,0,+E23/C23)</f>
        <v>-0.7046598483449587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0</v>
      </c>
      <c r="C24" s="49">
        <v>123065</v>
      </c>
      <c r="D24" s="49">
        <v>98235</v>
      </c>
      <c r="E24" s="49">
        <f>+D24-C24</f>
        <v>-24830</v>
      </c>
      <c r="F24" s="70">
        <f>IF(C24=0,0,+E24/C24)</f>
        <v>-0.20176329581928248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971</v>
      </c>
      <c r="C25" s="27">
        <f>+C22+C23+C24</f>
        <v>929468</v>
      </c>
      <c r="D25" s="27">
        <f>+D22+D23+D24</f>
        <v>558883</v>
      </c>
      <c r="E25" s="27">
        <f>+E22+E23+E24</f>
        <v>-370585</v>
      </c>
      <c r="F25" s="28">
        <f>IF(C25=0,0,+E25/C25)</f>
        <v>-0.39870657193147047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</v>
      </c>
      <c r="C27" s="49">
        <v>108</v>
      </c>
      <c r="D27" s="49">
        <v>64</v>
      </c>
      <c r="E27" s="49">
        <f>+D27-C27</f>
        <v>-44</v>
      </c>
      <c r="F27" s="70">
        <f>IF(C27=0,0,+E27/C27)</f>
        <v>-0.4074074074074074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</v>
      </c>
      <c r="C28" s="49">
        <v>57</v>
      </c>
      <c r="D28" s="49">
        <v>14</v>
      </c>
      <c r="E28" s="49">
        <f>+D28-C28</f>
        <v>-43</v>
      </c>
      <c r="F28" s="70">
        <f>IF(C28=0,0,+E28/C28)</f>
        <v>-0.7543859649122807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3</v>
      </c>
      <c r="C29" s="49">
        <v>119</v>
      </c>
      <c r="D29" s="49">
        <v>97</v>
      </c>
      <c r="E29" s="49">
        <f>+D29-C29</f>
        <v>-22</v>
      </c>
      <c r="F29" s="70">
        <f>IF(C29=0,0,+E29/C29)</f>
        <v>-0.18487394957983194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</v>
      </c>
      <c r="C30" s="49">
        <v>351</v>
      </c>
      <c r="D30" s="49">
        <v>251</v>
      </c>
      <c r="E30" s="49">
        <f>+D30-C30</f>
        <v>-100</v>
      </c>
      <c r="F30" s="70">
        <f>IF(C30=0,0,+E30/C30)</f>
        <v>-0.2849002849002849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141</v>
      </c>
      <c r="B32" s="606" t="s">
        <v>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6</v>
      </c>
      <c r="C33" s="51">
        <v>3357783</v>
      </c>
      <c r="D33" s="51">
        <v>2656979</v>
      </c>
      <c r="E33" s="51">
        <f>+D33-C33</f>
        <v>-700804</v>
      </c>
      <c r="F33" s="70">
        <f>IF(C33=0,0,+E33/C33)</f>
        <v>-0.20871033059611058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7</v>
      </c>
      <c r="C34" s="49">
        <v>6352293</v>
      </c>
      <c r="D34" s="49">
        <v>5506317</v>
      </c>
      <c r="E34" s="49">
        <f>+D34-C34</f>
        <v>-845976</v>
      </c>
      <c r="F34" s="70">
        <f>IF(C34=0,0,+E34/C34)</f>
        <v>-0.13317647658884751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8</v>
      </c>
      <c r="C35" s="49">
        <v>1241546</v>
      </c>
      <c r="D35" s="49">
        <v>1003050</v>
      </c>
      <c r="E35" s="49">
        <f>+D35-C35</f>
        <v>-238496</v>
      </c>
      <c r="F35" s="70">
        <f>IF(C35=0,0,+E35/C35)</f>
        <v>-0.19209598355598584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9</v>
      </c>
      <c r="C36" s="27">
        <f>+C33+C34+C35</f>
        <v>10951622</v>
      </c>
      <c r="D36" s="27">
        <f>+D33+D34+D35</f>
        <v>9166346</v>
      </c>
      <c r="E36" s="27">
        <f>+E33+E34+E35</f>
        <v>-1785276</v>
      </c>
      <c r="F36" s="28">
        <f>IF(C36=0,0,+E36/C36)</f>
        <v>-0.1630147570834713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151</v>
      </c>
      <c r="B38" s="606" t="s">
        <v>10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</v>
      </c>
      <c r="C39" s="51">
        <f>+C25</f>
        <v>929468</v>
      </c>
      <c r="D39" s="51">
        <f>+D25</f>
        <v>558883</v>
      </c>
      <c r="E39" s="51">
        <f>+D39-C39</f>
        <v>-370585</v>
      </c>
      <c r="F39" s="70">
        <f>IF(C39=0,0,+E39/C39)</f>
        <v>-0.39870657193147047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12</v>
      </c>
      <c r="C40" s="49">
        <f>+C36</f>
        <v>10951622</v>
      </c>
      <c r="D40" s="49">
        <f>+D36</f>
        <v>9166346</v>
      </c>
      <c r="E40" s="49">
        <f>+D40-C40</f>
        <v>-1785276</v>
      </c>
      <c r="F40" s="70">
        <f>IF(C40=0,0,+E40/C40)</f>
        <v>-0.1630147570834713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13</v>
      </c>
      <c r="C41" s="27">
        <f>+C39+C40</f>
        <v>11881090</v>
      </c>
      <c r="D41" s="27">
        <f>+D39+D40</f>
        <v>9725229</v>
      </c>
      <c r="E41" s="27">
        <f>+E39+E40</f>
        <v>-2155861</v>
      </c>
      <c r="F41" s="28">
        <f>IF(C41=0,0,+E41/C41)</f>
        <v>-0.1814531326671206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14</v>
      </c>
      <c r="C43" s="51">
        <f aca="true" t="shared" si="0" ref="C43:D45">+C22+C33</f>
        <v>3660543</v>
      </c>
      <c r="D43" s="51">
        <f t="shared" si="0"/>
        <v>2968881</v>
      </c>
      <c r="E43" s="51">
        <f>+D43-C43</f>
        <v>-691662</v>
      </c>
      <c r="F43" s="70">
        <f>IF(C43=0,0,+E43/C43)</f>
        <v>-0.1889506556814112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15</v>
      </c>
      <c r="C44" s="49">
        <f t="shared" si="0"/>
        <v>6855936</v>
      </c>
      <c r="D44" s="49">
        <f t="shared" si="0"/>
        <v>5655063</v>
      </c>
      <c r="E44" s="49">
        <f>+D44-C44</f>
        <v>-1200873</v>
      </c>
      <c r="F44" s="70">
        <f>IF(C44=0,0,+E44/C44)</f>
        <v>-0.17515814033269855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16</v>
      </c>
      <c r="C45" s="49">
        <f t="shared" si="0"/>
        <v>1364611</v>
      </c>
      <c r="D45" s="49">
        <f t="shared" si="0"/>
        <v>1101285</v>
      </c>
      <c r="E45" s="49">
        <f>+D45-C45</f>
        <v>-263326</v>
      </c>
      <c r="F45" s="70">
        <f>IF(C45=0,0,+E45/C45)</f>
        <v>-0.19296781280526099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13</v>
      </c>
      <c r="C46" s="27">
        <f>+C43+C44+C45</f>
        <v>11881090</v>
      </c>
      <c r="D46" s="27">
        <f>+D43+D44+D45</f>
        <v>9725229</v>
      </c>
      <c r="E46" s="27">
        <f>+E43+E44+E45</f>
        <v>-2155861</v>
      </c>
      <c r="F46" s="28">
        <f>IF(C46=0,0,+E46/C46)</f>
        <v>-0.1814531326671206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64" r:id="rId1"/>
  <headerFooter alignWithMargins="0">
    <oddHeader>&amp;LOFFICE OF HEALTH CARE ACCESS&amp;CTWELVE MONTHS ACTUAL FILING&amp;RBRISTOL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712</v>
      </c>
      <c r="D9" s="35" t="s">
        <v>713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20</v>
      </c>
      <c r="D10" s="35" t="s">
        <v>20</v>
      </c>
      <c r="E10" s="35" t="s">
        <v>121</v>
      </c>
      <c r="F10" s="35" t="s">
        <v>122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123</v>
      </c>
      <c r="B11" s="606" t="s">
        <v>124</v>
      </c>
      <c r="C11" s="605" t="s">
        <v>21</v>
      </c>
      <c r="D11" s="605" t="s">
        <v>21</v>
      </c>
      <c r="E11" s="605" t="s">
        <v>126</v>
      </c>
      <c r="F11" s="605" t="s">
        <v>126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440</v>
      </c>
      <c r="C15" s="51">
        <v>126486016</v>
      </c>
      <c r="D15" s="51">
        <v>131777027</v>
      </c>
      <c r="E15" s="51">
        <f>+D15-C15</f>
        <v>5291011</v>
      </c>
      <c r="F15" s="70">
        <f>+E15/C15</f>
        <v>0.04183079811763539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23</v>
      </c>
      <c r="C17" s="51">
        <v>79891276</v>
      </c>
      <c r="D17" s="51">
        <v>75988601</v>
      </c>
      <c r="E17" s="51">
        <f>+D17-C17</f>
        <v>-3902675</v>
      </c>
      <c r="F17" s="70">
        <f>+E17/C17</f>
        <v>-0.04884982685719026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24</v>
      </c>
      <c r="C19" s="27">
        <f>+C15-C17</f>
        <v>46594740</v>
      </c>
      <c r="D19" s="27">
        <f>+D15-D17</f>
        <v>55788426</v>
      </c>
      <c r="E19" s="27">
        <f>+D19-C19</f>
        <v>9193686</v>
      </c>
      <c r="F19" s="28">
        <f>+E19/C19</f>
        <v>0.19731167080232662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8">
        <f>+C17/C15</f>
        <v>0.6316214118088754</v>
      </c>
      <c r="D21" s="628">
        <f>+D17/D15</f>
        <v>0.5766452827927283</v>
      </c>
      <c r="E21" s="628">
        <f>+D21-C21</f>
        <v>-0.054976129016147124</v>
      </c>
      <c r="F21" s="28">
        <f>+E21/C21</f>
        <v>-0.0870396854639604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FILING&amp;R&amp;12BRISTOL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115</v>
      </c>
      <c r="B1" s="718"/>
      <c r="C1" s="718"/>
      <c r="D1" s="718"/>
      <c r="E1" s="718"/>
      <c r="F1" s="630"/>
    </row>
    <row r="2" spans="1:6" ht="25.5" customHeight="1">
      <c r="A2" s="718" t="s">
        <v>116</v>
      </c>
      <c r="B2" s="718"/>
      <c r="C2" s="718"/>
      <c r="D2" s="718"/>
      <c r="E2" s="718"/>
      <c r="F2" s="630"/>
    </row>
    <row r="3" spans="1:6" ht="25.5" customHeight="1">
      <c r="A3" s="718" t="s">
        <v>117</v>
      </c>
      <c r="B3" s="718"/>
      <c r="C3" s="718"/>
      <c r="D3" s="718"/>
      <c r="E3" s="718"/>
      <c r="F3" s="630"/>
    </row>
    <row r="4" spans="1:6" ht="25.5" customHeight="1">
      <c r="A4" s="718" t="s">
        <v>27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28</v>
      </c>
      <c r="B6" s="632" t="s">
        <v>29</v>
      </c>
      <c r="C6" s="632" t="s">
        <v>30</v>
      </c>
      <c r="D6" s="632" t="s">
        <v>31</v>
      </c>
      <c r="E6" s="632" t="s">
        <v>32</v>
      </c>
    </row>
    <row r="7" spans="1:5" ht="37.5" customHeight="1">
      <c r="A7" s="633" t="s">
        <v>123</v>
      </c>
      <c r="B7" s="634" t="s">
        <v>33</v>
      </c>
      <c r="C7" s="631" t="s">
        <v>34</v>
      </c>
      <c r="D7" s="631" t="s">
        <v>35</v>
      </c>
      <c r="E7" s="631" t="s">
        <v>36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129</v>
      </c>
      <c r="B9" s="637" t="s">
        <v>37</v>
      </c>
      <c r="C9" s="638"/>
      <c r="D9" s="638"/>
      <c r="E9" s="638"/>
    </row>
    <row r="10" spans="1:5" ht="25.5" customHeight="1">
      <c r="A10" s="639">
        <v>1</v>
      </c>
      <c r="B10" s="640" t="s">
        <v>38</v>
      </c>
      <c r="C10" s="641">
        <v>139401359</v>
      </c>
      <c r="D10" s="641">
        <v>146408469</v>
      </c>
      <c r="E10" s="641">
        <v>152310534</v>
      </c>
    </row>
    <row r="11" spans="1:5" ht="25.5" customHeight="1">
      <c r="A11" s="639">
        <v>2</v>
      </c>
      <c r="B11" s="640" t="s">
        <v>39</v>
      </c>
      <c r="C11" s="641">
        <v>190285408</v>
      </c>
      <c r="D11" s="641">
        <v>198062826</v>
      </c>
      <c r="E11" s="641">
        <v>206781547</v>
      </c>
    </row>
    <row r="12" spans="1:5" ht="25.5" customHeight="1">
      <c r="A12" s="639">
        <v>3</v>
      </c>
      <c r="B12" s="640" t="s">
        <v>186</v>
      </c>
      <c r="C12" s="641">
        <f>+C11+C10</f>
        <v>329686767</v>
      </c>
      <c r="D12" s="641">
        <f>+D11+D10</f>
        <v>344471295</v>
      </c>
      <c r="E12" s="641">
        <f>+E11+E10</f>
        <v>359092081</v>
      </c>
    </row>
    <row r="13" spans="1:5" ht="25.5" customHeight="1">
      <c r="A13" s="639">
        <v>4</v>
      </c>
      <c r="B13" s="640" t="s">
        <v>599</v>
      </c>
      <c r="C13" s="641">
        <v>114164519</v>
      </c>
      <c r="D13" s="641">
        <v>119290195</v>
      </c>
      <c r="E13" s="641">
        <v>124989832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141</v>
      </c>
      <c r="B15" s="642" t="s">
        <v>439</v>
      </c>
      <c r="C15" s="641"/>
      <c r="D15" s="641"/>
      <c r="E15" s="641"/>
    </row>
    <row r="16" spans="1:5" ht="25.5" customHeight="1">
      <c r="A16" s="639">
        <v>1</v>
      </c>
      <c r="B16" s="640" t="s">
        <v>40</v>
      </c>
      <c r="C16" s="641">
        <v>122064635</v>
      </c>
      <c r="D16" s="641">
        <v>125713012</v>
      </c>
      <c r="E16" s="641">
        <v>129657399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151</v>
      </c>
      <c r="B18" s="642" t="s">
        <v>41</v>
      </c>
      <c r="C18" s="643"/>
      <c r="D18" s="643"/>
      <c r="E18" s="641"/>
    </row>
    <row r="19" spans="1:5" ht="25.5" customHeight="1">
      <c r="A19" s="639">
        <v>1</v>
      </c>
      <c r="B19" s="640" t="s">
        <v>487</v>
      </c>
      <c r="C19" s="644">
        <v>33663</v>
      </c>
      <c r="D19" s="644">
        <v>33258</v>
      </c>
      <c r="E19" s="644">
        <v>33658</v>
      </c>
    </row>
    <row r="20" spans="1:5" ht="25.5" customHeight="1">
      <c r="A20" s="639">
        <v>2</v>
      </c>
      <c r="B20" s="640" t="s">
        <v>488</v>
      </c>
      <c r="C20" s="645">
        <v>8064</v>
      </c>
      <c r="D20" s="645">
        <v>8016</v>
      </c>
      <c r="E20" s="645">
        <v>7846</v>
      </c>
    </row>
    <row r="21" spans="1:5" ht="25.5" customHeight="1">
      <c r="A21" s="639">
        <v>3</v>
      </c>
      <c r="B21" s="640" t="s">
        <v>42</v>
      </c>
      <c r="C21" s="646">
        <f>IF(C20=0,0,+C19/C20)</f>
        <v>4.174479166666667</v>
      </c>
      <c r="D21" s="646">
        <f>IF(D20=0,0,+D19/D20)</f>
        <v>4.148952095808383</v>
      </c>
      <c r="E21" s="646">
        <f>IF(E20=0,0,+E19/E20)</f>
        <v>4.289829212337497</v>
      </c>
    </row>
    <row r="22" spans="1:5" ht="25.5" customHeight="1">
      <c r="A22" s="639">
        <v>4</v>
      </c>
      <c r="B22" s="640" t="s">
        <v>43</v>
      </c>
      <c r="C22" s="645">
        <f>IF(C10=0,0,C19*(C12/C10))</f>
        <v>79613.61149657803</v>
      </c>
      <c r="D22" s="645">
        <f>IF(D10=0,0,D19*(D12/D10))</f>
        <v>78249.75158445239</v>
      </c>
      <c r="E22" s="645">
        <f>IF(E10=0,0,E19*(E12/E10))</f>
        <v>79353.15401295882</v>
      </c>
    </row>
    <row r="23" spans="1:5" ht="25.5" customHeight="1">
      <c r="A23" s="639">
        <v>0</v>
      </c>
      <c r="B23" s="640" t="s">
        <v>44</v>
      </c>
      <c r="C23" s="645">
        <f>IF(C10=0,0,C20*(C12/C10))</f>
        <v>19071.507682274463</v>
      </c>
      <c r="D23" s="645">
        <f>IF(D10=0,0,D20*(D12/D10))</f>
        <v>18860.1241415891</v>
      </c>
      <c r="E23" s="645">
        <f>IF(E10=0,0,E20*(E12/E10))</f>
        <v>18497.975113960274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436</v>
      </c>
      <c r="B25" s="642" t="s">
        <v>45</v>
      </c>
      <c r="C25" s="645"/>
      <c r="D25" s="645"/>
      <c r="E25" s="645"/>
    </row>
    <row r="26" spans="1:5" ht="25.5" customHeight="1">
      <c r="A26" s="639">
        <v>1</v>
      </c>
      <c r="B26" s="640" t="s">
        <v>537</v>
      </c>
      <c r="C26" s="647">
        <v>1.0388352678571426</v>
      </c>
      <c r="D26" s="647">
        <v>1.0817031312375247</v>
      </c>
      <c r="E26" s="647">
        <v>1.089638172317104</v>
      </c>
    </row>
    <row r="27" spans="1:5" ht="25.5" customHeight="1">
      <c r="A27" s="639">
        <v>2</v>
      </c>
      <c r="B27" s="640" t="s">
        <v>46</v>
      </c>
      <c r="C27" s="645">
        <f>C19*C26</f>
        <v>34970.31162187499</v>
      </c>
      <c r="D27" s="645">
        <f>D19*D26</f>
        <v>35975.2827386976</v>
      </c>
      <c r="E27" s="645">
        <f>E19*E26</f>
        <v>36675.04160384909</v>
      </c>
    </row>
    <row r="28" spans="1:5" ht="25.5" customHeight="1">
      <c r="A28" s="639">
        <v>3</v>
      </c>
      <c r="B28" s="640" t="s">
        <v>47</v>
      </c>
      <c r="C28" s="645">
        <f>C20*C26</f>
        <v>8377.167599999999</v>
      </c>
      <c r="D28" s="645">
        <f>D20*D26</f>
        <v>8670.932299999999</v>
      </c>
      <c r="E28" s="645">
        <f>E20*E26</f>
        <v>8549.301099999999</v>
      </c>
    </row>
    <row r="29" spans="1:5" ht="25.5" customHeight="1">
      <c r="A29" s="639">
        <v>4</v>
      </c>
      <c r="B29" s="640" t="s">
        <v>48</v>
      </c>
      <c r="C29" s="645">
        <f>C22*C26</f>
        <v>82705.42742412213</v>
      </c>
      <c r="D29" s="645">
        <f>D22*D26</f>
        <v>84643.00130746061</v>
      </c>
      <c r="E29" s="645">
        <f>E22*E26</f>
        <v>86466.22570627813</v>
      </c>
    </row>
    <row r="30" spans="1:5" ht="25.5" customHeight="1">
      <c r="A30" s="639">
        <v>5</v>
      </c>
      <c r="B30" s="640" t="s">
        <v>49</v>
      </c>
      <c r="C30" s="645">
        <f>C23*C26</f>
        <v>19812.154791555145</v>
      </c>
      <c r="D30" s="645">
        <f>D23*D26</f>
        <v>20401.055339485363</v>
      </c>
      <c r="E30" s="645">
        <f>E23*E26</f>
        <v>20156.099794742946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457</v>
      </c>
      <c r="B32" s="634" t="s">
        <v>50</v>
      </c>
      <c r="C32" s="648"/>
      <c r="D32" s="648"/>
      <c r="E32" s="645"/>
    </row>
    <row r="33" spans="1:5" ht="25.5" customHeight="1">
      <c r="A33" s="639">
        <v>1</v>
      </c>
      <c r="B33" s="640" t="s">
        <v>51</v>
      </c>
      <c r="C33" s="641">
        <f>IF(C19=0,0,C12/C19)</f>
        <v>9793.742892790304</v>
      </c>
      <c r="D33" s="641">
        <f>IF(D19=0,0,D12/D19)</f>
        <v>10357.546906007577</v>
      </c>
      <c r="E33" s="641">
        <f>IF(E19=0,0,E12/E19)</f>
        <v>10668.847851922277</v>
      </c>
    </row>
    <row r="34" spans="1:5" ht="25.5" customHeight="1">
      <c r="A34" s="639">
        <v>2</v>
      </c>
      <c r="B34" s="640" t="s">
        <v>52</v>
      </c>
      <c r="C34" s="641">
        <f>IF(C20=0,0,C12/C20)</f>
        <v>40883.775669642855</v>
      </c>
      <c r="D34" s="641">
        <f>IF(D20=0,0,D12/D20)</f>
        <v>42972.96594311377</v>
      </c>
      <c r="E34" s="641">
        <f>IF(E20=0,0,E12/E20)</f>
        <v>45767.53517716034</v>
      </c>
    </row>
    <row r="35" spans="1:5" ht="25.5" customHeight="1">
      <c r="A35" s="639">
        <v>3</v>
      </c>
      <c r="B35" s="640" t="s">
        <v>53</v>
      </c>
      <c r="C35" s="641">
        <f>IF(C22=0,0,C12/C22)</f>
        <v>4141.085435047381</v>
      </c>
      <c r="D35" s="641">
        <f>IF(D22=0,0,D12/D22)</f>
        <v>4402.203048890493</v>
      </c>
      <c r="E35" s="641">
        <f>IF(E22=0,0,E12/E22)</f>
        <v>4525.2401806405605</v>
      </c>
    </row>
    <row r="36" spans="1:5" ht="25.5" customHeight="1">
      <c r="A36" s="639">
        <v>4</v>
      </c>
      <c r="B36" s="640" t="s">
        <v>54</v>
      </c>
      <c r="C36" s="641">
        <f>IF(C23=0,0,C12/C23)</f>
        <v>17286.87487599206</v>
      </c>
      <c r="D36" s="641">
        <f>IF(D23=0,0,D12/D23)</f>
        <v>18264.529565868266</v>
      </c>
      <c r="E36" s="641">
        <f>IF(E23=0,0,E12/E23)</f>
        <v>19412.507519755287</v>
      </c>
    </row>
    <row r="37" spans="1:5" ht="25.5" customHeight="1">
      <c r="A37" s="639">
        <v>5</v>
      </c>
      <c r="B37" s="640" t="s">
        <v>55</v>
      </c>
      <c r="C37" s="641">
        <f>IF(C29=0,0,C12/C29)</f>
        <v>3986.277288784587</v>
      </c>
      <c r="D37" s="641">
        <f>IF(D29=0,0,D12/D29)</f>
        <v>4069.696131741935</v>
      </c>
      <c r="E37" s="641">
        <f>IF(E29=0,0,E12/E29)</f>
        <v>4152.975084396763</v>
      </c>
    </row>
    <row r="38" spans="1:5" ht="25.5" customHeight="1">
      <c r="A38" s="639">
        <v>6</v>
      </c>
      <c r="B38" s="640" t="s">
        <v>56</v>
      </c>
      <c r="C38" s="641">
        <f>IF(C30=0,0,C12/C30)</f>
        <v>16640.631494587742</v>
      </c>
      <c r="D38" s="641">
        <f>IF(D30=0,0,D12/D30)</f>
        <v>16884.974295093973</v>
      </c>
      <c r="E38" s="641">
        <f>IF(E30=0,0,E12/E30)</f>
        <v>17815.55383515502</v>
      </c>
    </row>
    <row r="39" spans="1:5" ht="25.5" customHeight="1">
      <c r="A39" s="639">
        <v>7</v>
      </c>
      <c r="B39" s="640" t="s">
        <v>57</v>
      </c>
      <c r="C39" s="641">
        <f>IF(C22=0,0,C10/C22)</f>
        <v>1750.973940002606</v>
      </c>
      <c r="D39" s="641">
        <f>IF(D22=0,0,D10/D22)</f>
        <v>1871.0406874836676</v>
      </c>
      <c r="E39" s="641">
        <f>IF(E22=0,0,E10/E22)</f>
        <v>1919.401136533613</v>
      </c>
    </row>
    <row r="40" spans="1:5" ht="25.5" customHeight="1">
      <c r="A40" s="639">
        <v>8</v>
      </c>
      <c r="B40" s="640" t="s">
        <v>58</v>
      </c>
      <c r="C40" s="641">
        <f>IF(C23=0,0,C10/C23)</f>
        <v>7309.404233917128</v>
      </c>
      <c r="D40" s="641">
        <f>IF(D23=0,0,D10/D23)</f>
        <v>7762.858181678121</v>
      </c>
      <c r="E40" s="641">
        <f>IF(E23=0,0,E10/E23)</f>
        <v>8233.903065695686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469</v>
      </c>
      <c r="B42" s="634" t="s">
        <v>59</v>
      </c>
      <c r="C42" s="641"/>
      <c r="D42" s="641"/>
      <c r="E42" s="641"/>
    </row>
    <row r="43" spans="1:5" ht="25.5" customHeight="1">
      <c r="A43" s="639">
        <v>1</v>
      </c>
      <c r="B43" s="640" t="s">
        <v>60</v>
      </c>
      <c r="C43" s="641">
        <f>IF(C19=0,0,C13/C19)</f>
        <v>3391.3946766479517</v>
      </c>
      <c r="D43" s="641">
        <f>IF(D19=0,0,D13/D19)</f>
        <v>3586.812045222202</v>
      </c>
      <c r="E43" s="641">
        <f>IF(E19=0,0,E13/E19)</f>
        <v>3713.5252243151704</v>
      </c>
    </row>
    <row r="44" spans="1:5" ht="25.5" customHeight="1">
      <c r="A44" s="639">
        <v>2</v>
      </c>
      <c r="B44" s="640" t="s">
        <v>61</v>
      </c>
      <c r="C44" s="641">
        <f>IF(C20=0,0,C13/C20)</f>
        <v>14157.306423611111</v>
      </c>
      <c r="D44" s="641">
        <f>IF(D20=0,0,D13/D20)</f>
        <v>14881.511352295409</v>
      </c>
      <c r="E44" s="641">
        <f>IF(E20=0,0,E13/E20)</f>
        <v>15930.388988019373</v>
      </c>
    </row>
    <row r="45" spans="1:5" ht="25.5" customHeight="1">
      <c r="A45" s="639">
        <v>3</v>
      </c>
      <c r="B45" s="640" t="s">
        <v>62</v>
      </c>
      <c r="C45" s="641">
        <f>IF(C22=0,0,C13/C22)</f>
        <v>1433.9824164980514</v>
      </c>
      <c r="D45" s="641">
        <f>IF(D22=0,0,D13/D22)</f>
        <v>1524.480175138371</v>
      </c>
      <c r="E45" s="641">
        <f>IF(E22=0,0,E13/E22)</f>
        <v>1575.1085581247148</v>
      </c>
    </row>
    <row r="46" spans="1:5" ht="25.5" customHeight="1">
      <c r="A46" s="639">
        <v>4</v>
      </c>
      <c r="B46" s="640" t="s">
        <v>63</v>
      </c>
      <c r="C46" s="641">
        <f>IF(C23=0,0,C13/C23)</f>
        <v>5986.1297230374375</v>
      </c>
      <c r="D46" s="641">
        <f>IF(D23=0,0,D13/D23)</f>
        <v>6324.995217658676</v>
      </c>
      <c r="E46" s="641">
        <f>IF(E23=0,0,E13/E23)</f>
        <v>6756.946705246196</v>
      </c>
    </row>
    <row r="47" spans="1:5" ht="25.5" customHeight="1">
      <c r="A47" s="639">
        <v>5</v>
      </c>
      <c r="B47" s="640" t="s">
        <v>64</v>
      </c>
      <c r="C47" s="641">
        <f>IF(C29=0,0,C13/C29)</f>
        <v>1380.3751767650308</v>
      </c>
      <c r="D47" s="641">
        <f>IF(D29=0,0,D13/D29)</f>
        <v>1409.3332367396276</v>
      </c>
      <c r="E47" s="641">
        <f>IF(E29=0,0,E13/E29)</f>
        <v>1445.5335708139364</v>
      </c>
    </row>
    <row r="48" spans="1:5" ht="25.5" customHeight="1">
      <c r="A48" s="639">
        <v>6</v>
      </c>
      <c r="B48" s="640" t="s">
        <v>65</v>
      </c>
      <c r="C48" s="641">
        <f>IF(C30=0,0,C13/C30)</f>
        <v>5762.347417589438</v>
      </c>
      <c r="D48" s="641">
        <f>IF(D30=0,0,D13/D30)</f>
        <v>5847.256086263291</v>
      </c>
      <c r="E48" s="641">
        <f>IF(E30=0,0,E13/E30)</f>
        <v>6201.092139492159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481</v>
      </c>
      <c r="B50" s="634" t="s">
        <v>66</v>
      </c>
      <c r="C50" s="648"/>
      <c r="D50" s="648"/>
      <c r="E50" s="641"/>
    </row>
    <row r="51" spans="1:5" ht="25.5" customHeight="1">
      <c r="A51" s="639">
        <v>1</v>
      </c>
      <c r="B51" s="640" t="s">
        <v>67</v>
      </c>
      <c r="C51" s="641">
        <f>IF(C19=0,0,C16/C19)</f>
        <v>3626.0771470160116</v>
      </c>
      <c r="D51" s="641">
        <f>IF(D19=0,0,D16/D19)</f>
        <v>3779.9330085994347</v>
      </c>
      <c r="E51" s="641">
        <f>IF(E19=0,0,E16/E19)</f>
        <v>3852.2015271257947</v>
      </c>
    </row>
    <row r="52" spans="1:5" ht="25.5" customHeight="1">
      <c r="A52" s="639">
        <v>2</v>
      </c>
      <c r="B52" s="640" t="s">
        <v>68</v>
      </c>
      <c r="C52" s="641">
        <f>IF(C20=0,0,C16/C20)</f>
        <v>15136.983506944445</v>
      </c>
      <c r="D52" s="641">
        <f>IF(D20=0,0,D16/D20)</f>
        <v>15682.760978043912</v>
      </c>
      <c r="E52" s="641">
        <f>IF(E20=0,0,E16/E20)</f>
        <v>16525.28664287535</v>
      </c>
    </row>
    <row r="53" spans="1:5" ht="25.5" customHeight="1">
      <c r="A53" s="639">
        <v>3</v>
      </c>
      <c r="B53" s="640" t="s">
        <v>69</v>
      </c>
      <c r="C53" s="641">
        <f>IF(C22=0,0,C16/C22)</f>
        <v>1533.2131366160497</v>
      </c>
      <c r="D53" s="641">
        <f>IF(D22=0,0,D16/D22)</f>
        <v>1606.561164150433</v>
      </c>
      <c r="E53" s="641">
        <f>IF(E22=0,0,E16/E22)</f>
        <v>1633.928740612203</v>
      </c>
    </row>
    <row r="54" spans="1:5" ht="25.5" customHeight="1">
      <c r="A54" s="639">
        <v>4</v>
      </c>
      <c r="B54" s="640" t="s">
        <v>70</v>
      </c>
      <c r="C54" s="641">
        <f>IF(C23=0,0,C16/C23)</f>
        <v>6400.366296863353</v>
      </c>
      <c r="D54" s="641">
        <f>IF(D23=0,0,D16/D23)</f>
        <v>6665.545309046294</v>
      </c>
      <c r="E54" s="641">
        <f>IF(E23=0,0,E16/E23)</f>
        <v>7009.275242356046</v>
      </c>
    </row>
    <row r="55" spans="1:5" ht="25.5" customHeight="1">
      <c r="A55" s="639">
        <v>5</v>
      </c>
      <c r="B55" s="640" t="s">
        <v>71</v>
      </c>
      <c r="C55" s="641">
        <f>IF(C29=0,0,C16/C29)</f>
        <v>1475.896308159315</v>
      </c>
      <c r="D55" s="641">
        <f>IF(D29=0,0,D16/D29)</f>
        <v>1485.2144897763615</v>
      </c>
      <c r="E55" s="641">
        <f>IF(E29=0,0,E16/E29)</f>
        <v>1499.5149602162624</v>
      </c>
    </row>
    <row r="56" spans="1:5" ht="25.5" customHeight="1">
      <c r="A56" s="639">
        <v>6</v>
      </c>
      <c r="B56" s="640" t="s">
        <v>72</v>
      </c>
      <c r="C56" s="641">
        <f>IF(C30=0,0,C16/C30)</f>
        <v>6161.0983905713065</v>
      </c>
      <c r="D56" s="641">
        <f>IF(D30=0,0,D16/D30)</f>
        <v>6162.083770082613</v>
      </c>
      <c r="E56" s="641">
        <f>IF(E30=0,0,E16/E30)</f>
        <v>6432.663080672823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485</v>
      </c>
      <c r="B58" s="642" t="s">
        <v>73</v>
      </c>
      <c r="C58" s="641"/>
      <c r="D58" s="641"/>
      <c r="E58" s="641"/>
    </row>
    <row r="59" spans="1:5" ht="25.5" customHeight="1">
      <c r="A59" s="639">
        <v>1</v>
      </c>
      <c r="B59" s="640" t="s">
        <v>74</v>
      </c>
      <c r="C59" s="649">
        <v>18953515</v>
      </c>
      <c r="D59" s="649">
        <v>19832509</v>
      </c>
      <c r="E59" s="649">
        <v>21080745</v>
      </c>
    </row>
    <row r="60" spans="1:5" ht="25.5" customHeight="1">
      <c r="A60" s="639">
        <v>2</v>
      </c>
      <c r="B60" s="640" t="s">
        <v>75</v>
      </c>
      <c r="C60" s="649">
        <v>5058484</v>
      </c>
      <c r="D60" s="649">
        <v>4792505</v>
      </c>
      <c r="E60" s="649">
        <v>5421117</v>
      </c>
    </row>
    <row r="61" spans="1:5" ht="25.5" customHeight="1">
      <c r="A61" s="650">
        <v>3</v>
      </c>
      <c r="B61" s="651" t="s">
        <v>76</v>
      </c>
      <c r="C61" s="652">
        <f>C59+C60</f>
        <v>24011999</v>
      </c>
      <c r="D61" s="652">
        <f>D59+D60</f>
        <v>24625014</v>
      </c>
      <c r="E61" s="652">
        <f>E59+E60</f>
        <v>26501862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127</v>
      </c>
      <c r="B63" s="642" t="s">
        <v>77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78</v>
      </c>
      <c r="C64" s="641">
        <v>814995</v>
      </c>
      <c r="D64" s="641">
        <v>724920</v>
      </c>
      <c r="E64" s="649">
        <v>539198</v>
      </c>
      <c r="F64" s="653"/>
    </row>
    <row r="65" spans="1:6" ht="25.5" customHeight="1">
      <c r="A65" s="639">
        <v>2</v>
      </c>
      <c r="B65" s="640" t="s">
        <v>79</v>
      </c>
      <c r="C65" s="649">
        <v>217513</v>
      </c>
      <c r="D65" s="649">
        <v>175176</v>
      </c>
      <c r="E65" s="649">
        <v>138660</v>
      </c>
      <c r="F65" s="653"/>
    </row>
    <row r="66" spans="1:6" ht="25.5" customHeight="1">
      <c r="A66" s="650">
        <v>3</v>
      </c>
      <c r="B66" s="651" t="s">
        <v>80</v>
      </c>
      <c r="C66" s="654">
        <f>C64+C65</f>
        <v>1032508</v>
      </c>
      <c r="D66" s="654">
        <f>D64+D65</f>
        <v>900096</v>
      </c>
      <c r="E66" s="654">
        <f>E64+E65</f>
        <v>677858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511</v>
      </c>
      <c r="B68" s="642" t="s">
        <v>81</v>
      </c>
      <c r="C68" s="649"/>
      <c r="D68" s="649"/>
      <c r="E68" s="649"/>
    </row>
    <row r="69" spans="1:5" ht="25.5" customHeight="1">
      <c r="A69" s="639">
        <v>1</v>
      </c>
      <c r="B69" s="640" t="s">
        <v>82</v>
      </c>
      <c r="C69" s="649">
        <v>29759319</v>
      </c>
      <c r="D69" s="649">
        <v>31278113</v>
      </c>
      <c r="E69" s="649">
        <v>32074903</v>
      </c>
    </row>
    <row r="70" spans="1:5" ht="25.5" customHeight="1">
      <c r="A70" s="639">
        <v>2</v>
      </c>
      <c r="B70" s="640" t="s">
        <v>83</v>
      </c>
      <c r="C70" s="649">
        <v>7942434</v>
      </c>
      <c r="D70" s="649">
        <v>7652934</v>
      </c>
      <c r="E70" s="649">
        <v>8248371</v>
      </c>
    </row>
    <row r="71" spans="1:5" ht="25.5" customHeight="1">
      <c r="A71" s="650">
        <v>3</v>
      </c>
      <c r="B71" s="651" t="s">
        <v>84</v>
      </c>
      <c r="C71" s="652">
        <f>C69+C70</f>
        <v>37701753</v>
      </c>
      <c r="D71" s="652">
        <f>D69+D70</f>
        <v>38931047</v>
      </c>
      <c r="E71" s="652">
        <f>E69+E70</f>
        <v>40323274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527</v>
      </c>
      <c r="B74" s="642" t="s">
        <v>85</v>
      </c>
      <c r="C74" s="641"/>
      <c r="D74" s="641"/>
      <c r="E74" s="641"/>
    </row>
    <row r="75" spans="1:5" ht="25.5" customHeight="1">
      <c r="A75" s="639">
        <v>1</v>
      </c>
      <c r="B75" s="640" t="s">
        <v>86</v>
      </c>
      <c r="C75" s="641">
        <f aca="true" t="shared" si="0" ref="C75:E76">+C59+C64+C69</f>
        <v>49527829</v>
      </c>
      <c r="D75" s="641">
        <f t="shared" si="0"/>
        <v>51835542</v>
      </c>
      <c r="E75" s="641">
        <f t="shared" si="0"/>
        <v>53694846</v>
      </c>
    </row>
    <row r="76" spans="1:5" ht="25.5" customHeight="1">
      <c r="A76" s="639">
        <v>2</v>
      </c>
      <c r="B76" s="640" t="s">
        <v>87</v>
      </c>
      <c r="C76" s="641">
        <f t="shared" si="0"/>
        <v>13218431</v>
      </c>
      <c r="D76" s="641">
        <f t="shared" si="0"/>
        <v>12620615</v>
      </c>
      <c r="E76" s="641">
        <f t="shared" si="0"/>
        <v>13808148</v>
      </c>
    </row>
    <row r="77" spans="1:5" ht="25.5" customHeight="1">
      <c r="A77" s="650">
        <v>3</v>
      </c>
      <c r="B77" s="651" t="s">
        <v>85</v>
      </c>
      <c r="C77" s="654">
        <f>C75+C76</f>
        <v>62746260</v>
      </c>
      <c r="D77" s="654">
        <f>D75+D76</f>
        <v>64456157</v>
      </c>
      <c r="E77" s="654">
        <f>E75+E76</f>
        <v>67502994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536</v>
      </c>
      <c r="B79" s="642" t="s">
        <v>88</v>
      </c>
      <c r="C79" s="649"/>
      <c r="D79" s="649"/>
      <c r="E79" s="649"/>
    </row>
    <row r="80" spans="1:5" ht="25.5" customHeight="1">
      <c r="A80" s="639">
        <v>1</v>
      </c>
      <c r="B80" s="640" t="s">
        <v>693</v>
      </c>
      <c r="C80" s="646">
        <v>272.4</v>
      </c>
      <c r="D80" s="646">
        <v>276.2</v>
      </c>
      <c r="E80" s="646">
        <v>285.8</v>
      </c>
    </row>
    <row r="81" spans="1:5" ht="25.5" customHeight="1">
      <c r="A81" s="639">
        <v>2</v>
      </c>
      <c r="B81" s="640" t="s">
        <v>694</v>
      </c>
      <c r="C81" s="646">
        <v>4</v>
      </c>
      <c r="D81" s="646">
        <v>3.7</v>
      </c>
      <c r="E81" s="646">
        <v>2.6</v>
      </c>
    </row>
    <row r="82" spans="1:5" ht="25.5" customHeight="1">
      <c r="A82" s="639">
        <v>3</v>
      </c>
      <c r="B82" s="640" t="s">
        <v>89</v>
      </c>
      <c r="C82" s="646">
        <v>600.1</v>
      </c>
      <c r="D82" s="646">
        <v>625.2</v>
      </c>
      <c r="E82" s="646">
        <v>611</v>
      </c>
    </row>
    <row r="83" spans="1:5" ht="25.5" customHeight="1">
      <c r="A83" s="650">
        <v>4</v>
      </c>
      <c r="B83" s="651" t="s">
        <v>88</v>
      </c>
      <c r="C83" s="656">
        <f>C80+C81+C82</f>
        <v>876.5</v>
      </c>
      <c r="D83" s="656">
        <f>D80+D81+D82</f>
        <v>905.1</v>
      </c>
      <c r="E83" s="656">
        <f>E80+E81+E82</f>
        <v>899.4000000000001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539</v>
      </c>
      <c r="B85" s="642" t="s">
        <v>90</v>
      </c>
      <c r="C85" s="657"/>
      <c r="D85" s="657"/>
      <c r="E85" s="657"/>
    </row>
    <row r="86" spans="1:5" ht="25.5" customHeight="1">
      <c r="A86" s="639">
        <v>1</v>
      </c>
      <c r="B86" s="640" t="s">
        <v>91</v>
      </c>
      <c r="C86" s="649">
        <f>IF(C80=0,0,C59/C80)</f>
        <v>69579.71732745963</v>
      </c>
      <c r="D86" s="649">
        <f>IF(D80=0,0,D59/D80)</f>
        <v>71804.88414192614</v>
      </c>
      <c r="E86" s="649">
        <f>IF(E80=0,0,E59/E80)</f>
        <v>73760.47935619314</v>
      </c>
    </row>
    <row r="87" spans="1:5" ht="25.5" customHeight="1">
      <c r="A87" s="639">
        <v>2</v>
      </c>
      <c r="B87" s="640" t="s">
        <v>92</v>
      </c>
      <c r="C87" s="649">
        <f>IF(C80=0,0,C60/C80)</f>
        <v>18570.05873715125</v>
      </c>
      <c r="D87" s="649">
        <f>IF(D80=0,0,D60/D80)</f>
        <v>17351.57494569153</v>
      </c>
      <c r="E87" s="649">
        <f>IF(E80=0,0,E60/E80)</f>
        <v>18968.219034289712</v>
      </c>
    </row>
    <row r="88" spans="1:5" ht="25.5" customHeight="1">
      <c r="A88" s="650">
        <v>3</v>
      </c>
      <c r="B88" s="651" t="s">
        <v>93</v>
      </c>
      <c r="C88" s="652">
        <f>+C86+C87</f>
        <v>88149.77606461088</v>
      </c>
      <c r="D88" s="652">
        <f>+D86+D87</f>
        <v>89156.45908761767</v>
      </c>
      <c r="E88" s="652">
        <f>+E86+E87</f>
        <v>92728.69839048285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691</v>
      </c>
      <c r="B90" s="642" t="s">
        <v>94</v>
      </c>
    </row>
    <row r="91" spans="1:5" ht="25.5" customHeight="1">
      <c r="A91" s="639">
        <v>1</v>
      </c>
      <c r="B91" s="640" t="s">
        <v>95</v>
      </c>
      <c r="C91" s="641">
        <f>IF(C81=0,0,C64/C81)</f>
        <v>203748.75</v>
      </c>
      <c r="D91" s="641">
        <f>IF(D81=0,0,D64/D81)</f>
        <v>195924.32432432432</v>
      </c>
      <c r="E91" s="641">
        <f>IF(E81=0,0,E64/E81)</f>
        <v>207383.84615384616</v>
      </c>
    </row>
    <row r="92" spans="1:5" ht="25.5" customHeight="1">
      <c r="A92" s="639">
        <v>2</v>
      </c>
      <c r="B92" s="640" t="s">
        <v>96</v>
      </c>
      <c r="C92" s="641">
        <f>IF(C81=0,0,C65/C81)</f>
        <v>54378.25</v>
      </c>
      <c r="D92" s="641">
        <f>IF(D81=0,0,D65/D81)</f>
        <v>47344.86486486486</v>
      </c>
      <c r="E92" s="641">
        <f>IF(E81=0,0,E65/E81)</f>
        <v>53330.76923076923</v>
      </c>
    </row>
    <row r="93" spans="1:5" ht="25.5" customHeight="1">
      <c r="A93" s="650">
        <v>3</v>
      </c>
      <c r="B93" s="651" t="s">
        <v>97</v>
      </c>
      <c r="C93" s="654">
        <f>+C91+C92</f>
        <v>258127</v>
      </c>
      <c r="D93" s="654">
        <f>+D91+D92</f>
        <v>243269.18918918917</v>
      </c>
      <c r="E93" s="654">
        <f>+E91+E92</f>
        <v>260714.61538461538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98</v>
      </c>
      <c r="B95" s="642" t="s">
        <v>99</v>
      </c>
      <c r="C95" s="649"/>
      <c r="D95" s="649"/>
      <c r="E95" s="649"/>
    </row>
    <row r="96" spans="1:5" ht="25.5" customHeight="1">
      <c r="A96" s="639">
        <v>1</v>
      </c>
      <c r="B96" s="640" t="s">
        <v>100</v>
      </c>
      <c r="C96" s="649">
        <f>IF(C82=0,0,C69/C82)</f>
        <v>49590.59990001666</v>
      </c>
      <c r="D96" s="649">
        <f>IF(D82=0,0,D69/D82)</f>
        <v>50028.971529110684</v>
      </c>
      <c r="E96" s="649">
        <f>IF(E82=0,0,E69/E82)</f>
        <v>52495.7495908347</v>
      </c>
    </row>
    <row r="97" spans="1:5" ht="25.5" customHeight="1">
      <c r="A97" s="639">
        <v>2</v>
      </c>
      <c r="B97" s="640" t="s">
        <v>101</v>
      </c>
      <c r="C97" s="649">
        <f>IF(C82=0,0,C70/C82)</f>
        <v>13235.184135977337</v>
      </c>
      <c r="D97" s="649">
        <f>IF(D82=0,0,D70/D82)</f>
        <v>12240.7773512476</v>
      </c>
      <c r="E97" s="649">
        <f>IF(E82=0,0,E70/E82)</f>
        <v>13499.788870703764</v>
      </c>
    </row>
    <row r="98" spans="1:5" ht="25.5" customHeight="1">
      <c r="A98" s="650">
        <v>3</v>
      </c>
      <c r="B98" s="651" t="s">
        <v>102</v>
      </c>
      <c r="C98" s="654">
        <f>+C96+C97</f>
        <v>62825.784035994</v>
      </c>
      <c r="D98" s="654">
        <f>+D96+D97</f>
        <v>62269.74888035828</v>
      </c>
      <c r="E98" s="654">
        <f>+E96+E97</f>
        <v>65995.53846153847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103</v>
      </c>
      <c r="B100" s="642" t="s">
        <v>104</v>
      </c>
    </row>
    <row r="101" spans="1:5" ht="25.5" customHeight="1">
      <c r="A101" s="639">
        <v>1</v>
      </c>
      <c r="B101" s="640" t="s">
        <v>105</v>
      </c>
      <c r="C101" s="641">
        <f>IF(C83=0,0,C75/C83)</f>
        <v>56506.36508841985</v>
      </c>
      <c r="D101" s="641">
        <f>IF(D83=0,0,D75/D83)</f>
        <v>57270.51375538614</v>
      </c>
      <c r="E101" s="641">
        <f>IF(E83=0,0,E75/E83)</f>
        <v>59700.74049366244</v>
      </c>
    </row>
    <row r="102" spans="1:5" ht="25.5" customHeight="1">
      <c r="A102" s="639">
        <v>2</v>
      </c>
      <c r="B102" s="640" t="s">
        <v>106</v>
      </c>
      <c r="C102" s="658">
        <f>IF(C83=0,0,C76/C83)</f>
        <v>15080.925270964062</v>
      </c>
      <c r="D102" s="658">
        <f>IF(D83=0,0,D76/D83)</f>
        <v>13943.890177880898</v>
      </c>
      <c r="E102" s="658">
        <f>IF(E83=0,0,E76/E83)</f>
        <v>15352.621747831887</v>
      </c>
    </row>
    <row r="103" spans="1:5" ht="25.5" customHeight="1">
      <c r="A103" s="650">
        <v>3</v>
      </c>
      <c r="B103" s="651" t="s">
        <v>104</v>
      </c>
      <c r="C103" s="654">
        <f>+C101+C102</f>
        <v>71587.29035938391</v>
      </c>
      <c r="D103" s="654">
        <f>+D101+D102</f>
        <v>71214.40393326704</v>
      </c>
      <c r="E103" s="654">
        <f>+E101+E102</f>
        <v>75053.36224149432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107</v>
      </c>
      <c r="B107" s="634" t="s">
        <v>108</v>
      </c>
      <c r="C107" s="659"/>
      <c r="D107" s="659"/>
      <c r="E107" s="641"/>
    </row>
    <row r="108" spans="1:5" ht="25.5" customHeight="1">
      <c r="A108" s="639">
        <v>1</v>
      </c>
      <c r="B108" s="640" t="s">
        <v>109</v>
      </c>
      <c r="C108" s="641">
        <f>IF(C19=0,0,C77/C19)</f>
        <v>1863.9533018447553</v>
      </c>
      <c r="D108" s="641">
        <f>IF(D19=0,0,D77/D19)</f>
        <v>1938.064736304047</v>
      </c>
      <c r="E108" s="641">
        <f>IF(E19=0,0,E77/E19)</f>
        <v>2005.5557074098283</v>
      </c>
    </row>
    <row r="109" spans="1:5" ht="25.5" customHeight="1">
      <c r="A109" s="639">
        <v>2</v>
      </c>
      <c r="B109" s="640" t="s">
        <v>110</v>
      </c>
      <c r="C109" s="641">
        <f>IF(C20=0,0,C77/C20)</f>
        <v>7781.034226190476</v>
      </c>
      <c r="D109" s="641">
        <f>IF(D20=0,0,D77/D20)</f>
        <v>8040.937749500998</v>
      </c>
      <c r="E109" s="641">
        <f>IF(E20=0,0,E77/E20)</f>
        <v>8603.491460616875</v>
      </c>
    </row>
    <row r="110" spans="1:5" ht="25.5" customHeight="1">
      <c r="A110" s="639">
        <v>3</v>
      </c>
      <c r="B110" s="640" t="s">
        <v>111</v>
      </c>
      <c r="C110" s="641">
        <f>IF(C22=0,0,C77/C22)</f>
        <v>788.1348279583696</v>
      </c>
      <c r="D110" s="641">
        <f>IF(D22=0,0,D77/D22)</f>
        <v>823.7234712551718</v>
      </c>
      <c r="E110" s="641">
        <f>IF(E22=0,0,E77/E22)</f>
        <v>850.6655449256166</v>
      </c>
    </row>
    <row r="111" spans="1:5" ht="25.5" customHeight="1">
      <c r="A111" s="639">
        <v>4</v>
      </c>
      <c r="B111" s="640" t="s">
        <v>112</v>
      </c>
      <c r="C111" s="641">
        <f>IF(C23=0,0,C77/C23)</f>
        <v>3290.052419836631</v>
      </c>
      <c r="D111" s="641">
        <f>IF(D23=0,0,D77/D23)</f>
        <v>3417.5892224307013</v>
      </c>
      <c r="E111" s="641">
        <f>IF(E23=0,0,E77/E23)</f>
        <v>3649.209904550906</v>
      </c>
    </row>
    <row r="112" spans="1:5" ht="25.5" customHeight="1">
      <c r="A112" s="639">
        <v>5</v>
      </c>
      <c r="B112" s="640" t="s">
        <v>113</v>
      </c>
      <c r="C112" s="641">
        <f>IF(C29=0,0,C77/C29)</f>
        <v>758.6716126649171</v>
      </c>
      <c r="D112" s="641">
        <f>IF(D29=0,0,D77/D29)</f>
        <v>761.5060430792959</v>
      </c>
      <c r="E112" s="641">
        <f>IF(E29=0,0,E77/E29)</f>
        <v>780.6862558024058</v>
      </c>
    </row>
    <row r="113" spans="1:5" ht="25.5" customHeight="1">
      <c r="A113" s="639">
        <v>6</v>
      </c>
      <c r="B113" s="640" t="s">
        <v>114</v>
      </c>
      <c r="C113" s="641">
        <f>IF(C30=0,0,C77/C30)</f>
        <v>3167.0588414110994</v>
      </c>
      <c r="D113" s="641">
        <f>IF(D30=0,0,D77/D30)</f>
        <v>3159.452093404594</v>
      </c>
      <c r="E113" s="641">
        <f>IF(E30=0,0,E77/E30)</f>
        <v>3349.0107058115445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FILING&amp;R&amp;12BRISTOL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115</v>
      </c>
      <c r="C1" s="57"/>
      <c r="D1" s="57"/>
      <c r="E1" s="57"/>
      <c r="F1" s="58"/>
    </row>
    <row r="2" spans="1:6" ht="22.5" customHeight="1">
      <c r="A2" s="57"/>
      <c r="B2" s="57" t="s">
        <v>116</v>
      </c>
      <c r="C2" s="57"/>
      <c r="D2" s="57"/>
      <c r="E2" s="57"/>
      <c r="F2" s="58"/>
    </row>
    <row r="3" spans="1:6" ht="22.5" customHeight="1">
      <c r="A3" s="57"/>
      <c r="B3" s="57" t="s">
        <v>117</v>
      </c>
      <c r="C3" s="57"/>
      <c r="D3" s="57"/>
      <c r="E3" s="57"/>
      <c r="F3" s="58"/>
    </row>
    <row r="4" spans="1:6" ht="22.5" customHeight="1">
      <c r="A4" s="57"/>
      <c r="B4" s="57" t="s">
        <v>184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344471297</v>
      </c>
      <c r="D12" s="51">
        <v>359092080</v>
      </c>
      <c r="E12" s="51">
        <f aca="true" t="shared" si="0" ref="E12:E19">D12-C12</f>
        <v>14620783</v>
      </c>
      <c r="F12" s="70">
        <f aca="true" t="shared" si="1" ref="F12:F19">IF(C12=0,0,E12/C12)</f>
        <v>0.04244412561317119</v>
      </c>
    </row>
    <row r="13" spans="1:6" ht="22.5" customHeight="1">
      <c r="A13" s="25">
        <v>2</v>
      </c>
      <c r="B13" s="48" t="s">
        <v>187</v>
      </c>
      <c r="C13" s="51">
        <v>224251634</v>
      </c>
      <c r="D13" s="51">
        <v>233543365</v>
      </c>
      <c r="E13" s="51">
        <f t="shared" si="0"/>
        <v>9291731</v>
      </c>
      <c r="F13" s="70">
        <f t="shared" si="1"/>
        <v>0.04143439596966326</v>
      </c>
    </row>
    <row r="14" spans="1:6" ht="22.5" customHeight="1">
      <c r="A14" s="25">
        <v>3</v>
      </c>
      <c r="B14" s="48" t="s">
        <v>188</v>
      </c>
      <c r="C14" s="51">
        <v>929468</v>
      </c>
      <c r="D14" s="51">
        <v>558883</v>
      </c>
      <c r="E14" s="51">
        <f t="shared" si="0"/>
        <v>-370585</v>
      </c>
      <c r="F14" s="70">
        <f t="shared" si="1"/>
        <v>-0.39870657193147047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119290195</v>
      </c>
      <c r="D16" s="27">
        <f>D12-D13-D14-D15</f>
        <v>124989832</v>
      </c>
      <c r="E16" s="27">
        <f t="shared" si="0"/>
        <v>5699637</v>
      </c>
      <c r="F16" s="28">
        <f t="shared" si="1"/>
        <v>0.04777959328509774</v>
      </c>
    </row>
    <row r="17" spans="1:7" ht="22.5" customHeight="1">
      <c r="A17" s="25">
        <v>5</v>
      </c>
      <c r="B17" s="48" t="s">
        <v>191</v>
      </c>
      <c r="C17" s="51">
        <v>4950476</v>
      </c>
      <c r="D17" s="51">
        <v>4717358</v>
      </c>
      <c r="E17" s="51">
        <f t="shared" si="0"/>
        <v>-233118</v>
      </c>
      <c r="F17" s="70">
        <f t="shared" si="1"/>
        <v>-0.047090017202386196</v>
      </c>
      <c r="G17" s="64"/>
    </row>
    <row r="18" spans="1:7" ht="22.5" customHeight="1">
      <c r="A18" s="25">
        <v>6</v>
      </c>
      <c r="B18" s="45" t="s">
        <v>192</v>
      </c>
      <c r="C18" s="51">
        <v>1642038</v>
      </c>
      <c r="D18" s="51">
        <v>0</v>
      </c>
      <c r="E18" s="51">
        <f t="shared" si="0"/>
        <v>-1642038</v>
      </c>
      <c r="F18" s="70">
        <f t="shared" si="1"/>
        <v>-1</v>
      </c>
      <c r="G18" s="64"/>
    </row>
    <row r="19" spans="1:6" ht="22.5" customHeight="1">
      <c r="A19" s="29"/>
      <c r="B19" s="71" t="s">
        <v>193</v>
      </c>
      <c r="C19" s="27">
        <f>SUM(C16:C18)</f>
        <v>125882709</v>
      </c>
      <c r="D19" s="27">
        <f>SUM(D16:D18)</f>
        <v>129707190</v>
      </c>
      <c r="E19" s="27">
        <f t="shared" si="0"/>
        <v>3824481</v>
      </c>
      <c r="F19" s="28">
        <f t="shared" si="1"/>
        <v>0.030381305187831633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51835542</v>
      </c>
      <c r="D22" s="51">
        <v>53694846</v>
      </c>
      <c r="E22" s="51">
        <f aca="true" t="shared" si="2" ref="E22:E31">D22-C22</f>
        <v>1859304</v>
      </c>
      <c r="F22" s="70">
        <f aca="true" t="shared" si="3" ref="F22:F31">IF(C22=0,0,E22/C22)</f>
        <v>0.03586928829643568</v>
      </c>
    </row>
    <row r="23" spans="1:6" ht="22.5" customHeight="1">
      <c r="A23" s="25">
        <v>2</v>
      </c>
      <c r="B23" s="48" t="s">
        <v>196</v>
      </c>
      <c r="C23" s="51">
        <v>12620615</v>
      </c>
      <c r="D23" s="51">
        <v>13808148</v>
      </c>
      <c r="E23" s="51">
        <f t="shared" si="2"/>
        <v>1187533</v>
      </c>
      <c r="F23" s="70">
        <f t="shared" si="3"/>
        <v>0.09409470140718182</v>
      </c>
    </row>
    <row r="24" spans="1:7" ht="22.5" customHeight="1">
      <c r="A24" s="25">
        <v>3</v>
      </c>
      <c r="B24" s="48" t="s">
        <v>197</v>
      </c>
      <c r="C24" s="51">
        <v>3061314</v>
      </c>
      <c r="D24" s="51">
        <v>4436306</v>
      </c>
      <c r="E24" s="51">
        <f t="shared" si="2"/>
        <v>1374992</v>
      </c>
      <c r="F24" s="70">
        <f t="shared" si="3"/>
        <v>0.44915092016042785</v>
      </c>
      <c r="G24" s="64"/>
    </row>
    <row r="25" spans="1:6" ht="22.5" customHeight="1">
      <c r="A25" s="25">
        <v>4</v>
      </c>
      <c r="B25" s="48" t="s">
        <v>198</v>
      </c>
      <c r="C25" s="51">
        <v>14306190</v>
      </c>
      <c r="D25" s="51">
        <v>16059529</v>
      </c>
      <c r="E25" s="51">
        <f t="shared" si="2"/>
        <v>1753339</v>
      </c>
      <c r="F25" s="70">
        <f t="shared" si="3"/>
        <v>0.12255806752182097</v>
      </c>
    </row>
    <row r="26" spans="1:6" ht="22.5" customHeight="1">
      <c r="A26" s="25">
        <v>5</v>
      </c>
      <c r="B26" s="48" t="s">
        <v>199</v>
      </c>
      <c r="C26" s="51">
        <v>5826230</v>
      </c>
      <c r="D26" s="51">
        <v>5438713</v>
      </c>
      <c r="E26" s="51">
        <f t="shared" si="2"/>
        <v>-387517</v>
      </c>
      <c r="F26" s="70">
        <f t="shared" si="3"/>
        <v>-0.06651247891003273</v>
      </c>
    </row>
    <row r="27" spans="1:6" ht="22.5" customHeight="1">
      <c r="A27" s="25">
        <v>6</v>
      </c>
      <c r="B27" s="48" t="s">
        <v>200</v>
      </c>
      <c r="C27" s="51">
        <v>10951622</v>
      </c>
      <c r="D27" s="51">
        <v>9166346</v>
      </c>
      <c r="E27" s="51">
        <f t="shared" si="2"/>
        <v>-1785276</v>
      </c>
      <c r="F27" s="70">
        <f t="shared" si="3"/>
        <v>-0.1630147570834713</v>
      </c>
    </row>
    <row r="28" spans="1:6" ht="22.5" customHeight="1">
      <c r="A28" s="25">
        <v>7</v>
      </c>
      <c r="B28" s="48" t="s">
        <v>201</v>
      </c>
      <c r="C28" s="51">
        <v>2035567</v>
      </c>
      <c r="D28" s="51">
        <v>1891953</v>
      </c>
      <c r="E28" s="51">
        <f t="shared" si="2"/>
        <v>-143614</v>
      </c>
      <c r="F28" s="70">
        <f t="shared" si="3"/>
        <v>-0.07055233259332658</v>
      </c>
    </row>
    <row r="29" spans="1:6" ht="22.5" customHeight="1">
      <c r="A29" s="25">
        <v>8</v>
      </c>
      <c r="B29" s="48" t="s">
        <v>202</v>
      </c>
      <c r="C29" s="51">
        <v>1106630</v>
      </c>
      <c r="D29" s="51">
        <v>1255062</v>
      </c>
      <c r="E29" s="51">
        <f t="shared" si="2"/>
        <v>148432</v>
      </c>
      <c r="F29" s="70">
        <f t="shared" si="3"/>
        <v>0.13412974526264423</v>
      </c>
    </row>
    <row r="30" spans="1:6" ht="22.5" customHeight="1">
      <c r="A30" s="25">
        <v>9</v>
      </c>
      <c r="B30" s="48" t="s">
        <v>203</v>
      </c>
      <c r="C30" s="51">
        <v>23969302</v>
      </c>
      <c r="D30" s="51">
        <v>23906496</v>
      </c>
      <c r="E30" s="51">
        <f t="shared" si="2"/>
        <v>-62806</v>
      </c>
      <c r="F30" s="70">
        <f t="shared" si="3"/>
        <v>-0.00262026820806046</v>
      </c>
    </row>
    <row r="31" spans="1:6" ht="22.5" customHeight="1">
      <c r="A31" s="29"/>
      <c r="B31" s="71" t="s">
        <v>204</v>
      </c>
      <c r="C31" s="27">
        <f>SUM(C22:C30)</f>
        <v>125713012</v>
      </c>
      <c r="D31" s="27">
        <f>SUM(D22:D30)</f>
        <v>129657399</v>
      </c>
      <c r="E31" s="27">
        <f t="shared" si="2"/>
        <v>3944387</v>
      </c>
      <c r="F31" s="28">
        <f t="shared" si="3"/>
        <v>0.031376123578997536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169697</v>
      </c>
      <c r="D33" s="27">
        <f>+D19-D31</f>
        <v>49791</v>
      </c>
      <c r="E33" s="27">
        <f>D33-C33</f>
        <v>-119906</v>
      </c>
      <c r="F33" s="28">
        <f>IF(C33=0,0,E33/C33)</f>
        <v>-0.7065888023948567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517650</v>
      </c>
      <c r="D36" s="51">
        <v>288634</v>
      </c>
      <c r="E36" s="51">
        <f>D36-C36</f>
        <v>-229016</v>
      </c>
      <c r="F36" s="70">
        <f>IF(C36=0,0,E36/C36)</f>
        <v>-0.4424147590070511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-1673083</v>
      </c>
      <c r="D38" s="51">
        <v>34973</v>
      </c>
      <c r="E38" s="51">
        <f>D38-C38</f>
        <v>1708056</v>
      </c>
      <c r="F38" s="70">
        <f>IF(C38=0,0,E38/C38)</f>
        <v>-1.020903326374125</v>
      </c>
    </row>
    <row r="39" spans="1:6" ht="22.5" customHeight="1">
      <c r="A39" s="20"/>
      <c r="B39" s="71" t="s">
        <v>210</v>
      </c>
      <c r="C39" s="27">
        <f>SUM(C36:C38)</f>
        <v>-1155433</v>
      </c>
      <c r="D39" s="27">
        <f>SUM(D36:D38)</f>
        <v>323607</v>
      </c>
      <c r="E39" s="27">
        <f>D39-C39</f>
        <v>1479040</v>
      </c>
      <c r="F39" s="28">
        <f>IF(C39=0,0,E39/C39)</f>
        <v>-1.2800742232565627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-985736</v>
      </c>
      <c r="D41" s="27">
        <f>D33+D39</f>
        <v>373398</v>
      </c>
      <c r="E41" s="27">
        <f>D41-C41</f>
        <v>1359134</v>
      </c>
      <c r="F41" s="28">
        <f>IF(C41=0,0,E41/C41)</f>
        <v>-1.3788012206107922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216</v>
      </c>
      <c r="C48" s="27">
        <f>C41+C46</f>
        <v>-985736</v>
      </c>
      <c r="D48" s="27">
        <f>D41+D46</f>
        <v>373398</v>
      </c>
      <c r="E48" s="27">
        <f>D48-C48</f>
        <v>1359134</v>
      </c>
      <c r="F48" s="28">
        <f>IF(C48=0,0,E48/C48)</f>
        <v>-1.3788012206107922</v>
      </c>
    </row>
    <row r="49" spans="1:6" ht="22.5" customHeight="1">
      <c r="A49" s="44"/>
      <c r="B49" s="48" t="s">
        <v>217</v>
      </c>
      <c r="C49" s="51">
        <v>0</v>
      </c>
      <c r="D49" s="51">
        <v>1336136</v>
      </c>
      <c r="E49" s="51">
        <f>D49-C49</f>
        <v>1336136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FILING&amp;RBRISTOL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17.851562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115</v>
      </c>
      <c r="B2" s="675"/>
      <c r="C2" s="675"/>
      <c r="D2" s="675"/>
      <c r="E2" s="675"/>
      <c r="F2" s="675"/>
    </row>
    <row r="3" spans="1:6" ht="18" customHeight="1">
      <c r="A3" s="675" t="s">
        <v>116</v>
      </c>
      <c r="B3" s="675"/>
      <c r="C3" s="675"/>
      <c r="D3" s="675"/>
      <c r="E3" s="675"/>
      <c r="F3" s="675"/>
    </row>
    <row r="4" spans="1:6" ht="18" customHeight="1">
      <c r="A4" s="675" t="s">
        <v>117</v>
      </c>
      <c r="B4" s="675"/>
      <c r="C4" s="675"/>
      <c r="D4" s="675"/>
      <c r="E4" s="675"/>
      <c r="F4" s="675"/>
    </row>
    <row r="5" spans="1:6" ht="18" customHeight="1">
      <c r="A5" s="675" t="s">
        <v>218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123</v>
      </c>
      <c r="B8" s="87" t="s">
        <v>219</v>
      </c>
      <c r="C8" s="88" t="s">
        <v>220</v>
      </c>
      <c r="D8" s="89" t="s">
        <v>221</v>
      </c>
      <c r="E8" s="90" t="s">
        <v>222</v>
      </c>
      <c r="F8" s="91" t="s">
        <v>223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127</v>
      </c>
      <c r="B10" s="667" t="s">
        <v>224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225</v>
      </c>
      <c r="B13" s="95" t="s">
        <v>226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227</v>
      </c>
      <c r="C14" s="97">
        <v>72438709</v>
      </c>
      <c r="D14" s="97">
        <v>73389848</v>
      </c>
      <c r="E14" s="97">
        <f aca="true" t="shared" si="0" ref="E14:E25">D14-C14</f>
        <v>951139</v>
      </c>
      <c r="F14" s="98">
        <f aca="true" t="shared" si="1" ref="F14:F25">IF(C14=0,0,E14/C14)</f>
        <v>0.013130258850968754</v>
      </c>
    </row>
    <row r="15" spans="1:6" ht="18" customHeight="1">
      <c r="A15" s="99">
        <v>2</v>
      </c>
      <c r="B15" s="100" t="s">
        <v>228</v>
      </c>
      <c r="C15" s="97">
        <v>9458517</v>
      </c>
      <c r="D15" s="97">
        <v>13301503</v>
      </c>
      <c r="E15" s="97">
        <f t="shared" si="0"/>
        <v>3842986</v>
      </c>
      <c r="F15" s="98">
        <f t="shared" si="1"/>
        <v>0.4062990001498121</v>
      </c>
    </row>
    <row r="16" spans="1:6" ht="18" customHeight="1">
      <c r="A16" s="99">
        <v>3</v>
      </c>
      <c r="B16" s="100" t="s">
        <v>229</v>
      </c>
      <c r="C16" s="97">
        <v>6316675</v>
      </c>
      <c r="D16" s="97">
        <v>6492749</v>
      </c>
      <c r="E16" s="97">
        <f t="shared" si="0"/>
        <v>176074</v>
      </c>
      <c r="F16" s="98">
        <f t="shared" si="1"/>
        <v>0.027874475099637072</v>
      </c>
    </row>
    <row r="17" spans="1:6" ht="18" customHeight="1">
      <c r="A17" s="99">
        <v>4</v>
      </c>
      <c r="B17" s="100" t="s">
        <v>230</v>
      </c>
      <c r="C17" s="97">
        <v>6395487</v>
      </c>
      <c r="D17" s="97">
        <v>6901515</v>
      </c>
      <c r="E17" s="97">
        <f t="shared" si="0"/>
        <v>506028</v>
      </c>
      <c r="F17" s="98">
        <f t="shared" si="1"/>
        <v>0.07912266884445235</v>
      </c>
    </row>
    <row r="18" spans="1:6" ht="18" customHeight="1">
      <c r="A18" s="99">
        <v>5</v>
      </c>
      <c r="B18" s="100" t="s">
        <v>231</v>
      </c>
      <c r="C18" s="97">
        <v>310557</v>
      </c>
      <c r="D18" s="97">
        <v>200630</v>
      </c>
      <c r="E18" s="97">
        <f t="shared" si="0"/>
        <v>-109927</v>
      </c>
      <c r="F18" s="98">
        <f t="shared" si="1"/>
        <v>-0.353967226628284</v>
      </c>
    </row>
    <row r="19" spans="1:6" ht="18" customHeight="1">
      <c r="A19" s="99">
        <v>6</v>
      </c>
      <c r="B19" s="100" t="s">
        <v>232</v>
      </c>
      <c r="C19" s="97">
        <v>23997522</v>
      </c>
      <c r="D19" s="97">
        <v>23291323</v>
      </c>
      <c r="E19" s="97">
        <f t="shared" si="0"/>
        <v>-706199</v>
      </c>
      <c r="F19" s="98">
        <f t="shared" si="1"/>
        <v>-0.029427996774000247</v>
      </c>
    </row>
    <row r="20" spans="1:6" ht="18" customHeight="1">
      <c r="A20" s="99">
        <v>7</v>
      </c>
      <c r="B20" s="100" t="s">
        <v>233</v>
      </c>
      <c r="C20" s="97">
        <v>19964389</v>
      </c>
      <c r="D20" s="97">
        <v>20754088</v>
      </c>
      <c r="E20" s="97">
        <f t="shared" si="0"/>
        <v>789699</v>
      </c>
      <c r="F20" s="98">
        <f t="shared" si="1"/>
        <v>0.03955538033245094</v>
      </c>
    </row>
    <row r="21" spans="1:6" ht="18" customHeight="1">
      <c r="A21" s="99">
        <v>8</v>
      </c>
      <c r="B21" s="100" t="s">
        <v>234</v>
      </c>
      <c r="C21" s="97">
        <v>958104</v>
      </c>
      <c r="D21" s="97">
        <v>813914</v>
      </c>
      <c r="E21" s="97">
        <f t="shared" si="0"/>
        <v>-144190</v>
      </c>
      <c r="F21" s="98">
        <f t="shared" si="1"/>
        <v>-0.15049514457720664</v>
      </c>
    </row>
    <row r="22" spans="1:6" ht="18" customHeight="1">
      <c r="A22" s="99">
        <v>9</v>
      </c>
      <c r="B22" s="100" t="s">
        <v>235</v>
      </c>
      <c r="C22" s="97">
        <v>1777507</v>
      </c>
      <c r="D22" s="97">
        <v>905666</v>
      </c>
      <c r="E22" s="97">
        <f t="shared" si="0"/>
        <v>-871841</v>
      </c>
      <c r="F22" s="98">
        <f t="shared" si="1"/>
        <v>-0.49048526953761645</v>
      </c>
    </row>
    <row r="23" spans="1:6" ht="18" customHeight="1">
      <c r="A23" s="99">
        <v>10</v>
      </c>
      <c r="B23" s="100" t="s">
        <v>236</v>
      </c>
      <c r="C23" s="97">
        <v>4791002</v>
      </c>
      <c r="D23" s="97">
        <v>6259297</v>
      </c>
      <c r="E23" s="97">
        <f t="shared" si="0"/>
        <v>1468295</v>
      </c>
      <c r="F23" s="98">
        <f t="shared" si="1"/>
        <v>0.30646929389718475</v>
      </c>
    </row>
    <row r="24" spans="1:6" ht="18" customHeight="1">
      <c r="A24" s="99">
        <v>11</v>
      </c>
      <c r="B24" s="100" t="s">
        <v>237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238</v>
      </c>
      <c r="C25" s="103">
        <f>SUM(C14:C24)</f>
        <v>146408469</v>
      </c>
      <c r="D25" s="103">
        <f>SUM(D14:D24)</f>
        <v>152310533</v>
      </c>
      <c r="E25" s="103">
        <f t="shared" si="0"/>
        <v>5902064</v>
      </c>
      <c r="F25" s="104">
        <f t="shared" si="1"/>
        <v>0.040312312807533016</v>
      </c>
    </row>
    <row r="26" spans="1:6" ht="18" customHeight="1">
      <c r="A26" s="94" t="s">
        <v>239</v>
      </c>
      <c r="B26" s="95" t="s">
        <v>240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227</v>
      </c>
      <c r="C27" s="97">
        <v>55200706</v>
      </c>
      <c r="D27" s="97">
        <v>57230268</v>
      </c>
      <c r="E27" s="97">
        <f aca="true" t="shared" si="2" ref="E27:E38">D27-C27</f>
        <v>2029562</v>
      </c>
      <c r="F27" s="98">
        <f aca="true" t="shared" si="3" ref="F27:F38">IF(C27=0,0,E27/C27)</f>
        <v>0.03676695729217666</v>
      </c>
    </row>
    <row r="28" spans="1:6" ht="18" customHeight="1">
      <c r="A28" s="99">
        <v>2</v>
      </c>
      <c r="B28" s="100" t="s">
        <v>228</v>
      </c>
      <c r="C28" s="97">
        <v>9392135</v>
      </c>
      <c r="D28" s="97">
        <v>14044609</v>
      </c>
      <c r="E28" s="97">
        <f t="shared" si="2"/>
        <v>4652474</v>
      </c>
      <c r="F28" s="98">
        <f t="shared" si="3"/>
        <v>0.49535851007252346</v>
      </c>
    </row>
    <row r="29" spans="1:6" ht="18" customHeight="1">
      <c r="A29" s="99">
        <v>3</v>
      </c>
      <c r="B29" s="100" t="s">
        <v>229</v>
      </c>
      <c r="C29" s="97">
        <v>6849903</v>
      </c>
      <c r="D29" s="97">
        <v>7052167</v>
      </c>
      <c r="E29" s="97">
        <f t="shared" si="2"/>
        <v>202264</v>
      </c>
      <c r="F29" s="98">
        <f t="shared" si="3"/>
        <v>0.029528009374731292</v>
      </c>
    </row>
    <row r="30" spans="1:6" ht="18" customHeight="1">
      <c r="A30" s="99">
        <v>4</v>
      </c>
      <c r="B30" s="100" t="s">
        <v>230</v>
      </c>
      <c r="C30" s="97">
        <v>14691315</v>
      </c>
      <c r="D30" s="97">
        <v>16621710</v>
      </c>
      <c r="E30" s="97">
        <f t="shared" si="2"/>
        <v>1930395</v>
      </c>
      <c r="F30" s="98">
        <f t="shared" si="3"/>
        <v>0.13139701925933792</v>
      </c>
    </row>
    <row r="31" spans="1:6" ht="18" customHeight="1">
      <c r="A31" s="99">
        <v>5</v>
      </c>
      <c r="B31" s="100" t="s">
        <v>231</v>
      </c>
      <c r="C31" s="97">
        <v>735885</v>
      </c>
      <c r="D31" s="97">
        <v>426014</v>
      </c>
      <c r="E31" s="97">
        <f t="shared" si="2"/>
        <v>-309871</v>
      </c>
      <c r="F31" s="98">
        <f t="shared" si="3"/>
        <v>-0.42108617514964974</v>
      </c>
    </row>
    <row r="32" spans="1:6" ht="18" customHeight="1">
      <c r="A32" s="99">
        <v>6</v>
      </c>
      <c r="B32" s="100" t="s">
        <v>232</v>
      </c>
      <c r="C32" s="97">
        <v>51391914</v>
      </c>
      <c r="D32" s="97">
        <v>46656078</v>
      </c>
      <c r="E32" s="97">
        <f t="shared" si="2"/>
        <v>-4735836</v>
      </c>
      <c r="F32" s="98">
        <f t="shared" si="3"/>
        <v>-0.09215138397063787</v>
      </c>
    </row>
    <row r="33" spans="1:6" ht="18" customHeight="1">
      <c r="A33" s="99">
        <v>7</v>
      </c>
      <c r="B33" s="100" t="s">
        <v>233</v>
      </c>
      <c r="C33" s="97">
        <v>41387170</v>
      </c>
      <c r="D33" s="97">
        <v>45816881</v>
      </c>
      <c r="E33" s="97">
        <f t="shared" si="2"/>
        <v>4429711</v>
      </c>
      <c r="F33" s="98">
        <f t="shared" si="3"/>
        <v>0.10703101951643468</v>
      </c>
    </row>
    <row r="34" spans="1:6" ht="18" customHeight="1">
      <c r="A34" s="99">
        <v>8</v>
      </c>
      <c r="B34" s="100" t="s">
        <v>234</v>
      </c>
      <c r="C34" s="97">
        <v>6172512</v>
      </c>
      <c r="D34" s="97">
        <v>6137784</v>
      </c>
      <c r="E34" s="97">
        <f t="shared" si="2"/>
        <v>-34728</v>
      </c>
      <c r="F34" s="98">
        <f t="shared" si="3"/>
        <v>-0.005626234505497924</v>
      </c>
    </row>
    <row r="35" spans="1:6" ht="18" customHeight="1">
      <c r="A35" s="99">
        <v>9</v>
      </c>
      <c r="B35" s="100" t="s">
        <v>235</v>
      </c>
      <c r="C35" s="97">
        <v>5917877</v>
      </c>
      <c r="D35" s="97">
        <v>5537635</v>
      </c>
      <c r="E35" s="97">
        <f t="shared" si="2"/>
        <v>-380242</v>
      </c>
      <c r="F35" s="98">
        <f t="shared" si="3"/>
        <v>-0.0642531096878154</v>
      </c>
    </row>
    <row r="36" spans="1:6" ht="18" customHeight="1">
      <c r="A36" s="99">
        <v>10</v>
      </c>
      <c r="B36" s="100" t="s">
        <v>236</v>
      </c>
      <c r="C36" s="97">
        <v>6323409</v>
      </c>
      <c r="D36" s="97">
        <v>7258401</v>
      </c>
      <c r="E36" s="97">
        <f t="shared" si="2"/>
        <v>934992</v>
      </c>
      <c r="F36" s="98">
        <f t="shared" si="3"/>
        <v>0.14786201556786854</v>
      </c>
    </row>
    <row r="37" spans="1:6" ht="18" customHeight="1">
      <c r="A37" s="99">
        <v>11</v>
      </c>
      <c r="B37" s="100" t="s">
        <v>237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241</v>
      </c>
      <c r="C38" s="103">
        <f>SUM(C27:C37)</f>
        <v>198062826</v>
      </c>
      <c r="D38" s="103">
        <f>SUM(D27:D37)</f>
        <v>206781547</v>
      </c>
      <c r="E38" s="103">
        <f t="shared" si="2"/>
        <v>8718721</v>
      </c>
      <c r="F38" s="104">
        <f t="shared" si="3"/>
        <v>0.044019976772420685</v>
      </c>
    </row>
    <row r="39" spans="1:6" ht="18" customHeight="1">
      <c r="A39" s="665" t="s">
        <v>242</v>
      </c>
      <c r="B39" s="667" t="s">
        <v>243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227</v>
      </c>
      <c r="C41" s="103">
        <f aca="true" t="shared" si="4" ref="C41:D51">+C27+C14</f>
        <v>127639415</v>
      </c>
      <c r="D41" s="103">
        <f t="shared" si="4"/>
        <v>130620116</v>
      </c>
      <c r="E41" s="107">
        <f aca="true" t="shared" si="5" ref="E41:E52">D41-C41</f>
        <v>2980701</v>
      </c>
      <c r="F41" s="108">
        <f aca="true" t="shared" si="6" ref="F41:F52">IF(C41=0,0,E41/C41)</f>
        <v>0.023352512231429454</v>
      </c>
    </row>
    <row r="42" spans="1:6" ht="18" customHeight="1">
      <c r="A42" s="105">
        <v>2</v>
      </c>
      <c r="B42" s="106" t="s">
        <v>228</v>
      </c>
      <c r="C42" s="103">
        <f t="shared" si="4"/>
        <v>18850652</v>
      </c>
      <c r="D42" s="103">
        <f t="shared" si="4"/>
        <v>27346112</v>
      </c>
      <c r="E42" s="107">
        <f t="shared" si="5"/>
        <v>8495460</v>
      </c>
      <c r="F42" s="108">
        <f t="shared" si="6"/>
        <v>0.45067194492795265</v>
      </c>
    </row>
    <row r="43" spans="1:6" ht="18" customHeight="1">
      <c r="A43" s="105">
        <v>3</v>
      </c>
      <c r="B43" s="106" t="s">
        <v>229</v>
      </c>
      <c r="C43" s="103">
        <f t="shared" si="4"/>
        <v>13166578</v>
      </c>
      <c r="D43" s="103">
        <f t="shared" si="4"/>
        <v>13544916</v>
      </c>
      <c r="E43" s="107">
        <f t="shared" si="5"/>
        <v>378338</v>
      </c>
      <c r="F43" s="108">
        <f t="shared" si="6"/>
        <v>0.028734725150301014</v>
      </c>
    </row>
    <row r="44" spans="1:6" ht="18" customHeight="1">
      <c r="A44" s="105">
        <v>4</v>
      </c>
      <c r="B44" s="106" t="s">
        <v>230</v>
      </c>
      <c r="C44" s="103">
        <f t="shared" si="4"/>
        <v>21086802</v>
      </c>
      <c r="D44" s="103">
        <f t="shared" si="4"/>
        <v>23523225</v>
      </c>
      <c r="E44" s="107">
        <f t="shared" si="5"/>
        <v>2436423</v>
      </c>
      <c r="F44" s="108">
        <f t="shared" si="6"/>
        <v>0.11554255595514198</v>
      </c>
    </row>
    <row r="45" spans="1:6" ht="18" customHeight="1">
      <c r="A45" s="105">
        <v>5</v>
      </c>
      <c r="B45" s="106" t="s">
        <v>231</v>
      </c>
      <c r="C45" s="103">
        <f t="shared" si="4"/>
        <v>1046442</v>
      </c>
      <c r="D45" s="103">
        <f t="shared" si="4"/>
        <v>626644</v>
      </c>
      <c r="E45" s="107">
        <f t="shared" si="5"/>
        <v>-419798</v>
      </c>
      <c r="F45" s="108">
        <f t="shared" si="6"/>
        <v>-0.4011670020889834</v>
      </c>
    </row>
    <row r="46" spans="1:6" ht="18" customHeight="1">
      <c r="A46" s="105">
        <v>6</v>
      </c>
      <c r="B46" s="106" t="s">
        <v>232</v>
      </c>
      <c r="C46" s="103">
        <f t="shared" si="4"/>
        <v>75389436</v>
      </c>
      <c r="D46" s="103">
        <f t="shared" si="4"/>
        <v>69947401</v>
      </c>
      <c r="E46" s="107">
        <f t="shared" si="5"/>
        <v>-5442035</v>
      </c>
      <c r="F46" s="108">
        <f t="shared" si="6"/>
        <v>-0.0721856441531145</v>
      </c>
    </row>
    <row r="47" spans="1:6" ht="18" customHeight="1">
      <c r="A47" s="105">
        <v>7</v>
      </c>
      <c r="B47" s="106" t="s">
        <v>233</v>
      </c>
      <c r="C47" s="103">
        <f t="shared" si="4"/>
        <v>61351559</v>
      </c>
      <c r="D47" s="103">
        <f t="shared" si="4"/>
        <v>66570969</v>
      </c>
      <c r="E47" s="107">
        <f t="shared" si="5"/>
        <v>5219410</v>
      </c>
      <c r="F47" s="108">
        <f t="shared" si="6"/>
        <v>0.08507379576124545</v>
      </c>
    </row>
    <row r="48" spans="1:6" ht="18" customHeight="1">
      <c r="A48" s="105">
        <v>8</v>
      </c>
      <c r="B48" s="106" t="s">
        <v>234</v>
      </c>
      <c r="C48" s="103">
        <f t="shared" si="4"/>
        <v>7130616</v>
      </c>
      <c r="D48" s="103">
        <f t="shared" si="4"/>
        <v>6951698</v>
      </c>
      <c r="E48" s="107">
        <f t="shared" si="5"/>
        <v>-178918</v>
      </c>
      <c r="F48" s="108">
        <f t="shared" si="6"/>
        <v>-0.025091520844762922</v>
      </c>
    </row>
    <row r="49" spans="1:6" ht="18" customHeight="1">
      <c r="A49" s="105">
        <v>9</v>
      </c>
      <c r="B49" s="106" t="s">
        <v>235</v>
      </c>
      <c r="C49" s="103">
        <f t="shared" si="4"/>
        <v>7695384</v>
      </c>
      <c r="D49" s="103">
        <f t="shared" si="4"/>
        <v>6443301</v>
      </c>
      <c r="E49" s="107">
        <f t="shared" si="5"/>
        <v>-1252083</v>
      </c>
      <c r="F49" s="108">
        <f t="shared" si="6"/>
        <v>-0.1627057207281664</v>
      </c>
    </row>
    <row r="50" spans="1:6" ht="18" customHeight="1">
      <c r="A50" s="105">
        <v>10</v>
      </c>
      <c r="B50" s="106" t="s">
        <v>236</v>
      </c>
      <c r="C50" s="103">
        <f t="shared" si="4"/>
        <v>11114411</v>
      </c>
      <c r="D50" s="103">
        <f t="shared" si="4"/>
        <v>13517698</v>
      </c>
      <c r="E50" s="107">
        <f t="shared" si="5"/>
        <v>2403287</v>
      </c>
      <c r="F50" s="108">
        <f t="shared" si="6"/>
        <v>0.21623161137373811</v>
      </c>
    </row>
    <row r="51" spans="1:6" ht="18" customHeight="1" thickBot="1">
      <c r="A51" s="105">
        <v>11</v>
      </c>
      <c r="B51" s="106" t="s">
        <v>237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243</v>
      </c>
      <c r="C52" s="111">
        <f>SUM(C41:C51)</f>
        <v>344471295</v>
      </c>
      <c r="D52" s="112">
        <f>SUM(D41:D51)</f>
        <v>359092080</v>
      </c>
      <c r="E52" s="111">
        <f t="shared" si="5"/>
        <v>14620785</v>
      </c>
      <c r="F52" s="113">
        <f t="shared" si="6"/>
        <v>0.04244413166560076</v>
      </c>
    </row>
    <row r="53" spans="1:6" ht="18" customHeight="1">
      <c r="A53" s="665" t="s">
        <v>159</v>
      </c>
      <c r="B53" s="667" t="s">
        <v>244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225</v>
      </c>
      <c r="B56" s="95" t="s">
        <v>245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227</v>
      </c>
      <c r="C57" s="97">
        <v>24987110</v>
      </c>
      <c r="D57" s="97">
        <v>24601830</v>
      </c>
      <c r="E57" s="97">
        <f aca="true" t="shared" si="7" ref="E57:E68">D57-C57</f>
        <v>-385280</v>
      </c>
      <c r="F57" s="98">
        <f aca="true" t="shared" si="8" ref="F57:F68">IF(C57=0,0,E57/C57)</f>
        <v>-0.015419150113798675</v>
      </c>
    </row>
    <row r="58" spans="1:6" ht="18" customHeight="1">
      <c r="A58" s="99">
        <v>2</v>
      </c>
      <c r="B58" s="100" t="s">
        <v>228</v>
      </c>
      <c r="C58" s="97">
        <v>3555267</v>
      </c>
      <c r="D58" s="97">
        <v>4630546</v>
      </c>
      <c r="E58" s="97">
        <f t="shared" si="7"/>
        <v>1075279</v>
      </c>
      <c r="F58" s="98">
        <f t="shared" si="8"/>
        <v>0.3024467641952067</v>
      </c>
    </row>
    <row r="59" spans="1:6" ht="18" customHeight="1">
      <c r="A59" s="99">
        <v>3</v>
      </c>
      <c r="B59" s="100" t="s">
        <v>229</v>
      </c>
      <c r="C59" s="97">
        <v>2052430</v>
      </c>
      <c r="D59" s="97">
        <v>1929597</v>
      </c>
      <c r="E59" s="97">
        <f t="shared" si="7"/>
        <v>-122833</v>
      </c>
      <c r="F59" s="98">
        <f t="shared" si="8"/>
        <v>-0.05984759528948612</v>
      </c>
    </row>
    <row r="60" spans="1:6" ht="18" customHeight="1">
      <c r="A60" s="99">
        <v>4</v>
      </c>
      <c r="B60" s="100" t="s">
        <v>230</v>
      </c>
      <c r="C60" s="97">
        <v>1626822</v>
      </c>
      <c r="D60" s="97">
        <v>1669326</v>
      </c>
      <c r="E60" s="97">
        <f t="shared" si="7"/>
        <v>42504</v>
      </c>
      <c r="F60" s="98">
        <f t="shared" si="8"/>
        <v>0.02612701328110881</v>
      </c>
    </row>
    <row r="61" spans="1:6" ht="18" customHeight="1">
      <c r="A61" s="99">
        <v>5</v>
      </c>
      <c r="B61" s="100" t="s">
        <v>231</v>
      </c>
      <c r="C61" s="97">
        <v>95359</v>
      </c>
      <c r="D61" s="97">
        <v>74488</v>
      </c>
      <c r="E61" s="97">
        <f t="shared" si="7"/>
        <v>-20871</v>
      </c>
      <c r="F61" s="98">
        <f t="shared" si="8"/>
        <v>-0.2188676475214715</v>
      </c>
    </row>
    <row r="62" spans="1:6" ht="18" customHeight="1">
      <c r="A62" s="99">
        <v>6</v>
      </c>
      <c r="B62" s="100" t="s">
        <v>232</v>
      </c>
      <c r="C62" s="97">
        <v>9565833</v>
      </c>
      <c r="D62" s="97">
        <v>9885372</v>
      </c>
      <c r="E62" s="97">
        <f t="shared" si="7"/>
        <v>319539</v>
      </c>
      <c r="F62" s="98">
        <f t="shared" si="8"/>
        <v>0.0334042001360467</v>
      </c>
    </row>
    <row r="63" spans="1:6" ht="18" customHeight="1">
      <c r="A63" s="99">
        <v>7</v>
      </c>
      <c r="B63" s="100" t="s">
        <v>233</v>
      </c>
      <c r="C63" s="97">
        <v>7366524</v>
      </c>
      <c r="D63" s="97">
        <v>8851281</v>
      </c>
      <c r="E63" s="97">
        <f t="shared" si="7"/>
        <v>1484757</v>
      </c>
      <c r="F63" s="98">
        <f t="shared" si="8"/>
        <v>0.2015546273927839</v>
      </c>
    </row>
    <row r="64" spans="1:6" ht="18" customHeight="1">
      <c r="A64" s="99">
        <v>8</v>
      </c>
      <c r="B64" s="100" t="s">
        <v>234</v>
      </c>
      <c r="C64" s="97">
        <v>958104</v>
      </c>
      <c r="D64" s="97">
        <v>813915</v>
      </c>
      <c r="E64" s="97">
        <f t="shared" si="7"/>
        <v>-144189</v>
      </c>
      <c r="F64" s="98">
        <f t="shared" si="8"/>
        <v>-0.15049410084917714</v>
      </c>
    </row>
    <row r="65" spans="1:6" ht="18" customHeight="1">
      <c r="A65" s="99">
        <v>9</v>
      </c>
      <c r="B65" s="100" t="s">
        <v>235</v>
      </c>
      <c r="C65" s="97">
        <v>33584</v>
      </c>
      <c r="D65" s="97">
        <v>24036</v>
      </c>
      <c r="E65" s="97">
        <f t="shared" si="7"/>
        <v>-9548</v>
      </c>
      <c r="F65" s="98">
        <f t="shared" si="8"/>
        <v>-0.28430204859456887</v>
      </c>
    </row>
    <row r="66" spans="1:6" ht="18" customHeight="1">
      <c r="A66" s="99">
        <v>10</v>
      </c>
      <c r="B66" s="100" t="s">
        <v>236</v>
      </c>
      <c r="C66" s="97">
        <v>998573</v>
      </c>
      <c r="D66" s="97">
        <v>955724</v>
      </c>
      <c r="E66" s="97">
        <f t="shared" si="7"/>
        <v>-42849</v>
      </c>
      <c r="F66" s="98">
        <f t="shared" si="8"/>
        <v>-0.04291023290235166</v>
      </c>
    </row>
    <row r="67" spans="1:6" ht="18" customHeight="1">
      <c r="A67" s="99">
        <v>11</v>
      </c>
      <c r="B67" s="100" t="s">
        <v>237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246</v>
      </c>
      <c r="C68" s="103">
        <f>SUM(C57:C67)</f>
        <v>51239606</v>
      </c>
      <c r="D68" s="103">
        <f>SUM(D57:D67)</f>
        <v>53436115</v>
      </c>
      <c r="E68" s="103">
        <f t="shared" si="7"/>
        <v>2196509</v>
      </c>
      <c r="F68" s="104">
        <f t="shared" si="8"/>
        <v>0.04286740612330235</v>
      </c>
    </row>
    <row r="69" spans="1:6" ht="18" customHeight="1">
      <c r="A69" s="94" t="s">
        <v>239</v>
      </c>
      <c r="B69" s="95" t="s">
        <v>247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227</v>
      </c>
      <c r="C70" s="97">
        <v>13013285</v>
      </c>
      <c r="D70" s="97">
        <v>13932270</v>
      </c>
      <c r="E70" s="97">
        <f aca="true" t="shared" si="9" ref="E70:E81">D70-C70</f>
        <v>918985</v>
      </c>
      <c r="F70" s="98">
        <f aca="true" t="shared" si="10" ref="F70:F81">IF(C70=0,0,E70/C70)</f>
        <v>0.07061898667400276</v>
      </c>
    </row>
    <row r="71" spans="1:6" ht="18" customHeight="1">
      <c r="A71" s="99">
        <v>2</v>
      </c>
      <c r="B71" s="100" t="s">
        <v>228</v>
      </c>
      <c r="C71" s="97">
        <v>1972420</v>
      </c>
      <c r="D71" s="97">
        <v>2756321</v>
      </c>
      <c r="E71" s="97">
        <f t="shared" si="9"/>
        <v>783901</v>
      </c>
      <c r="F71" s="98">
        <f t="shared" si="10"/>
        <v>0.3974310745175977</v>
      </c>
    </row>
    <row r="72" spans="1:6" ht="18" customHeight="1">
      <c r="A72" s="99">
        <v>3</v>
      </c>
      <c r="B72" s="100" t="s">
        <v>229</v>
      </c>
      <c r="C72" s="97">
        <v>1994258</v>
      </c>
      <c r="D72" s="97">
        <v>2081667</v>
      </c>
      <c r="E72" s="97">
        <f t="shared" si="9"/>
        <v>87409</v>
      </c>
      <c r="F72" s="98">
        <f t="shared" si="10"/>
        <v>0.04383033689723195</v>
      </c>
    </row>
    <row r="73" spans="1:6" ht="18" customHeight="1">
      <c r="A73" s="99">
        <v>4</v>
      </c>
      <c r="B73" s="100" t="s">
        <v>230</v>
      </c>
      <c r="C73" s="97">
        <v>3746798</v>
      </c>
      <c r="D73" s="97">
        <v>4186849</v>
      </c>
      <c r="E73" s="97">
        <f t="shared" si="9"/>
        <v>440051</v>
      </c>
      <c r="F73" s="98">
        <f t="shared" si="10"/>
        <v>0.11744721759753261</v>
      </c>
    </row>
    <row r="74" spans="1:6" ht="18" customHeight="1">
      <c r="A74" s="99">
        <v>5</v>
      </c>
      <c r="B74" s="100" t="s">
        <v>231</v>
      </c>
      <c r="C74" s="97">
        <v>162320</v>
      </c>
      <c r="D74" s="97">
        <v>96511</v>
      </c>
      <c r="E74" s="97">
        <f t="shared" si="9"/>
        <v>-65809</v>
      </c>
      <c r="F74" s="98">
        <f t="shared" si="10"/>
        <v>-0.4054275505174963</v>
      </c>
    </row>
    <row r="75" spans="1:6" ht="18" customHeight="1">
      <c r="A75" s="99">
        <v>6</v>
      </c>
      <c r="B75" s="100" t="s">
        <v>232</v>
      </c>
      <c r="C75" s="97">
        <v>19330937</v>
      </c>
      <c r="D75" s="97">
        <v>18725643</v>
      </c>
      <c r="E75" s="97">
        <f t="shared" si="9"/>
        <v>-605294</v>
      </c>
      <c r="F75" s="98">
        <f t="shared" si="10"/>
        <v>-0.031312191436969665</v>
      </c>
    </row>
    <row r="76" spans="1:6" ht="18" customHeight="1">
      <c r="A76" s="99">
        <v>7</v>
      </c>
      <c r="B76" s="100" t="s">
        <v>233</v>
      </c>
      <c r="C76" s="97">
        <v>12213550</v>
      </c>
      <c r="D76" s="97">
        <v>15954639</v>
      </c>
      <c r="E76" s="97">
        <f t="shared" si="9"/>
        <v>3741089</v>
      </c>
      <c r="F76" s="98">
        <f t="shared" si="10"/>
        <v>0.3063064383410229</v>
      </c>
    </row>
    <row r="77" spans="1:6" ht="18" customHeight="1">
      <c r="A77" s="99">
        <v>8</v>
      </c>
      <c r="B77" s="100" t="s">
        <v>234</v>
      </c>
      <c r="C77" s="97">
        <v>6172512</v>
      </c>
      <c r="D77" s="97">
        <v>6137784</v>
      </c>
      <c r="E77" s="97">
        <f t="shared" si="9"/>
        <v>-34728</v>
      </c>
      <c r="F77" s="98">
        <f t="shared" si="10"/>
        <v>-0.005626234505497924</v>
      </c>
    </row>
    <row r="78" spans="1:6" ht="18" customHeight="1">
      <c r="A78" s="99">
        <v>9</v>
      </c>
      <c r="B78" s="100" t="s">
        <v>235</v>
      </c>
      <c r="C78" s="97">
        <v>327905</v>
      </c>
      <c r="D78" s="97">
        <v>267683</v>
      </c>
      <c r="E78" s="97">
        <f t="shared" si="9"/>
        <v>-60222</v>
      </c>
      <c r="F78" s="98">
        <f t="shared" si="10"/>
        <v>-0.18365685183208552</v>
      </c>
    </row>
    <row r="79" spans="1:6" ht="18" customHeight="1">
      <c r="A79" s="99">
        <v>10</v>
      </c>
      <c r="B79" s="100" t="s">
        <v>236</v>
      </c>
      <c r="C79" s="97">
        <v>1272450</v>
      </c>
      <c r="D79" s="97">
        <v>870976</v>
      </c>
      <c r="E79" s="97">
        <f t="shared" si="9"/>
        <v>-401474</v>
      </c>
      <c r="F79" s="98">
        <f t="shared" si="10"/>
        <v>-0.3155125938150811</v>
      </c>
    </row>
    <row r="80" spans="1:6" ht="18" customHeight="1">
      <c r="A80" s="99">
        <v>11</v>
      </c>
      <c r="B80" s="100" t="s">
        <v>237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248</v>
      </c>
      <c r="C81" s="103">
        <f>SUM(C70:C80)</f>
        <v>60206435</v>
      </c>
      <c r="D81" s="103">
        <f>SUM(D70:D80)</f>
        <v>65010343</v>
      </c>
      <c r="E81" s="103">
        <f t="shared" si="9"/>
        <v>4803908</v>
      </c>
      <c r="F81" s="104">
        <f t="shared" si="10"/>
        <v>0.0797906071003872</v>
      </c>
    </row>
    <row r="82" spans="1:6" ht="18" customHeight="1">
      <c r="A82" s="665" t="s">
        <v>242</v>
      </c>
      <c r="B82" s="667" t="s">
        <v>249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227</v>
      </c>
      <c r="C84" s="103">
        <f aca="true" t="shared" si="11" ref="C84:D94">+C70+C57</f>
        <v>38000395</v>
      </c>
      <c r="D84" s="103">
        <f t="shared" si="11"/>
        <v>38534100</v>
      </c>
      <c r="E84" s="103">
        <f aca="true" t="shared" si="12" ref="E84:E95">D84-C84</f>
        <v>533705</v>
      </c>
      <c r="F84" s="104">
        <f aca="true" t="shared" si="13" ref="F84:F95">IF(C84=0,0,E84/C84)</f>
        <v>0.014044722429858953</v>
      </c>
    </row>
    <row r="85" spans="1:6" ht="18" customHeight="1">
      <c r="A85" s="114">
        <v>2</v>
      </c>
      <c r="B85" s="106" t="s">
        <v>228</v>
      </c>
      <c r="C85" s="103">
        <f t="shared" si="11"/>
        <v>5527687</v>
      </c>
      <c r="D85" s="103">
        <f t="shared" si="11"/>
        <v>7386867</v>
      </c>
      <c r="E85" s="103">
        <f t="shared" si="12"/>
        <v>1859180</v>
      </c>
      <c r="F85" s="104">
        <f t="shared" si="13"/>
        <v>0.33633959375775074</v>
      </c>
    </row>
    <row r="86" spans="1:6" ht="18" customHeight="1">
      <c r="A86" s="114">
        <v>3</v>
      </c>
      <c r="B86" s="106" t="s">
        <v>229</v>
      </c>
      <c r="C86" s="103">
        <f t="shared" si="11"/>
        <v>4046688</v>
      </c>
      <c r="D86" s="103">
        <f t="shared" si="11"/>
        <v>4011264</v>
      </c>
      <c r="E86" s="103">
        <f t="shared" si="12"/>
        <v>-35424</v>
      </c>
      <c r="F86" s="104">
        <f t="shared" si="13"/>
        <v>-0.008753825350508861</v>
      </c>
    </row>
    <row r="87" spans="1:6" ht="18" customHeight="1">
      <c r="A87" s="114">
        <v>4</v>
      </c>
      <c r="B87" s="106" t="s">
        <v>230</v>
      </c>
      <c r="C87" s="103">
        <f t="shared" si="11"/>
        <v>5373620</v>
      </c>
      <c r="D87" s="103">
        <f t="shared" si="11"/>
        <v>5856175</v>
      </c>
      <c r="E87" s="103">
        <f t="shared" si="12"/>
        <v>482555</v>
      </c>
      <c r="F87" s="104">
        <f t="shared" si="13"/>
        <v>0.08980073023399496</v>
      </c>
    </row>
    <row r="88" spans="1:6" ht="18" customHeight="1">
      <c r="A88" s="114">
        <v>5</v>
      </c>
      <c r="B88" s="106" t="s">
        <v>231</v>
      </c>
      <c r="C88" s="103">
        <f t="shared" si="11"/>
        <v>257679</v>
      </c>
      <c r="D88" s="103">
        <f t="shared" si="11"/>
        <v>170999</v>
      </c>
      <c r="E88" s="103">
        <f t="shared" si="12"/>
        <v>-86680</v>
      </c>
      <c r="F88" s="104">
        <f t="shared" si="13"/>
        <v>-0.3363875209077961</v>
      </c>
    </row>
    <row r="89" spans="1:6" ht="18" customHeight="1">
      <c r="A89" s="114">
        <v>6</v>
      </c>
      <c r="B89" s="106" t="s">
        <v>232</v>
      </c>
      <c r="C89" s="103">
        <f t="shared" si="11"/>
        <v>28896770</v>
      </c>
      <c r="D89" s="103">
        <f t="shared" si="11"/>
        <v>28611015</v>
      </c>
      <c r="E89" s="103">
        <f t="shared" si="12"/>
        <v>-285755</v>
      </c>
      <c r="F89" s="104">
        <f t="shared" si="13"/>
        <v>-0.009888821484200483</v>
      </c>
    </row>
    <row r="90" spans="1:6" ht="18" customHeight="1">
      <c r="A90" s="114">
        <v>7</v>
      </c>
      <c r="B90" s="106" t="s">
        <v>233</v>
      </c>
      <c r="C90" s="103">
        <f t="shared" si="11"/>
        <v>19580074</v>
      </c>
      <c r="D90" s="103">
        <f t="shared" si="11"/>
        <v>24805920</v>
      </c>
      <c r="E90" s="103">
        <f t="shared" si="12"/>
        <v>5225846</v>
      </c>
      <c r="F90" s="104">
        <f t="shared" si="13"/>
        <v>0.266896131240362</v>
      </c>
    </row>
    <row r="91" spans="1:6" ht="18" customHeight="1">
      <c r="A91" s="114">
        <v>8</v>
      </c>
      <c r="B91" s="106" t="s">
        <v>234</v>
      </c>
      <c r="C91" s="103">
        <f t="shared" si="11"/>
        <v>7130616</v>
      </c>
      <c r="D91" s="103">
        <f t="shared" si="11"/>
        <v>6951699</v>
      </c>
      <c r="E91" s="103">
        <f t="shared" si="12"/>
        <v>-178917</v>
      </c>
      <c r="F91" s="104">
        <f t="shared" si="13"/>
        <v>-0.02509138060442464</v>
      </c>
    </row>
    <row r="92" spans="1:6" ht="18" customHeight="1">
      <c r="A92" s="114">
        <v>9</v>
      </c>
      <c r="B92" s="106" t="s">
        <v>235</v>
      </c>
      <c r="C92" s="103">
        <f t="shared" si="11"/>
        <v>361489</v>
      </c>
      <c r="D92" s="103">
        <f t="shared" si="11"/>
        <v>291719</v>
      </c>
      <c r="E92" s="103">
        <f t="shared" si="12"/>
        <v>-69770</v>
      </c>
      <c r="F92" s="104">
        <f t="shared" si="13"/>
        <v>-0.1930072560990791</v>
      </c>
    </row>
    <row r="93" spans="1:6" ht="18" customHeight="1">
      <c r="A93" s="114">
        <v>10</v>
      </c>
      <c r="B93" s="106" t="s">
        <v>236</v>
      </c>
      <c r="C93" s="103">
        <f t="shared" si="11"/>
        <v>2271023</v>
      </c>
      <c r="D93" s="103">
        <f t="shared" si="11"/>
        <v>1826700</v>
      </c>
      <c r="E93" s="103">
        <f t="shared" si="12"/>
        <v>-444323</v>
      </c>
      <c r="F93" s="104">
        <f t="shared" si="13"/>
        <v>-0.19564883314700027</v>
      </c>
    </row>
    <row r="94" spans="1:6" ht="18" customHeight="1" thickBot="1">
      <c r="A94" s="114">
        <v>11</v>
      </c>
      <c r="B94" s="106" t="s">
        <v>237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249</v>
      </c>
      <c r="C95" s="112">
        <f>SUM(C84:C94)</f>
        <v>111446041</v>
      </c>
      <c r="D95" s="112">
        <f>SUM(D84:D94)</f>
        <v>118446458</v>
      </c>
      <c r="E95" s="112">
        <f t="shared" si="12"/>
        <v>7000417</v>
      </c>
      <c r="F95" s="113">
        <f t="shared" si="13"/>
        <v>0.0628144071981884</v>
      </c>
    </row>
    <row r="96" spans="1:6" ht="18" customHeight="1">
      <c r="A96" s="665" t="s">
        <v>250</v>
      </c>
      <c r="B96" s="667" t="s">
        <v>251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225</v>
      </c>
      <c r="B99" s="95" t="s">
        <v>252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227</v>
      </c>
      <c r="C100" s="117">
        <v>3204</v>
      </c>
      <c r="D100" s="117">
        <v>3030</v>
      </c>
      <c r="E100" s="117">
        <f aca="true" t="shared" si="14" ref="E100:E111">D100-C100</f>
        <v>-174</v>
      </c>
      <c r="F100" s="98">
        <f aca="true" t="shared" si="15" ref="F100:F111">IF(C100=0,0,E100/C100)</f>
        <v>-0.054307116104868915</v>
      </c>
    </row>
    <row r="101" spans="1:6" ht="18" customHeight="1">
      <c r="A101" s="99">
        <v>2</v>
      </c>
      <c r="B101" s="100" t="s">
        <v>228</v>
      </c>
      <c r="C101" s="117">
        <v>436</v>
      </c>
      <c r="D101" s="117">
        <v>567</v>
      </c>
      <c r="E101" s="117">
        <f t="shared" si="14"/>
        <v>131</v>
      </c>
      <c r="F101" s="98">
        <f t="shared" si="15"/>
        <v>0.30045871559633025</v>
      </c>
    </row>
    <row r="102" spans="1:6" ht="18" customHeight="1">
      <c r="A102" s="99">
        <v>3</v>
      </c>
      <c r="B102" s="100" t="s">
        <v>229</v>
      </c>
      <c r="C102" s="117">
        <v>406</v>
      </c>
      <c r="D102" s="117">
        <v>397</v>
      </c>
      <c r="E102" s="117">
        <f t="shared" si="14"/>
        <v>-9</v>
      </c>
      <c r="F102" s="98">
        <f t="shared" si="15"/>
        <v>-0.022167487684729065</v>
      </c>
    </row>
    <row r="103" spans="1:6" ht="18" customHeight="1">
      <c r="A103" s="99">
        <v>4</v>
      </c>
      <c r="B103" s="100" t="s">
        <v>230</v>
      </c>
      <c r="C103" s="117">
        <v>700</v>
      </c>
      <c r="D103" s="117">
        <v>687</v>
      </c>
      <c r="E103" s="117">
        <f t="shared" si="14"/>
        <v>-13</v>
      </c>
      <c r="F103" s="98">
        <f t="shared" si="15"/>
        <v>-0.018571428571428572</v>
      </c>
    </row>
    <row r="104" spans="1:6" ht="18" customHeight="1">
      <c r="A104" s="99">
        <v>5</v>
      </c>
      <c r="B104" s="100" t="s">
        <v>231</v>
      </c>
      <c r="C104" s="117">
        <v>11</v>
      </c>
      <c r="D104" s="117">
        <v>11</v>
      </c>
      <c r="E104" s="117">
        <f t="shared" si="14"/>
        <v>0</v>
      </c>
      <c r="F104" s="98">
        <f t="shared" si="15"/>
        <v>0</v>
      </c>
    </row>
    <row r="105" spans="1:6" ht="18" customHeight="1">
      <c r="A105" s="99">
        <v>6</v>
      </c>
      <c r="B105" s="100" t="s">
        <v>232</v>
      </c>
      <c r="C105" s="117">
        <v>478</v>
      </c>
      <c r="D105" s="117">
        <v>1453</v>
      </c>
      <c r="E105" s="117">
        <f t="shared" si="14"/>
        <v>975</v>
      </c>
      <c r="F105" s="98">
        <f t="shared" si="15"/>
        <v>2.0397489539748954</v>
      </c>
    </row>
    <row r="106" spans="1:6" ht="18" customHeight="1">
      <c r="A106" s="99">
        <v>7</v>
      </c>
      <c r="B106" s="100" t="s">
        <v>233</v>
      </c>
      <c r="C106" s="117">
        <v>2291</v>
      </c>
      <c r="D106" s="117">
        <v>1213</v>
      </c>
      <c r="E106" s="117">
        <f t="shared" si="14"/>
        <v>-1078</v>
      </c>
      <c r="F106" s="98">
        <f t="shared" si="15"/>
        <v>-0.4705368834570057</v>
      </c>
    </row>
    <row r="107" spans="1:6" ht="18" customHeight="1">
      <c r="A107" s="99">
        <v>8</v>
      </c>
      <c r="B107" s="100" t="s">
        <v>234</v>
      </c>
      <c r="C107" s="117">
        <v>30</v>
      </c>
      <c r="D107" s="117">
        <v>22</v>
      </c>
      <c r="E107" s="117">
        <f t="shared" si="14"/>
        <v>-8</v>
      </c>
      <c r="F107" s="98">
        <f t="shared" si="15"/>
        <v>-0.26666666666666666</v>
      </c>
    </row>
    <row r="108" spans="1:6" ht="18" customHeight="1">
      <c r="A108" s="99">
        <v>9</v>
      </c>
      <c r="B108" s="100" t="s">
        <v>235</v>
      </c>
      <c r="C108" s="117">
        <v>80</v>
      </c>
      <c r="D108" s="117">
        <v>43</v>
      </c>
      <c r="E108" s="117">
        <f t="shared" si="14"/>
        <v>-37</v>
      </c>
      <c r="F108" s="98">
        <f t="shared" si="15"/>
        <v>-0.4625</v>
      </c>
    </row>
    <row r="109" spans="1:6" ht="18" customHeight="1">
      <c r="A109" s="99">
        <v>10</v>
      </c>
      <c r="B109" s="100" t="s">
        <v>236</v>
      </c>
      <c r="C109" s="117">
        <v>380</v>
      </c>
      <c r="D109" s="117">
        <v>423</v>
      </c>
      <c r="E109" s="117">
        <f t="shared" si="14"/>
        <v>43</v>
      </c>
      <c r="F109" s="98">
        <f t="shared" si="15"/>
        <v>0.11315789473684211</v>
      </c>
    </row>
    <row r="110" spans="1:6" ht="18" customHeight="1">
      <c r="A110" s="99">
        <v>11</v>
      </c>
      <c r="B110" s="100" t="s">
        <v>237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253</v>
      </c>
      <c r="C111" s="118">
        <f>SUM(C100:C110)</f>
        <v>8016</v>
      </c>
      <c r="D111" s="118">
        <f>SUM(D100:D110)</f>
        <v>7846</v>
      </c>
      <c r="E111" s="118">
        <f t="shared" si="14"/>
        <v>-170</v>
      </c>
      <c r="F111" s="104">
        <f t="shared" si="15"/>
        <v>-0.02120758483033932</v>
      </c>
    </row>
    <row r="112" spans="1:6" ht="18" customHeight="1">
      <c r="A112" s="94" t="s">
        <v>239</v>
      </c>
      <c r="B112" s="95" t="s">
        <v>254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227</v>
      </c>
      <c r="C113" s="117">
        <v>16289</v>
      </c>
      <c r="D113" s="117">
        <v>16416</v>
      </c>
      <c r="E113" s="117">
        <f aca="true" t="shared" si="16" ref="E113:E124">D113-C113</f>
        <v>127</v>
      </c>
      <c r="F113" s="98">
        <f aca="true" t="shared" si="17" ref="F113:F124">IF(C113=0,0,E113/C113)</f>
        <v>0.007796672601141875</v>
      </c>
    </row>
    <row r="114" spans="1:6" ht="18" customHeight="1">
      <c r="A114" s="99">
        <v>2</v>
      </c>
      <c r="B114" s="100" t="s">
        <v>228</v>
      </c>
      <c r="C114" s="117">
        <v>2071</v>
      </c>
      <c r="D114" s="117">
        <v>2895</v>
      </c>
      <c r="E114" s="117">
        <f t="shared" si="16"/>
        <v>824</v>
      </c>
      <c r="F114" s="98">
        <f t="shared" si="17"/>
        <v>0.39787542250120717</v>
      </c>
    </row>
    <row r="115" spans="1:6" ht="18" customHeight="1">
      <c r="A115" s="99">
        <v>3</v>
      </c>
      <c r="B115" s="100" t="s">
        <v>229</v>
      </c>
      <c r="C115" s="117">
        <v>1764</v>
      </c>
      <c r="D115" s="117">
        <v>1756</v>
      </c>
      <c r="E115" s="117">
        <f t="shared" si="16"/>
        <v>-8</v>
      </c>
      <c r="F115" s="98">
        <f t="shared" si="17"/>
        <v>-0.0045351473922902496</v>
      </c>
    </row>
    <row r="116" spans="1:6" ht="18" customHeight="1">
      <c r="A116" s="99">
        <v>4</v>
      </c>
      <c r="B116" s="100" t="s">
        <v>230</v>
      </c>
      <c r="C116" s="117">
        <v>1869</v>
      </c>
      <c r="D116" s="117">
        <v>1906</v>
      </c>
      <c r="E116" s="117">
        <f t="shared" si="16"/>
        <v>37</v>
      </c>
      <c r="F116" s="98">
        <f t="shared" si="17"/>
        <v>0.019796682718031033</v>
      </c>
    </row>
    <row r="117" spans="1:6" ht="18" customHeight="1">
      <c r="A117" s="99">
        <v>5</v>
      </c>
      <c r="B117" s="100" t="s">
        <v>231</v>
      </c>
      <c r="C117" s="117">
        <v>40</v>
      </c>
      <c r="D117" s="117">
        <v>45</v>
      </c>
      <c r="E117" s="117">
        <f t="shared" si="16"/>
        <v>5</v>
      </c>
      <c r="F117" s="98">
        <f t="shared" si="17"/>
        <v>0.125</v>
      </c>
    </row>
    <row r="118" spans="1:6" ht="18" customHeight="1">
      <c r="A118" s="99">
        <v>6</v>
      </c>
      <c r="B118" s="100" t="s">
        <v>232</v>
      </c>
      <c r="C118" s="117">
        <v>1634</v>
      </c>
      <c r="D118" s="117">
        <v>4662</v>
      </c>
      <c r="E118" s="117">
        <f t="shared" si="16"/>
        <v>3028</v>
      </c>
      <c r="F118" s="98">
        <f t="shared" si="17"/>
        <v>1.8531211750305998</v>
      </c>
    </row>
    <row r="119" spans="1:6" ht="18" customHeight="1">
      <c r="A119" s="99">
        <v>7</v>
      </c>
      <c r="B119" s="100" t="s">
        <v>233</v>
      </c>
      <c r="C119" s="117">
        <v>7625</v>
      </c>
      <c r="D119" s="117">
        <v>4019</v>
      </c>
      <c r="E119" s="117">
        <f t="shared" si="16"/>
        <v>-3606</v>
      </c>
      <c r="F119" s="98">
        <f t="shared" si="17"/>
        <v>-0.47291803278688527</v>
      </c>
    </row>
    <row r="120" spans="1:6" ht="18" customHeight="1">
      <c r="A120" s="99">
        <v>8</v>
      </c>
      <c r="B120" s="100" t="s">
        <v>234</v>
      </c>
      <c r="C120" s="117">
        <v>72</v>
      </c>
      <c r="D120" s="117">
        <v>46</v>
      </c>
      <c r="E120" s="117">
        <f t="shared" si="16"/>
        <v>-26</v>
      </c>
      <c r="F120" s="98">
        <f t="shared" si="17"/>
        <v>-0.3611111111111111</v>
      </c>
    </row>
    <row r="121" spans="1:6" ht="18" customHeight="1">
      <c r="A121" s="99">
        <v>9</v>
      </c>
      <c r="B121" s="100" t="s">
        <v>235</v>
      </c>
      <c r="C121" s="117">
        <v>370</v>
      </c>
      <c r="D121" s="117">
        <v>205</v>
      </c>
      <c r="E121" s="117">
        <f t="shared" si="16"/>
        <v>-165</v>
      </c>
      <c r="F121" s="98">
        <f t="shared" si="17"/>
        <v>-0.44594594594594594</v>
      </c>
    </row>
    <row r="122" spans="1:6" ht="18" customHeight="1">
      <c r="A122" s="99">
        <v>10</v>
      </c>
      <c r="B122" s="100" t="s">
        <v>236</v>
      </c>
      <c r="C122" s="117">
        <v>1524</v>
      </c>
      <c r="D122" s="117">
        <v>1708</v>
      </c>
      <c r="E122" s="117">
        <f t="shared" si="16"/>
        <v>184</v>
      </c>
      <c r="F122" s="98">
        <f t="shared" si="17"/>
        <v>0.12073490813648294</v>
      </c>
    </row>
    <row r="123" spans="1:6" ht="18" customHeight="1">
      <c r="A123" s="99">
        <v>11</v>
      </c>
      <c r="B123" s="100" t="s">
        <v>237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255</v>
      </c>
      <c r="C124" s="118">
        <f>SUM(C113:C123)</f>
        <v>33258</v>
      </c>
      <c r="D124" s="118">
        <f>SUM(D113:D123)</f>
        <v>33658</v>
      </c>
      <c r="E124" s="118">
        <f t="shared" si="16"/>
        <v>400</v>
      </c>
      <c r="F124" s="104">
        <f t="shared" si="17"/>
        <v>0.012027181430031873</v>
      </c>
    </row>
    <row r="125" spans="1:6" ht="18" customHeight="1">
      <c r="A125" s="94" t="s">
        <v>256</v>
      </c>
      <c r="B125" s="95" t="s">
        <v>257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227</v>
      </c>
      <c r="C126" s="117">
        <v>41115</v>
      </c>
      <c r="D126" s="117">
        <v>41971</v>
      </c>
      <c r="E126" s="117">
        <f aca="true" t="shared" si="18" ref="E126:E137">D126-C126</f>
        <v>856</v>
      </c>
      <c r="F126" s="98">
        <f aca="true" t="shared" si="19" ref="F126:F137">IF(C126=0,0,E126/C126)</f>
        <v>0.02081965219506263</v>
      </c>
    </row>
    <row r="127" spans="1:6" ht="18" customHeight="1">
      <c r="A127" s="99">
        <v>2</v>
      </c>
      <c r="B127" s="100" t="s">
        <v>228</v>
      </c>
      <c r="C127" s="117">
        <v>5237</v>
      </c>
      <c r="D127" s="117">
        <v>7345</v>
      </c>
      <c r="E127" s="117">
        <f t="shared" si="18"/>
        <v>2108</v>
      </c>
      <c r="F127" s="98">
        <f t="shared" si="19"/>
        <v>0.40252052701928587</v>
      </c>
    </row>
    <row r="128" spans="1:6" ht="18" customHeight="1">
      <c r="A128" s="99">
        <v>3</v>
      </c>
      <c r="B128" s="100" t="s">
        <v>229</v>
      </c>
      <c r="C128" s="117">
        <v>4611</v>
      </c>
      <c r="D128" s="117">
        <v>5172</v>
      </c>
      <c r="E128" s="117">
        <f t="shared" si="18"/>
        <v>561</v>
      </c>
      <c r="F128" s="98">
        <f t="shared" si="19"/>
        <v>0.12166558230318802</v>
      </c>
    </row>
    <row r="129" spans="1:6" ht="18" customHeight="1">
      <c r="A129" s="99">
        <v>4</v>
      </c>
      <c r="B129" s="100" t="s">
        <v>230</v>
      </c>
      <c r="C129" s="117">
        <v>14746</v>
      </c>
      <c r="D129" s="117">
        <v>15511</v>
      </c>
      <c r="E129" s="117">
        <f t="shared" si="18"/>
        <v>765</v>
      </c>
      <c r="F129" s="98">
        <f t="shared" si="19"/>
        <v>0.05187847551878476</v>
      </c>
    </row>
    <row r="130" spans="1:6" ht="18" customHeight="1">
      <c r="A130" s="99">
        <v>5</v>
      </c>
      <c r="B130" s="100" t="s">
        <v>231</v>
      </c>
      <c r="C130" s="117">
        <v>563</v>
      </c>
      <c r="D130" s="117">
        <v>312</v>
      </c>
      <c r="E130" s="117">
        <f t="shared" si="18"/>
        <v>-251</v>
      </c>
      <c r="F130" s="98">
        <f t="shared" si="19"/>
        <v>-0.44582593250444047</v>
      </c>
    </row>
    <row r="131" spans="1:6" ht="18" customHeight="1">
      <c r="A131" s="99">
        <v>6</v>
      </c>
      <c r="B131" s="100" t="s">
        <v>232</v>
      </c>
      <c r="C131" s="117">
        <v>13733</v>
      </c>
      <c r="D131" s="117">
        <v>34217</v>
      </c>
      <c r="E131" s="117">
        <f t="shared" si="18"/>
        <v>20484</v>
      </c>
      <c r="F131" s="98">
        <f t="shared" si="19"/>
        <v>1.4915896016893615</v>
      </c>
    </row>
    <row r="132" spans="1:6" ht="18" customHeight="1">
      <c r="A132" s="99">
        <v>7</v>
      </c>
      <c r="B132" s="100" t="s">
        <v>233</v>
      </c>
      <c r="C132" s="117">
        <v>57389</v>
      </c>
      <c r="D132" s="117">
        <v>33601</v>
      </c>
      <c r="E132" s="117">
        <f t="shared" si="18"/>
        <v>-23788</v>
      </c>
      <c r="F132" s="98">
        <f t="shared" si="19"/>
        <v>-0.4145045217724651</v>
      </c>
    </row>
    <row r="133" spans="1:6" ht="18" customHeight="1">
      <c r="A133" s="99">
        <v>8</v>
      </c>
      <c r="B133" s="100" t="s">
        <v>234</v>
      </c>
      <c r="C133" s="117">
        <v>4728</v>
      </c>
      <c r="D133" s="117">
        <v>4501</v>
      </c>
      <c r="E133" s="117">
        <f t="shared" si="18"/>
        <v>-227</v>
      </c>
      <c r="F133" s="98">
        <f t="shared" si="19"/>
        <v>-0.04801184433164129</v>
      </c>
    </row>
    <row r="134" spans="1:6" ht="18" customHeight="1">
      <c r="A134" s="99">
        <v>9</v>
      </c>
      <c r="B134" s="100" t="s">
        <v>235</v>
      </c>
      <c r="C134" s="117">
        <v>4510</v>
      </c>
      <c r="D134" s="117">
        <v>4061</v>
      </c>
      <c r="E134" s="117">
        <f t="shared" si="18"/>
        <v>-449</v>
      </c>
      <c r="F134" s="98">
        <f t="shared" si="19"/>
        <v>-0.09955654101995566</v>
      </c>
    </row>
    <row r="135" spans="1:6" ht="18" customHeight="1">
      <c r="A135" s="99">
        <v>10</v>
      </c>
      <c r="B135" s="100" t="s">
        <v>236</v>
      </c>
      <c r="C135" s="117">
        <v>4857</v>
      </c>
      <c r="D135" s="117">
        <v>5324</v>
      </c>
      <c r="E135" s="117">
        <f t="shared" si="18"/>
        <v>467</v>
      </c>
      <c r="F135" s="98">
        <f t="shared" si="19"/>
        <v>0.09614988676137533</v>
      </c>
    </row>
    <row r="136" spans="1:6" ht="18" customHeight="1">
      <c r="A136" s="99">
        <v>11</v>
      </c>
      <c r="B136" s="100" t="s">
        <v>237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258</v>
      </c>
      <c r="C137" s="118">
        <f>SUM(C126:C136)</f>
        <v>151489</v>
      </c>
      <c r="D137" s="118">
        <f>SUM(D126:D136)</f>
        <v>152015</v>
      </c>
      <c r="E137" s="118">
        <f t="shared" si="18"/>
        <v>526</v>
      </c>
      <c r="F137" s="104">
        <f t="shared" si="19"/>
        <v>0.003472199301599456</v>
      </c>
    </row>
    <row r="138" spans="1:6" ht="18" customHeight="1">
      <c r="A138" s="665" t="s">
        <v>259</v>
      </c>
      <c r="B138" s="667" t="s">
        <v>260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225</v>
      </c>
      <c r="B141" s="95" t="s">
        <v>261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227</v>
      </c>
      <c r="C142" s="97">
        <v>6401601</v>
      </c>
      <c r="D142" s="97">
        <v>7047968</v>
      </c>
      <c r="E142" s="97">
        <f aca="true" t="shared" si="20" ref="E142:E153">D142-C142</f>
        <v>646367</v>
      </c>
      <c r="F142" s="98">
        <f aca="true" t="shared" si="21" ref="F142:F153">IF(C142=0,0,E142/C142)</f>
        <v>0.10096958557710797</v>
      </c>
    </row>
    <row r="143" spans="1:6" ht="18" customHeight="1">
      <c r="A143" s="99">
        <v>2</v>
      </c>
      <c r="B143" s="100" t="s">
        <v>228</v>
      </c>
      <c r="C143" s="97">
        <v>831060</v>
      </c>
      <c r="D143" s="97">
        <v>1124714</v>
      </c>
      <c r="E143" s="97">
        <f t="shared" si="20"/>
        <v>293654</v>
      </c>
      <c r="F143" s="98">
        <f t="shared" si="21"/>
        <v>0.3533487353500349</v>
      </c>
    </row>
    <row r="144" spans="1:6" ht="18" customHeight="1">
      <c r="A144" s="99">
        <v>3</v>
      </c>
      <c r="B144" s="100" t="s">
        <v>229</v>
      </c>
      <c r="C144" s="97">
        <v>1817276</v>
      </c>
      <c r="D144" s="97">
        <v>1858080</v>
      </c>
      <c r="E144" s="97">
        <f t="shared" si="20"/>
        <v>40804</v>
      </c>
      <c r="F144" s="98">
        <f t="shared" si="21"/>
        <v>0.022453386277043224</v>
      </c>
    </row>
    <row r="145" spans="1:6" ht="18" customHeight="1">
      <c r="A145" s="99">
        <v>4</v>
      </c>
      <c r="B145" s="100" t="s">
        <v>230</v>
      </c>
      <c r="C145" s="97">
        <v>5612650</v>
      </c>
      <c r="D145" s="97">
        <v>6164483</v>
      </c>
      <c r="E145" s="97">
        <f t="shared" si="20"/>
        <v>551833</v>
      </c>
      <c r="F145" s="98">
        <f t="shared" si="21"/>
        <v>0.09831951039170446</v>
      </c>
    </row>
    <row r="146" spans="1:6" ht="18" customHeight="1">
      <c r="A146" s="99">
        <v>5</v>
      </c>
      <c r="B146" s="100" t="s">
        <v>231</v>
      </c>
      <c r="C146" s="97">
        <v>138608</v>
      </c>
      <c r="D146" s="97">
        <v>153427</v>
      </c>
      <c r="E146" s="97">
        <f t="shared" si="20"/>
        <v>14819</v>
      </c>
      <c r="F146" s="98">
        <f t="shared" si="21"/>
        <v>0.10691302089345492</v>
      </c>
    </row>
    <row r="147" spans="1:6" ht="18" customHeight="1">
      <c r="A147" s="99">
        <v>6</v>
      </c>
      <c r="B147" s="100" t="s">
        <v>232</v>
      </c>
      <c r="C147" s="97">
        <v>2625946</v>
      </c>
      <c r="D147" s="97">
        <v>6275921</v>
      </c>
      <c r="E147" s="97">
        <f t="shared" si="20"/>
        <v>3649975</v>
      </c>
      <c r="F147" s="98">
        <f t="shared" si="21"/>
        <v>1.38996574948609</v>
      </c>
    </row>
    <row r="148" spans="1:6" ht="18" customHeight="1">
      <c r="A148" s="99">
        <v>7</v>
      </c>
      <c r="B148" s="100" t="s">
        <v>233</v>
      </c>
      <c r="C148" s="97">
        <v>9551917</v>
      </c>
      <c r="D148" s="97">
        <v>5511938</v>
      </c>
      <c r="E148" s="97">
        <f t="shared" si="20"/>
        <v>-4039979</v>
      </c>
      <c r="F148" s="98">
        <f t="shared" si="21"/>
        <v>-0.42294955033633563</v>
      </c>
    </row>
    <row r="149" spans="1:6" ht="18" customHeight="1">
      <c r="A149" s="99">
        <v>8</v>
      </c>
      <c r="B149" s="100" t="s">
        <v>234</v>
      </c>
      <c r="C149" s="97">
        <v>558408</v>
      </c>
      <c r="D149" s="97">
        <v>478963</v>
      </c>
      <c r="E149" s="97">
        <f t="shared" si="20"/>
        <v>-79445</v>
      </c>
      <c r="F149" s="98">
        <f t="shared" si="21"/>
        <v>-0.1422705262102262</v>
      </c>
    </row>
    <row r="150" spans="1:6" ht="18" customHeight="1">
      <c r="A150" s="99">
        <v>9</v>
      </c>
      <c r="B150" s="100" t="s">
        <v>235</v>
      </c>
      <c r="C150" s="97">
        <v>3010997</v>
      </c>
      <c r="D150" s="97">
        <v>2668724</v>
      </c>
      <c r="E150" s="97">
        <f t="shared" si="20"/>
        <v>-342273</v>
      </c>
      <c r="F150" s="98">
        <f t="shared" si="21"/>
        <v>-0.11367430787875245</v>
      </c>
    </row>
    <row r="151" spans="1:6" ht="18" customHeight="1">
      <c r="A151" s="99">
        <v>10</v>
      </c>
      <c r="B151" s="100" t="s">
        <v>236</v>
      </c>
      <c r="C151" s="97">
        <v>2278576</v>
      </c>
      <c r="D151" s="97">
        <v>2376412</v>
      </c>
      <c r="E151" s="97">
        <f t="shared" si="20"/>
        <v>97836</v>
      </c>
      <c r="F151" s="98">
        <f t="shared" si="21"/>
        <v>0.042937343323198346</v>
      </c>
    </row>
    <row r="152" spans="1:6" ht="18" customHeight="1">
      <c r="A152" s="99">
        <v>11</v>
      </c>
      <c r="B152" s="100" t="s">
        <v>237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262</v>
      </c>
      <c r="C153" s="103">
        <f>SUM(C142:C152)</f>
        <v>32827039</v>
      </c>
      <c r="D153" s="103">
        <f>SUM(D142:D152)</f>
        <v>33660630</v>
      </c>
      <c r="E153" s="103">
        <f t="shared" si="20"/>
        <v>833591</v>
      </c>
      <c r="F153" s="104">
        <f t="shared" si="21"/>
        <v>0.02539342643727325</v>
      </c>
    </row>
    <row r="154" spans="1:6" ht="18" customHeight="1">
      <c r="A154" s="94" t="s">
        <v>239</v>
      </c>
      <c r="B154" s="95" t="s">
        <v>263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227</v>
      </c>
      <c r="C155" s="97">
        <v>1509145</v>
      </c>
      <c r="D155" s="97">
        <v>1715475</v>
      </c>
      <c r="E155" s="97">
        <f aca="true" t="shared" si="22" ref="E155:E166">D155-C155</f>
        <v>206330</v>
      </c>
      <c r="F155" s="98">
        <f aca="true" t="shared" si="23" ref="F155:F166">IF(C155=0,0,E155/C155)</f>
        <v>0.13671979829638636</v>
      </c>
    </row>
    <row r="156" spans="1:6" ht="18" customHeight="1">
      <c r="A156" s="99">
        <v>2</v>
      </c>
      <c r="B156" s="100" t="s">
        <v>228</v>
      </c>
      <c r="C156" s="97">
        <v>174529</v>
      </c>
      <c r="D156" s="97">
        <v>220781</v>
      </c>
      <c r="E156" s="97">
        <f t="shared" si="22"/>
        <v>46252</v>
      </c>
      <c r="F156" s="98">
        <f t="shared" si="23"/>
        <v>0.2650103994178618</v>
      </c>
    </row>
    <row r="157" spans="1:6" ht="18" customHeight="1">
      <c r="A157" s="99">
        <v>3</v>
      </c>
      <c r="B157" s="100" t="s">
        <v>229</v>
      </c>
      <c r="C157" s="97">
        <v>529076</v>
      </c>
      <c r="D157" s="97">
        <v>548505</v>
      </c>
      <c r="E157" s="97">
        <f t="shared" si="22"/>
        <v>19429</v>
      </c>
      <c r="F157" s="98">
        <f t="shared" si="23"/>
        <v>0.036722512455677446</v>
      </c>
    </row>
    <row r="158" spans="1:6" ht="18" customHeight="1">
      <c r="A158" s="99">
        <v>4</v>
      </c>
      <c r="B158" s="100" t="s">
        <v>230</v>
      </c>
      <c r="C158" s="97">
        <v>1431422</v>
      </c>
      <c r="D158" s="97">
        <v>1552833</v>
      </c>
      <c r="E158" s="97">
        <f t="shared" si="22"/>
        <v>121411</v>
      </c>
      <c r="F158" s="98">
        <f t="shared" si="23"/>
        <v>0.08481845325836825</v>
      </c>
    </row>
    <row r="159" spans="1:6" ht="18" customHeight="1">
      <c r="A159" s="99">
        <v>5</v>
      </c>
      <c r="B159" s="100" t="s">
        <v>231</v>
      </c>
      <c r="C159" s="97">
        <v>30574</v>
      </c>
      <c r="D159" s="97">
        <v>34751</v>
      </c>
      <c r="E159" s="97">
        <f t="shared" si="22"/>
        <v>4177</v>
      </c>
      <c r="F159" s="98">
        <f t="shared" si="23"/>
        <v>0.13661934977431806</v>
      </c>
    </row>
    <row r="160" spans="1:6" ht="18" customHeight="1">
      <c r="A160" s="99">
        <v>6</v>
      </c>
      <c r="B160" s="100" t="s">
        <v>232</v>
      </c>
      <c r="C160" s="97">
        <v>2473606</v>
      </c>
      <c r="D160" s="97">
        <v>2519155</v>
      </c>
      <c r="E160" s="97">
        <f t="shared" si="22"/>
        <v>45549</v>
      </c>
      <c r="F160" s="98">
        <f t="shared" si="23"/>
        <v>0.018414007727989016</v>
      </c>
    </row>
    <row r="161" spans="1:6" ht="18" customHeight="1">
      <c r="A161" s="99">
        <v>7</v>
      </c>
      <c r="B161" s="100" t="s">
        <v>233</v>
      </c>
      <c r="C161" s="97">
        <v>1653089</v>
      </c>
      <c r="D161" s="97">
        <v>1919257</v>
      </c>
      <c r="E161" s="97">
        <f t="shared" si="22"/>
        <v>266168</v>
      </c>
      <c r="F161" s="98">
        <f t="shared" si="23"/>
        <v>0.1610125044689064</v>
      </c>
    </row>
    <row r="162" spans="1:6" ht="18" customHeight="1">
      <c r="A162" s="99">
        <v>8</v>
      </c>
      <c r="B162" s="100" t="s">
        <v>234</v>
      </c>
      <c r="C162" s="97">
        <v>558408</v>
      </c>
      <c r="D162" s="97">
        <v>478963</v>
      </c>
      <c r="E162" s="97">
        <f t="shared" si="22"/>
        <v>-79445</v>
      </c>
      <c r="F162" s="98">
        <f t="shared" si="23"/>
        <v>-0.1422705262102262</v>
      </c>
    </row>
    <row r="163" spans="1:6" ht="18" customHeight="1">
      <c r="A163" s="99">
        <v>9</v>
      </c>
      <c r="B163" s="100" t="s">
        <v>235</v>
      </c>
      <c r="C163" s="97">
        <v>166837</v>
      </c>
      <c r="D163" s="97">
        <v>128899</v>
      </c>
      <c r="E163" s="97">
        <f t="shared" si="22"/>
        <v>-37938</v>
      </c>
      <c r="F163" s="98">
        <f t="shared" si="23"/>
        <v>-0.22739560169506765</v>
      </c>
    </row>
    <row r="164" spans="1:6" ht="18" customHeight="1">
      <c r="A164" s="99">
        <v>10</v>
      </c>
      <c r="B164" s="100" t="s">
        <v>236</v>
      </c>
      <c r="C164" s="97">
        <v>458514</v>
      </c>
      <c r="D164" s="97">
        <v>285169</v>
      </c>
      <c r="E164" s="97">
        <f t="shared" si="22"/>
        <v>-173345</v>
      </c>
      <c r="F164" s="98">
        <f t="shared" si="23"/>
        <v>-0.3780582490392878</v>
      </c>
    </row>
    <row r="165" spans="1:6" ht="18" customHeight="1">
      <c r="A165" s="99">
        <v>11</v>
      </c>
      <c r="B165" s="100" t="s">
        <v>237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264</v>
      </c>
      <c r="C166" s="103">
        <f>SUM(C155:C165)</f>
        <v>8985200</v>
      </c>
      <c r="D166" s="103">
        <f>SUM(D155:D165)</f>
        <v>9403788</v>
      </c>
      <c r="E166" s="103">
        <f t="shared" si="22"/>
        <v>418588</v>
      </c>
      <c r="F166" s="104">
        <f t="shared" si="23"/>
        <v>0.04658638650224814</v>
      </c>
    </row>
    <row r="167" spans="1:6" ht="18" customHeight="1">
      <c r="A167" s="94" t="s">
        <v>256</v>
      </c>
      <c r="B167" s="95" t="s">
        <v>265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227</v>
      </c>
      <c r="C168" s="117">
        <v>4969</v>
      </c>
      <c r="D168" s="117">
        <v>5182</v>
      </c>
      <c r="E168" s="117">
        <f aca="true" t="shared" si="24" ref="E168:E179">D168-C168</f>
        <v>213</v>
      </c>
      <c r="F168" s="98">
        <f aca="true" t="shared" si="25" ref="F168:F179">IF(C168=0,0,E168/C168)</f>
        <v>0.0428657677601127</v>
      </c>
    </row>
    <row r="169" spans="1:6" ht="18" customHeight="1">
      <c r="A169" s="99">
        <v>2</v>
      </c>
      <c r="B169" s="100" t="s">
        <v>228</v>
      </c>
      <c r="C169" s="117">
        <v>695</v>
      </c>
      <c r="D169" s="117">
        <v>915</v>
      </c>
      <c r="E169" s="117">
        <f t="shared" si="24"/>
        <v>220</v>
      </c>
      <c r="F169" s="98">
        <f t="shared" si="25"/>
        <v>0.31654676258992803</v>
      </c>
    </row>
    <row r="170" spans="1:6" ht="18" customHeight="1">
      <c r="A170" s="99">
        <v>3</v>
      </c>
      <c r="B170" s="100" t="s">
        <v>229</v>
      </c>
      <c r="C170" s="117">
        <v>1723</v>
      </c>
      <c r="D170" s="117">
        <v>1542</v>
      </c>
      <c r="E170" s="117">
        <f t="shared" si="24"/>
        <v>-181</v>
      </c>
      <c r="F170" s="98">
        <f t="shared" si="25"/>
        <v>-0.10504933255948927</v>
      </c>
    </row>
    <row r="171" spans="1:6" ht="18" customHeight="1">
      <c r="A171" s="99">
        <v>4</v>
      </c>
      <c r="B171" s="100" t="s">
        <v>230</v>
      </c>
      <c r="C171" s="117">
        <v>7002</v>
      </c>
      <c r="D171" s="117">
        <v>7609</v>
      </c>
      <c r="E171" s="117">
        <f t="shared" si="24"/>
        <v>607</v>
      </c>
      <c r="F171" s="98">
        <f t="shared" si="25"/>
        <v>0.08668951728077692</v>
      </c>
    </row>
    <row r="172" spans="1:6" ht="18" customHeight="1">
      <c r="A172" s="99">
        <v>5</v>
      </c>
      <c r="B172" s="100" t="s">
        <v>231</v>
      </c>
      <c r="C172" s="117">
        <v>148</v>
      </c>
      <c r="D172" s="117">
        <v>141</v>
      </c>
      <c r="E172" s="117">
        <f t="shared" si="24"/>
        <v>-7</v>
      </c>
      <c r="F172" s="98">
        <f t="shared" si="25"/>
        <v>-0.0472972972972973</v>
      </c>
    </row>
    <row r="173" spans="1:6" ht="18" customHeight="1">
      <c r="A173" s="99">
        <v>6</v>
      </c>
      <c r="B173" s="100" t="s">
        <v>232</v>
      </c>
      <c r="C173" s="117">
        <v>2987</v>
      </c>
      <c r="D173" s="117">
        <v>6409</v>
      </c>
      <c r="E173" s="117">
        <f t="shared" si="24"/>
        <v>3422</v>
      </c>
      <c r="F173" s="98">
        <f t="shared" si="25"/>
        <v>1.145631067961165</v>
      </c>
    </row>
    <row r="174" spans="1:6" ht="18" customHeight="1">
      <c r="A174" s="99">
        <v>7</v>
      </c>
      <c r="B174" s="100" t="s">
        <v>233</v>
      </c>
      <c r="C174" s="117">
        <v>9623</v>
      </c>
      <c r="D174" s="117">
        <v>5134</v>
      </c>
      <c r="E174" s="117">
        <f t="shared" si="24"/>
        <v>-4489</v>
      </c>
      <c r="F174" s="98">
        <f t="shared" si="25"/>
        <v>-0.4664865426582147</v>
      </c>
    </row>
    <row r="175" spans="1:6" ht="18" customHeight="1">
      <c r="A175" s="99">
        <v>8</v>
      </c>
      <c r="B175" s="100" t="s">
        <v>234</v>
      </c>
      <c r="C175" s="117">
        <v>714</v>
      </c>
      <c r="D175" s="117">
        <v>589</v>
      </c>
      <c r="E175" s="117">
        <f t="shared" si="24"/>
        <v>-125</v>
      </c>
      <c r="F175" s="98">
        <f t="shared" si="25"/>
        <v>-0.17507002801120447</v>
      </c>
    </row>
    <row r="176" spans="1:6" ht="18" customHeight="1">
      <c r="A176" s="99">
        <v>9</v>
      </c>
      <c r="B176" s="100" t="s">
        <v>235</v>
      </c>
      <c r="C176" s="117">
        <v>3967</v>
      </c>
      <c r="D176" s="117">
        <v>3564</v>
      </c>
      <c r="E176" s="117">
        <f t="shared" si="24"/>
        <v>-403</v>
      </c>
      <c r="F176" s="98">
        <f t="shared" si="25"/>
        <v>-0.1015881018401815</v>
      </c>
    </row>
    <row r="177" spans="1:6" ht="18" customHeight="1">
      <c r="A177" s="99">
        <v>10</v>
      </c>
      <c r="B177" s="100" t="s">
        <v>236</v>
      </c>
      <c r="C177" s="117">
        <v>2582</v>
      </c>
      <c r="D177" s="117">
        <v>2466</v>
      </c>
      <c r="E177" s="117">
        <f t="shared" si="24"/>
        <v>-116</v>
      </c>
      <c r="F177" s="98">
        <f t="shared" si="25"/>
        <v>-0.044926413632842756</v>
      </c>
    </row>
    <row r="178" spans="1:6" ht="18" customHeight="1">
      <c r="A178" s="99">
        <v>11</v>
      </c>
      <c r="B178" s="100" t="s">
        <v>237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266</v>
      </c>
      <c r="C179" s="118">
        <f>SUM(C168:C178)</f>
        <v>34410</v>
      </c>
      <c r="D179" s="118">
        <f>SUM(D168:D178)</f>
        <v>33551</v>
      </c>
      <c r="E179" s="118">
        <f t="shared" si="24"/>
        <v>-859</v>
      </c>
      <c r="F179" s="104">
        <f t="shared" si="25"/>
        <v>-0.024963673350770123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2" horizontalDpi="1200" verticalDpi="1200" orientation="portrait" paperSize="9" scale="65" r:id="rId1"/>
  <headerFooter alignWithMargins="0">
    <oddHeader>&amp;LOFFICE OF HEALTH CARE ACCESS&amp;CTWELVE MONTHS ACTUAL FILING&amp;RBRISTOL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115</v>
      </c>
      <c r="E2" s="123"/>
      <c r="F2" s="123"/>
      <c r="G2" s="124"/>
    </row>
    <row r="3" spans="1:7" ht="15.75" customHeight="1">
      <c r="A3" s="121"/>
      <c r="C3" s="123" t="s">
        <v>116</v>
      </c>
      <c r="E3" s="123"/>
      <c r="F3" s="123"/>
      <c r="G3" s="124"/>
    </row>
    <row r="4" spans="1:7" ht="15.75" customHeight="1">
      <c r="A4" s="121"/>
      <c r="C4" s="123" t="s">
        <v>117</v>
      </c>
      <c r="E4" s="123"/>
      <c r="F4" s="123"/>
      <c r="G4" s="124"/>
    </row>
    <row r="5" spans="1:7" ht="15.75" customHeight="1">
      <c r="A5" s="121"/>
      <c r="C5" s="123" t="s">
        <v>267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119</v>
      </c>
      <c r="D9" s="127" t="s">
        <v>120</v>
      </c>
      <c r="E9" s="129" t="s">
        <v>121</v>
      </c>
      <c r="F9" s="130" t="s">
        <v>268</v>
      </c>
      <c r="G9" s="124"/>
    </row>
    <row r="10" spans="1:7" ht="15.75" customHeight="1">
      <c r="A10" s="131" t="s">
        <v>269</v>
      </c>
      <c r="B10" s="132" t="s">
        <v>124</v>
      </c>
      <c r="C10" s="133" t="s">
        <v>125</v>
      </c>
      <c r="D10" s="133" t="s">
        <v>125</v>
      </c>
      <c r="E10" s="134" t="s">
        <v>126</v>
      </c>
      <c r="F10" s="133" t="s">
        <v>126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127</v>
      </c>
      <c r="B12" s="139" t="s">
        <v>270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225</v>
      </c>
      <c r="B14" s="145" t="s">
        <v>271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272</v>
      </c>
      <c r="C15" s="146">
        <v>19832509</v>
      </c>
      <c r="D15" s="146">
        <v>21080745</v>
      </c>
      <c r="E15" s="146">
        <f>+D15-C15</f>
        <v>1248236</v>
      </c>
      <c r="F15" s="150">
        <f>IF(C15=0,0,E15/C15)</f>
        <v>0.06293888483802024</v>
      </c>
    </row>
    <row r="16" spans="1:6" ht="15" customHeight="1">
      <c r="A16" s="141">
        <v>2</v>
      </c>
      <c r="B16" s="149" t="s">
        <v>273</v>
      </c>
      <c r="C16" s="146">
        <v>724920</v>
      </c>
      <c r="D16" s="146">
        <v>539198</v>
      </c>
      <c r="E16" s="146">
        <f>+D16-C16</f>
        <v>-185722</v>
      </c>
      <c r="F16" s="150">
        <f>IF(C16=0,0,E16/C16)</f>
        <v>-0.2561965458257463</v>
      </c>
    </row>
    <row r="17" spans="1:6" ht="15" customHeight="1">
      <c r="A17" s="141">
        <v>3</v>
      </c>
      <c r="B17" s="149" t="s">
        <v>274</v>
      </c>
      <c r="C17" s="146">
        <v>31278113</v>
      </c>
      <c r="D17" s="146">
        <v>32074903</v>
      </c>
      <c r="E17" s="146">
        <f>+D17-C17</f>
        <v>796790</v>
      </c>
      <c r="F17" s="150">
        <f>IF(C17=0,0,E17/C17)</f>
        <v>0.02547436285558531</v>
      </c>
    </row>
    <row r="18" spans="1:7" ht="15.75" customHeight="1">
      <c r="A18" s="141"/>
      <c r="B18" s="151" t="s">
        <v>275</v>
      </c>
      <c r="C18" s="147">
        <f>SUM(C15:C17)</f>
        <v>51835542</v>
      </c>
      <c r="D18" s="147">
        <f>SUM(D15:D17)</f>
        <v>53694846</v>
      </c>
      <c r="E18" s="147">
        <f>+D18-C18</f>
        <v>1859304</v>
      </c>
      <c r="F18" s="148">
        <f>IF(C18=0,0,E18/C18)</f>
        <v>0.03586928829643568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239</v>
      </c>
      <c r="B20" s="145" t="s">
        <v>276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277</v>
      </c>
      <c r="C21" s="146">
        <v>4792505</v>
      </c>
      <c r="D21" s="146">
        <v>5421117</v>
      </c>
      <c r="E21" s="146">
        <f>+D21-C21</f>
        <v>628612</v>
      </c>
      <c r="F21" s="150">
        <f>IF(C21=0,0,E21/C21)</f>
        <v>0.13116564301967343</v>
      </c>
    </row>
    <row r="22" spans="1:6" ht="15" customHeight="1">
      <c r="A22" s="141">
        <v>2</v>
      </c>
      <c r="B22" s="149" t="s">
        <v>278</v>
      </c>
      <c r="C22" s="146">
        <v>175176</v>
      </c>
      <c r="D22" s="146">
        <v>138660</v>
      </c>
      <c r="E22" s="146">
        <f>+D22-C22</f>
        <v>-36516</v>
      </c>
      <c r="F22" s="150">
        <f>IF(C22=0,0,E22/C22)</f>
        <v>-0.20845321276887244</v>
      </c>
    </row>
    <row r="23" spans="1:6" ht="15" customHeight="1">
      <c r="A23" s="141">
        <v>3</v>
      </c>
      <c r="B23" s="149" t="s">
        <v>279</v>
      </c>
      <c r="C23" s="146">
        <v>7652934</v>
      </c>
      <c r="D23" s="146">
        <v>8248371</v>
      </c>
      <c r="E23" s="146">
        <f>+D23-C23</f>
        <v>595437</v>
      </c>
      <c r="F23" s="150">
        <f>IF(C23=0,0,E23/C23)</f>
        <v>0.07780506143134124</v>
      </c>
    </row>
    <row r="24" spans="1:7" ht="15.75" customHeight="1">
      <c r="A24" s="141"/>
      <c r="B24" s="151" t="s">
        <v>280</v>
      </c>
      <c r="C24" s="147">
        <f>SUM(C21:C23)</f>
        <v>12620615</v>
      </c>
      <c r="D24" s="147">
        <f>SUM(D21:D23)</f>
        <v>13808148</v>
      </c>
      <c r="E24" s="147">
        <f>+D24-C24</f>
        <v>1187533</v>
      </c>
      <c r="F24" s="148">
        <f>IF(C24=0,0,E24/C24)</f>
        <v>0.09409470140718182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256</v>
      </c>
      <c r="B26" s="145" t="s">
        <v>281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282</v>
      </c>
      <c r="C27" s="146">
        <v>835425</v>
      </c>
      <c r="D27" s="146">
        <v>459503</v>
      </c>
      <c r="E27" s="146">
        <f>+D27-C27</f>
        <v>-375922</v>
      </c>
      <c r="F27" s="150">
        <f>IF(C27=0,0,E27/C27)</f>
        <v>-0.4499769578358321</v>
      </c>
    </row>
    <row r="28" spans="1:6" ht="15" customHeight="1">
      <c r="A28" s="141">
        <v>2</v>
      </c>
      <c r="B28" s="149" t="s">
        <v>283</v>
      </c>
      <c r="C28" s="146">
        <v>3061314</v>
      </c>
      <c r="D28" s="146">
        <v>4436306</v>
      </c>
      <c r="E28" s="146">
        <f>+D28-C28</f>
        <v>1374992</v>
      </c>
      <c r="F28" s="150">
        <f>IF(C28=0,0,E28/C28)</f>
        <v>0.44915092016042785</v>
      </c>
    </row>
    <row r="29" spans="1:6" ht="15" customHeight="1">
      <c r="A29" s="141">
        <v>3</v>
      </c>
      <c r="B29" s="149" t="s">
        <v>284</v>
      </c>
      <c r="C29" s="146">
        <v>875061</v>
      </c>
      <c r="D29" s="146">
        <v>757788</v>
      </c>
      <c r="E29" s="146">
        <f>+D29-C29</f>
        <v>-117273</v>
      </c>
      <c r="F29" s="150">
        <f>IF(C29=0,0,E29/C29)</f>
        <v>-0.1340169428188435</v>
      </c>
    </row>
    <row r="30" spans="1:7" ht="15.75" customHeight="1">
      <c r="A30" s="141"/>
      <c r="B30" s="151" t="s">
        <v>285</v>
      </c>
      <c r="C30" s="147">
        <f>SUM(C27:C29)</f>
        <v>4771800</v>
      </c>
      <c r="D30" s="147">
        <f>SUM(D27:D29)</f>
        <v>5653597</v>
      </c>
      <c r="E30" s="147">
        <f>+D30-C30</f>
        <v>881797</v>
      </c>
      <c r="F30" s="148">
        <f>IF(C30=0,0,E30/C30)</f>
        <v>0.18479336937843163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286</v>
      </c>
      <c r="B32" s="145" t="s">
        <v>287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288</v>
      </c>
      <c r="C33" s="146">
        <v>9145772</v>
      </c>
      <c r="D33" s="146">
        <v>9611576</v>
      </c>
      <c r="E33" s="146">
        <f>+D33-C33</f>
        <v>465804</v>
      </c>
      <c r="F33" s="150">
        <f>IF(C33=0,0,E33/C33)</f>
        <v>0.05093107503663988</v>
      </c>
    </row>
    <row r="34" spans="1:6" ht="15" customHeight="1">
      <c r="A34" s="141">
        <v>2</v>
      </c>
      <c r="B34" s="149" t="s">
        <v>289</v>
      </c>
      <c r="C34" s="146">
        <v>5160418</v>
      </c>
      <c r="D34" s="146">
        <v>6447953</v>
      </c>
      <c r="E34" s="146">
        <f>+D34-C34</f>
        <v>1287535</v>
      </c>
      <c r="F34" s="150">
        <f>IF(C34=0,0,E34/C34)</f>
        <v>0.24950207521948803</v>
      </c>
    </row>
    <row r="35" spans="1:7" ht="15.75" customHeight="1">
      <c r="A35" s="141"/>
      <c r="B35" s="151" t="s">
        <v>290</v>
      </c>
      <c r="C35" s="147">
        <f>SUM(C33:C34)</f>
        <v>14306190</v>
      </c>
      <c r="D35" s="147">
        <f>SUM(D33:D34)</f>
        <v>16059529</v>
      </c>
      <c r="E35" s="147">
        <f>+D35-C35</f>
        <v>1753339</v>
      </c>
      <c r="F35" s="148">
        <f>IF(C35=0,0,E35/C35)</f>
        <v>0.12255806752182097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291</v>
      </c>
      <c r="B37" s="145" t="s">
        <v>292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293</v>
      </c>
      <c r="C38" s="146">
        <v>2549538</v>
      </c>
      <c r="D38" s="146">
        <v>2442111</v>
      </c>
      <c r="E38" s="146">
        <f>+D38-C38</f>
        <v>-107427</v>
      </c>
      <c r="F38" s="150">
        <f>IF(C38=0,0,E38/C38)</f>
        <v>-0.042135869322206615</v>
      </c>
    </row>
    <row r="39" spans="1:6" ht="15" customHeight="1">
      <c r="A39" s="141">
        <v>2</v>
      </c>
      <c r="B39" s="149" t="s">
        <v>294</v>
      </c>
      <c r="C39" s="146">
        <v>3218942</v>
      </c>
      <c r="D39" s="146">
        <v>2938850</v>
      </c>
      <c r="E39" s="146">
        <f>+D39-C39</f>
        <v>-280092</v>
      </c>
      <c r="F39" s="150">
        <f>IF(C39=0,0,E39/C39)</f>
        <v>-0.08701368337795462</v>
      </c>
    </row>
    <row r="40" spans="1:6" ht="15" customHeight="1">
      <c r="A40" s="141">
        <v>3</v>
      </c>
      <c r="B40" s="149" t="s">
        <v>295</v>
      </c>
      <c r="C40" s="146">
        <v>57750</v>
      </c>
      <c r="D40" s="146">
        <v>57752</v>
      </c>
      <c r="E40" s="146">
        <f>+D40-C40</f>
        <v>2</v>
      </c>
      <c r="F40" s="150">
        <f>IF(C40=0,0,E40/C40)</f>
        <v>3.463203463203463E-05</v>
      </c>
    </row>
    <row r="41" spans="1:7" ht="15.75" customHeight="1">
      <c r="A41" s="141"/>
      <c r="B41" s="151" t="s">
        <v>296</v>
      </c>
      <c r="C41" s="147">
        <f>SUM(C38:C40)</f>
        <v>5826230</v>
      </c>
      <c r="D41" s="147">
        <f>SUM(D38:D40)</f>
        <v>5438713</v>
      </c>
      <c r="E41" s="147">
        <f>+D41-C41</f>
        <v>-387517</v>
      </c>
      <c r="F41" s="148">
        <f>IF(C41=0,0,E41/C41)</f>
        <v>-0.06651247891003273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297</v>
      </c>
      <c r="B43" s="145" t="s">
        <v>298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200</v>
      </c>
      <c r="C44" s="146">
        <v>10951622</v>
      </c>
      <c r="D44" s="146">
        <v>9166346</v>
      </c>
      <c r="E44" s="146">
        <f>+D44-C44</f>
        <v>-1785276</v>
      </c>
      <c r="F44" s="150">
        <f>IF(C44=0,0,E44/C44)</f>
        <v>-0.1630147570834713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299</v>
      </c>
      <c r="B46" s="145" t="s">
        <v>300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301</v>
      </c>
      <c r="C47" s="146">
        <v>2035567</v>
      </c>
      <c r="D47" s="146">
        <v>1891953</v>
      </c>
      <c r="E47" s="146">
        <f>+D47-C47</f>
        <v>-143614</v>
      </c>
      <c r="F47" s="150">
        <f>IF(C47=0,0,E47/C47)</f>
        <v>-0.07055233259332658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302</v>
      </c>
      <c r="B49" s="145" t="s">
        <v>303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304</v>
      </c>
      <c r="C50" s="146">
        <v>1106630</v>
      </c>
      <c r="D50" s="146">
        <v>1255062</v>
      </c>
      <c r="E50" s="146">
        <f>+D50-C50</f>
        <v>148432</v>
      </c>
      <c r="F50" s="150">
        <f>IF(C50=0,0,E50/C50)</f>
        <v>0.13412974526264423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305</v>
      </c>
      <c r="B52" s="145" t="s">
        <v>306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307</v>
      </c>
      <c r="C53" s="146">
        <v>82983</v>
      </c>
      <c r="D53" s="146">
        <v>57139</v>
      </c>
      <c r="E53" s="146">
        <f aca="true" t="shared" si="0" ref="E53:E59">+D53-C53</f>
        <v>-25844</v>
      </c>
      <c r="F53" s="150">
        <f aca="true" t="shared" si="1" ref="F53:F59">IF(C53=0,0,E53/C53)</f>
        <v>-0.31143728233493606</v>
      </c>
    </row>
    <row r="54" spans="1:6" ht="15" customHeight="1">
      <c r="A54" s="141">
        <v>2</v>
      </c>
      <c r="B54" s="149" t="s">
        <v>308</v>
      </c>
      <c r="C54" s="146">
        <v>893993</v>
      </c>
      <c r="D54" s="146">
        <v>1031026</v>
      </c>
      <c r="E54" s="146">
        <f t="shared" si="0"/>
        <v>137033</v>
      </c>
      <c r="F54" s="150">
        <f t="shared" si="1"/>
        <v>0.15328196082072232</v>
      </c>
    </row>
    <row r="55" spans="1:6" ht="15" customHeight="1">
      <c r="A55" s="141">
        <v>3</v>
      </c>
      <c r="B55" s="149" t="s">
        <v>309</v>
      </c>
      <c r="C55" s="146">
        <v>49899</v>
      </c>
      <c r="D55" s="146">
        <v>5091</v>
      </c>
      <c r="E55" s="146">
        <f t="shared" si="0"/>
        <v>-44808</v>
      </c>
      <c r="F55" s="150">
        <f t="shared" si="1"/>
        <v>-0.8979739072927313</v>
      </c>
    </row>
    <row r="56" spans="1:6" ht="15" customHeight="1">
      <c r="A56" s="141">
        <v>4</v>
      </c>
      <c r="B56" s="149" t="s">
        <v>310</v>
      </c>
      <c r="C56" s="146">
        <v>1362505</v>
      </c>
      <c r="D56" s="146">
        <v>1424828</v>
      </c>
      <c r="E56" s="146">
        <f t="shared" si="0"/>
        <v>62323</v>
      </c>
      <c r="F56" s="150">
        <f t="shared" si="1"/>
        <v>0.04574148351749168</v>
      </c>
    </row>
    <row r="57" spans="1:6" ht="15" customHeight="1">
      <c r="A57" s="141">
        <v>5</v>
      </c>
      <c r="B57" s="149" t="s">
        <v>311</v>
      </c>
      <c r="C57" s="146">
        <v>291442</v>
      </c>
      <c r="D57" s="146">
        <v>276016</v>
      </c>
      <c r="E57" s="146">
        <f t="shared" si="0"/>
        <v>-15426</v>
      </c>
      <c r="F57" s="150">
        <f t="shared" si="1"/>
        <v>-0.05292991401376603</v>
      </c>
    </row>
    <row r="58" spans="1:6" ht="15" customHeight="1">
      <c r="A58" s="141">
        <v>6</v>
      </c>
      <c r="B58" s="149" t="s">
        <v>312</v>
      </c>
      <c r="C58" s="146">
        <v>1641</v>
      </c>
      <c r="D58" s="146">
        <v>794</v>
      </c>
      <c r="E58" s="146">
        <f t="shared" si="0"/>
        <v>-847</v>
      </c>
      <c r="F58" s="150">
        <f t="shared" si="1"/>
        <v>-0.5161486898232784</v>
      </c>
    </row>
    <row r="59" spans="1:7" ht="15.75" customHeight="1">
      <c r="A59" s="141"/>
      <c r="B59" s="151" t="s">
        <v>313</v>
      </c>
      <c r="C59" s="147">
        <f>SUM(C53:C58)</f>
        <v>2682463</v>
      </c>
      <c r="D59" s="147">
        <f>SUM(D53:D58)</f>
        <v>2794894</v>
      </c>
      <c r="E59" s="147">
        <f t="shared" si="0"/>
        <v>112431</v>
      </c>
      <c r="F59" s="148">
        <f t="shared" si="1"/>
        <v>0.04191334605547215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314</v>
      </c>
      <c r="B61" s="145" t="s">
        <v>315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316</v>
      </c>
      <c r="C62" s="146">
        <v>146316</v>
      </c>
      <c r="D62" s="146">
        <v>136529</v>
      </c>
      <c r="E62" s="146">
        <f aca="true" t="shared" si="2" ref="E62:E78">+D62-C62</f>
        <v>-9787</v>
      </c>
      <c r="F62" s="150">
        <f aca="true" t="shared" si="3" ref="F62:F78">IF(C62=0,0,E62/C62)</f>
        <v>-0.066889472101479</v>
      </c>
    </row>
    <row r="63" spans="1:6" ht="15" customHeight="1">
      <c r="A63" s="141">
        <v>2</v>
      </c>
      <c r="B63" s="149" t="s">
        <v>317</v>
      </c>
      <c r="C63" s="146">
        <v>350834</v>
      </c>
      <c r="D63" s="146">
        <v>380379</v>
      </c>
      <c r="E63" s="146">
        <f t="shared" si="2"/>
        <v>29545</v>
      </c>
      <c r="F63" s="150">
        <f t="shared" si="3"/>
        <v>0.0842136166962153</v>
      </c>
    </row>
    <row r="64" spans="1:6" ht="15" customHeight="1">
      <c r="A64" s="141">
        <v>3</v>
      </c>
      <c r="B64" s="149" t="s">
        <v>318</v>
      </c>
      <c r="C64" s="146">
        <v>952292</v>
      </c>
      <c r="D64" s="146">
        <v>1044767</v>
      </c>
      <c r="E64" s="146">
        <f t="shared" si="2"/>
        <v>92475</v>
      </c>
      <c r="F64" s="150">
        <f t="shared" si="3"/>
        <v>0.0971078198703759</v>
      </c>
    </row>
    <row r="65" spans="1:6" ht="15" customHeight="1">
      <c r="A65" s="141">
        <v>4</v>
      </c>
      <c r="B65" s="149" t="s">
        <v>319</v>
      </c>
      <c r="C65" s="146">
        <v>241769</v>
      </c>
      <c r="D65" s="146">
        <v>246904</v>
      </c>
      <c r="E65" s="146">
        <f t="shared" si="2"/>
        <v>5135</v>
      </c>
      <c r="F65" s="150">
        <f t="shared" si="3"/>
        <v>0.021239282124672725</v>
      </c>
    </row>
    <row r="66" spans="1:6" ht="15" customHeight="1">
      <c r="A66" s="141">
        <v>5</v>
      </c>
      <c r="B66" s="149" t="s">
        <v>320</v>
      </c>
      <c r="C66" s="146">
        <v>653095</v>
      </c>
      <c r="D66" s="146">
        <v>584303</v>
      </c>
      <c r="E66" s="146">
        <f t="shared" si="2"/>
        <v>-68792</v>
      </c>
      <c r="F66" s="150">
        <f t="shared" si="3"/>
        <v>-0.1053323023449881</v>
      </c>
    </row>
    <row r="67" spans="1:6" ht="15" customHeight="1">
      <c r="A67" s="141">
        <v>6</v>
      </c>
      <c r="B67" s="149" t="s">
        <v>321</v>
      </c>
      <c r="C67" s="146">
        <v>935855</v>
      </c>
      <c r="D67" s="146">
        <v>784641</v>
      </c>
      <c r="E67" s="146">
        <f t="shared" si="2"/>
        <v>-151214</v>
      </c>
      <c r="F67" s="150">
        <f t="shared" si="3"/>
        <v>-0.16157844965299112</v>
      </c>
    </row>
    <row r="68" spans="1:6" ht="15" customHeight="1">
      <c r="A68" s="141">
        <v>7</v>
      </c>
      <c r="B68" s="149" t="s">
        <v>322</v>
      </c>
      <c r="C68" s="146">
        <v>736074</v>
      </c>
      <c r="D68" s="146">
        <v>813156</v>
      </c>
      <c r="E68" s="146">
        <f t="shared" si="2"/>
        <v>77082</v>
      </c>
      <c r="F68" s="150">
        <f t="shared" si="3"/>
        <v>0.10472044930265163</v>
      </c>
    </row>
    <row r="69" spans="1:6" ht="15" customHeight="1">
      <c r="A69" s="141">
        <v>8</v>
      </c>
      <c r="B69" s="149" t="s">
        <v>323</v>
      </c>
      <c r="C69" s="146">
        <v>347728</v>
      </c>
      <c r="D69" s="146">
        <v>300276</v>
      </c>
      <c r="E69" s="146">
        <f t="shared" si="2"/>
        <v>-47452</v>
      </c>
      <c r="F69" s="150">
        <f t="shared" si="3"/>
        <v>-0.13646298256108222</v>
      </c>
    </row>
    <row r="70" spans="1:6" ht="15" customHeight="1">
      <c r="A70" s="141">
        <v>9</v>
      </c>
      <c r="B70" s="149" t="s">
        <v>324</v>
      </c>
      <c r="C70" s="146">
        <v>218066</v>
      </c>
      <c r="D70" s="146">
        <v>205515</v>
      </c>
      <c r="E70" s="146">
        <f t="shared" si="2"/>
        <v>-12551</v>
      </c>
      <c r="F70" s="150">
        <f t="shared" si="3"/>
        <v>-0.05755596929370007</v>
      </c>
    </row>
    <row r="71" spans="1:6" ht="15" customHeight="1">
      <c r="A71" s="141">
        <v>10</v>
      </c>
      <c r="B71" s="149" t="s">
        <v>325</v>
      </c>
      <c r="C71" s="146">
        <v>3150</v>
      </c>
      <c r="D71" s="146">
        <v>6834</v>
      </c>
      <c r="E71" s="146">
        <f t="shared" si="2"/>
        <v>3684</v>
      </c>
      <c r="F71" s="150">
        <f t="shared" si="3"/>
        <v>1.1695238095238096</v>
      </c>
    </row>
    <row r="72" spans="1:6" ht="15" customHeight="1">
      <c r="A72" s="141">
        <v>11</v>
      </c>
      <c r="B72" s="149" t="s">
        <v>326</v>
      </c>
      <c r="C72" s="146">
        <v>40565</v>
      </c>
      <c r="D72" s="146">
        <v>31054</v>
      </c>
      <c r="E72" s="146">
        <f t="shared" si="2"/>
        <v>-9511</v>
      </c>
      <c r="F72" s="150">
        <f t="shared" si="3"/>
        <v>-0.23446320719832367</v>
      </c>
    </row>
    <row r="73" spans="1:6" ht="15" customHeight="1">
      <c r="A73" s="141">
        <v>12</v>
      </c>
      <c r="B73" s="149" t="s">
        <v>327</v>
      </c>
      <c r="C73" s="146">
        <v>730779</v>
      </c>
      <c r="D73" s="146">
        <v>703193</v>
      </c>
      <c r="E73" s="146">
        <f t="shared" si="2"/>
        <v>-27586</v>
      </c>
      <c r="F73" s="150">
        <f t="shared" si="3"/>
        <v>-0.037748758516596675</v>
      </c>
    </row>
    <row r="74" spans="1:6" ht="15" customHeight="1">
      <c r="A74" s="141">
        <v>13</v>
      </c>
      <c r="B74" s="149" t="s">
        <v>328</v>
      </c>
      <c r="C74" s="146">
        <v>79434</v>
      </c>
      <c r="D74" s="146">
        <v>71376</v>
      </c>
      <c r="E74" s="146">
        <f t="shared" si="2"/>
        <v>-8058</v>
      </c>
      <c r="F74" s="150">
        <f t="shared" si="3"/>
        <v>-0.10144270715310824</v>
      </c>
    </row>
    <row r="75" spans="1:6" ht="15" customHeight="1">
      <c r="A75" s="141">
        <v>14</v>
      </c>
      <c r="B75" s="149" t="s">
        <v>329</v>
      </c>
      <c r="C75" s="146">
        <v>192037</v>
      </c>
      <c r="D75" s="146">
        <v>183302</v>
      </c>
      <c r="E75" s="146">
        <f t="shared" si="2"/>
        <v>-8735</v>
      </c>
      <c r="F75" s="150">
        <f t="shared" si="3"/>
        <v>-0.04548602613038112</v>
      </c>
    </row>
    <row r="76" spans="1:6" ht="15" customHeight="1">
      <c r="A76" s="141">
        <v>15</v>
      </c>
      <c r="B76" s="149" t="s">
        <v>330</v>
      </c>
      <c r="C76" s="146">
        <v>1038923</v>
      </c>
      <c r="D76" s="146">
        <v>777609</v>
      </c>
      <c r="E76" s="146">
        <f t="shared" si="2"/>
        <v>-261314</v>
      </c>
      <c r="F76" s="150">
        <f t="shared" si="3"/>
        <v>-0.25152393392003064</v>
      </c>
    </row>
    <row r="77" spans="1:6" ht="15" customHeight="1">
      <c r="A77" s="141">
        <v>16</v>
      </c>
      <c r="B77" s="149" t="s">
        <v>331</v>
      </c>
      <c r="C77" s="146">
        <v>12909436</v>
      </c>
      <c r="D77" s="146">
        <v>13624473</v>
      </c>
      <c r="E77" s="146">
        <f t="shared" si="2"/>
        <v>715037</v>
      </c>
      <c r="F77" s="150">
        <f t="shared" si="3"/>
        <v>0.05538870946802014</v>
      </c>
    </row>
    <row r="78" spans="1:7" ht="15.75" customHeight="1">
      <c r="A78" s="141"/>
      <c r="B78" s="151" t="s">
        <v>332</v>
      </c>
      <c r="C78" s="147">
        <f>SUM(C62:C77)</f>
        <v>19576353</v>
      </c>
      <c r="D78" s="147">
        <f>SUM(D62:D77)</f>
        <v>19894311</v>
      </c>
      <c r="E78" s="147">
        <f t="shared" si="2"/>
        <v>317958</v>
      </c>
      <c r="F78" s="148">
        <f t="shared" si="3"/>
        <v>0.016241942510946752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333</v>
      </c>
      <c r="B80" s="145" t="s">
        <v>334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335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336</v>
      </c>
      <c r="C83" s="147">
        <f>+C81+C78+C59+C50+C47+C44+C41+C35+C30+C24+C18</f>
        <v>125713012</v>
      </c>
      <c r="D83" s="147">
        <f>+D81+D78+D59+D50+D47+D44+D41+D35+D30+D24+D18</f>
        <v>129657399</v>
      </c>
      <c r="E83" s="147">
        <f>+D83-C83</f>
        <v>3944387</v>
      </c>
      <c r="F83" s="148">
        <f>IF(C83=0,0,E83/C83)</f>
        <v>0.031376123578997536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337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159</v>
      </c>
      <c r="B88" s="142" t="s">
        <v>338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225</v>
      </c>
      <c r="B90" s="145" t="s">
        <v>339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340</v>
      </c>
      <c r="C91" s="146">
        <v>4139592</v>
      </c>
      <c r="D91" s="146">
        <v>4769915</v>
      </c>
      <c r="E91" s="146">
        <f aca="true" t="shared" si="4" ref="E91:E109">D91-C91</f>
        <v>630323</v>
      </c>
      <c r="F91" s="150">
        <f aca="true" t="shared" si="5" ref="F91:F109">IF(C91=0,0,E91/C91)</f>
        <v>0.1522669383842659</v>
      </c>
      <c r="G91" s="155"/>
    </row>
    <row r="92" spans="1:7" ht="15" customHeight="1">
      <c r="A92" s="141">
        <v>2</v>
      </c>
      <c r="B92" s="161" t="s">
        <v>341</v>
      </c>
      <c r="C92" s="146">
        <v>1970911</v>
      </c>
      <c r="D92" s="146">
        <v>1561141</v>
      </c>
      <c r="E92" s="146">
        <f t="shared" si="4"/>
        <v>-409770</v>
      </c>
      <c r="F92" s="150">
        <f t="shared" si="5"/>
        <v>-0.20790893145352582</v>
      </c>
      <c r="G92" s="155"/>
    </row>
    <row r="93" spans="1:7" ht="15" customHeight="1">
      <c r="A93" s="141">
        <v>3</v>
      </c>
      <c r="B93" s="161" t="s">
        <v>342</v>
      </c>
      <c r="C93" s="146">
        <v>1808582</v>
      </c>
      <c r="D93" s="146">
        <v>2265434</v>
      </c>
      <c r="E93" s="146">
        <f t="shared" si="4"/>
        <v>456852</v>
      </c>
      <c r="F93" s="150">
        <f t="shared" si="5"/>
        <v>0.2526023149627719</v>
      </c>
      <c r="G93" s="155"/>
    </row>
    <row r="94" spans="1:7" ht="15" customHeight="1">
      <c r="A94" s="141">
        <v>4</v>
      </c>
      <c r="B94" s="161" t="s">
        <v>343</v>
      </c>
      <c r="C94" s="146">
        <v>669685</v>
      </c>
      <c r="D94" s="146">
        <v>688697</v>
      </c>
      <c r="E94" s="146">
        <f t="shared" si="4"/>
        <v>19012</v>
      </c>
      <c r="F94" s="150">
        <f t="shared" si="5"/>
        <v>0.028389466689563003</v>
      </c>
      <c r="G94" s="155"/>
    </row>
    <row r="95" spans="1:7" ht="15" customHeight="1">
      <c r="A95" s="141">
        <v>5</v>
      </c>
      <c r="B95" s="161" t="s">
        <v>344</v>
      </c>
      <c r="C95" s="146">
        <v>2705942</v>
      </c>
      <c r="D95" s="146">
        <v>2967179</v>
      </c>
      <c r="E95" s="146">
        <f t="shared" si="4"/>
        <v>261237</v>
      </c>
      <c r="F95" s="150">
        <f t="shared" si="5"/>
        <v>0.09654198057460212</v>
      </c>
      <c r="G95" s="155"/>
    </row>
    <row r="96" spans="1:7" ht="15" customHeight="1">
      <c r="A96" s="141">
        <v>6</v>
      </c>
      <c r="B96" s="161" t="s">
        <v>345</v>
      </c>
      <c r="C96" s="146">
        <v>548859</v>
      </c>
      <c r="D96" s="146">
        <v>315397</v>
      </c>
      <c r="E96" s="146">
        <f t="shared" si="4"/>
        <v>-233462</v>
      </c>
      <c r="F96" s="150">
        <f t="shared" si="5"/>
        <v>-0.4253587897802532</v>
      </c>
      <c r="G96" s="155"/>
    </row>
    <row r="97" spans="1:7" ht="15" customHeight="1">
      <c r="A97" s="141">
        <v>7</v>
      </c>
      <c r="B97" s="161" t="s">
        <v>346</v>
      </c>
      <c r="C97" s="146">
        <v>1339779</v>
      </c>
      <c r="D97" s="146">
        <v>1107940</v>
      </c>
      <c r="E97" s="146">
        <f t="shared" si="4"/>
        <v>-231839</v>
      </c>
      <c r="F97" s="150">
        <f t="shared" si="5"/>
        <v>-0.1730427182393514</v>
      </c>
      <c r="G97" s="155"/>
    </row>
    <row r="98" spans="1:7" ht="15" customHeight="1">
      <c r="A98" s="141">
        <v>8</v>
      </c>
      <c r="B98" s="161" t="s">
        <v>347</v>
      </c>
      <c r="C98" s="146">
        <v>851343</v>
      </c>
      <c r="D98" s="146">
        <v>919758</v>
      </c>
      <c r="E98" s="146">
        <f t="shared" si="4"/>
        <v>68415</v>
      </c>
      <c r="F98" s="150">
        <f t="shared" si="5"/>
        <v>0.08036126449621363</v>
      </c>
      <c r="G98" s="155"/>
    </row>
    <row r="99" spans="1:7" ht="15" customHeight="1">
      <c r="A99" s="141">
        <v>9</v>
      </c>
      <c r="B99" s="161" t="s">
        <v>348</v>
      </c>
      <c r="C99" s="146">
        <v>687616</v>
      </c>
      <c r="D99" s="146">
        <v>687419</v>
      </c>
      <c r="E99" s="146">
        <f t="shared" si="4"/>
        <v>-197</v>
      </c>
      <c r="F99" s="150">
        <f t="shared" si="5"/>
        <v>-0.00028649711466865226</v>
      </c>
      <c r="G99" s="155"/>
    </row>
    <row r="100" spans="1:7" ht="15" customHeight="1">
      <c r="A100" s="141">
        <v>10</v>
      </c>
      <c r="B100" s="161" t="s">
        <v>349</v>
      </c>
      <c r="C100" s="146">
        <v>1705295</v>
      </c>
      <c r="D100" s="146">
        <v>1676704</v>
      </c>
      <c r="E100" s="146">
        <f t="shared" si="4"/>
        <v>-28591</v>
      </c>
      <c r="F100" s="150">
        <f t="shared" si="5"/>
        <v>-0.01676601409140354</v>
      </c>
      <c r="G100" s="155"/>
    </row>
    <row r="101" spans="1:7" ht="15" customHeight="1">
      <c r="A101" s="141">
        <v>11</v>
      </c>
      <c r="B101" s="161" t="s">
        <v>350</v>
      </c>
      <c r="C101" s="146">
        <v>1768336</v>
      </c>
      <c r="D101" s="146">
        <v>1782878</v>
      </c>
      <c r="E101" s="146">
        <f t="shared" si="4"/>
        <v>14542</v>
      </c>
      <c r="F101" s="150">
        <f t="shared" si="5"/>
        <v>0.00822355027551325</v>
      </c>
      <c r="G101" s="155"/>
    </row>
    <row r="102" spans="1:7" ht="15" customHeight="1">
      <c r="A102" s="141">
        <v>12</v>
      </c>
      <c r="B102" s="161" t="s">
        <v>351</v>
      </c>
      <c r="C102" s="146">
        <v>475915</v>
      </c>
      <c r="D102" s="146">
        <v>507235</v>
      </c>
      <c r="E102" s="146">
        <f t="shared" si="4"/>
        <v>31320</v>
      </c>
      <c r="F102" s="150">
        <f t="shared" si="5"/>
        <v>0.06581007112614648</v>
      </c>
      <c r="G102" s="155"/>
    </row>
    <row r="103" spans="1:7" ht="15" customHeight="1">
      <c r="A103" s="141">
        <v>13</v>
      </c>
      <c r="B103" s="161" t="s">
        <v>352</v>
      </c>
      <c r="C103" s="146">
        <v>2341065</v>
      </c>
      <c r="D103" s="146">
        <v>2582257</v>
      </c>
      <c r="E103" s="146">
        <f t="shared" si="4"/>
        <v>241192</v>
      </c>
      <c r="F103" s="150">
        <f t="shared" si="5"/>
        <v>0.10302661395561422</v>
      </c>
      <c r="G103" s="155"/>
    </row>
    <row r="104" spans="1:7" ht="15" customHeight="1">
      <c r="A104" s="141">
        <v>14</v>
      </c>
      <c r="B104" s="161" t="s">
        <v>353</v>
      </c>
      <c r="C104" s="146">
        <v>360105</v>
      </c>
      <c r="D104" s="146">
        <v>423323</v>
      </c>
      <c r="E104" s="146">
        <f t="shared" si="4"/>
        <v>63218</v>
      </c>
      <c r="F104" s="150">
        <f t="shared" si="5"/>
        <v>0.17555435220282972</v>
      </c>
      <c r="G104" s="155"/>
    </row>
    <row r="105" spans="1:7" ht="15" customHeight="1">
      <c r="A105" s="141">
        <v>15</v>
      </c>
      <c r="B105" s="161" t="s">
        <v>322</v>
      </c>
      <c r="C105" s="146">
        <v>2561157</v>
      </c>
      <c r="D105" s="146">
        <v>2512915</v>
      </c>
      <c r="E105" s="146">
        <f t="shared" si="4"/>
        <v>-48242</v>
      </c>
      <c r="F105" s="150">
        <f t="shared" si="5"/>
        <v>-0.01883601825268814</v>
      </c>
      <c r="G105" s="155"/>
    </row>
    <row r="106" spans="1:7" ht="15" customHeight="1">
      <c r="A106" s="141">
        <v>16</v>
      </c>
      <c r="B106" s="161" t="s">
        <v>354</v>
      </c>
      <c r="C106" s="146">
        <v>496165</v>
      </c>
      <c r="D106" s="146">
        <v>438356</v>
      </c>
      <c r="E106" s="146">
        <f t="shared" si="4"/>
        <v>-57809</v>
      </c>
      <c r="F106" s="150">
        <f t="shared" si="5"/>
        <v>-0.11651164431187205</v>
      </c>
      <c r="G106" s="155"/>
    </row>
    <row r="107" spans="1:7" ht="15" customHeight="1">
      <c r="A107" s="141">
        <v>17</v>
      </c>
      <c r="B107" s="161" t="s">
        <v>355</v>
      </c>
      <c r="C107" s="146">
        <v>6285248</v>
      </c>
      <c r="D107" s="146">
        <v>7847289</v>
      </c>
      <c r="E107" s="146">
        <f t="shared" si="4"/>
        <v>1562041</v>
      </c>
      <c r="F107" s="150">
        <f t="shared" si="5"/>
        <v>0.24852495876057715</v>
      </c>
      <c r="G107" s="155"/>
    </row>
    <row r="108" spans="1:7" ht="15" customHeight="1">
      <c r="A108" s="141">
        <v>18</v>
      </c>
      <c r="B108" s="161" t="s">
        <v>356</v>
      </c>
      <c r="C108" s="146">
        <v>1325737</v>
      </c>
      <c r="D108" s="146">
        <v>1183474</v>
      </c>
      <c r="E108" s="146">
        <f t="shared" si="4"/>
        <v>-142263</v>
      </c>
      <c r="F108" s="150">
        <f t="shared" si="5"/>
        <v>-0.10730861400111787</v>
      </c>
      <c r="G108" s="155"/>
    </row>
    <row r="109" spans="1:7" ht="15.75" customHeight="1">
      <c r="A109" s="141"/>
      <c r="B109" s="154" t="s">
        <v>357</v>
      </c>
      <c r="C109" s="147">
        <f>SUM(C91:C108)</f>
        <v>32041332</v>
      </c>
      <c r="D109" s="147">
        <f>SUM(D91:D108)</f>
        <v>34237311</v>
      </c>
      <c r="E109" s="147">
        <f t="shared" si="4"/>
        <v>2195979</v>
      </c>
      <c r="F109" s="148">
        <f t="shared" si="5"/>
        <v>0.06853582116998132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239</v>
      </c>
      <c r="B111" s="145" t="s">
        <v>358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359</v>
      </c>
      <c r="C112" s="146">
        <v>844580</v>
      </c>
      <c r="D112" s="146">
        <v>1216034</v>
      </c>
      <c r="E112" s="146">
        <f aca="true" t="shared" si="6" ref="E112:E118">D112-C112</f>
        <v>371454</v>
      </c>
      <c r="F112" s="150">
        <f aca="true" t="shared" si="7" ref="F112:F118">IF(C112=0,0,E112/C112)</f>
        <v>0.4398091359018684</v>
      </c>
      <c r="G112" s="155"/>
    </row>
    <row r="113" spans="1:7" ht="15" customHeight="1">
      <c r="A113" s="141">
        <v>2</v>
      </c>
      <c r="B113" s="161" t="s">
        <v>360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361</v>
      </c>
      <c r="C114" s="146">
        <v>1185062</v>
      </c>
      <c r="D114" s="146">
        <v>1353852</v>
      </c>
      <c r="E114" s="146">
        <f t="shared" si="6"/>
        <v>168790</v>
      </c>
      <c r="F114" s="150">
        <f t="shared" si="7"/>
        <v>0.14243136646015145</v>
      </c>
      <c r="G114" s="155"/>
    </row>
    <row r="115" spans="1:7" ht="15" customHeight="1">
      <c r="A115" s="141">
        <v>4</v>
      </c>
      <c r="B115" s="161" t="s">
        <v>362</v>
      </c>
      <c r="C115" s="146">
        <v>1808237</v>
      </c>
      <c r="D115" s="146">
        <v>1795630</v>
      </c>
      <c r="E115" s="146">
        <f t="shared" si="6"/>
        <v>-12607</v>
      </c>
      <c r="F115" s="150">
        <f t="shared" si="7"/>
        <v>-0.006971984314003087</v>
      </c>
      <c r="G115" s="155"/>
    </row>
    <row r="116" spans="1:7" ht="15" customHeight="1">
      <c r="A116" s="141">
        <v>5</v>
      </c>
      <c r="B116" s="161" t="s">
        <v>363</v>
      </c>
      <c r="C116" s="146">
        <v>797654</v>
      </c>
      <c r="D116" s="146">
        <v>769820</v>
      </c>
      <c r="E116" s="146">
        <f t="shared" si="6"/>
        <v>-27834</v>
      </c>
      <c r="F116" s="150">
        <f t="shared" si="7"/>
        <v>-0.03489482908629556</v>
      </c>
      <c r="G116" s="155"/>
    </row>
    <row r="117" spans="1:7" ht="15" customHeight="1">
      <c r="A117" s="141">
        <v>6</v>
      </c>
      <c r="B117" s="161" t="s">
        <v>364</v>
      </c>
      <c r="C117" s="146">
        <v>2128499</v>
      </c>
      <c r="D117" s="146">
        <v>3002190</v>
      </c>
      <c r="E117" s="146">
        <f t="shared" si="6"/>
        <v>873691</v>
      </c>
      <c r="F117" s="150">
        <f t="shared" si="7"/>
        <v>0.4104728261558967</v>
      </c>
      <c r="G117" s="155"/>
    </row>
    <row r="118" spans="1:7" ht="15.75" customHeight="1">
      <c r="A118" s="141"/>
      <c r="B118" s="154" t="s">
        <v>365</v>
      </c>
      <c r="C118" s="147">
        <f>SUM(C112:C117)</f>
        <v>6764032</v>
      </c>
      <c r="D118" s="147">
        <f>SUM(D112:D117)</f>
        <v>8137526</v>
      </c>
      <c r="E118" s="147">
        <f t="shared" si="6"/>
        <v>1373494</v>
      </c>
      <c r="F118" s="148">
        <f t="shared" si="7"/>
        <v>0.20305847163348725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256</v>
      </c>
      <c r="B120" s="145" t="s">
        <v>366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367</v>
      </c>
      <c r="C121" s="146">
        <v>8513615</v>
      </c>
      <c r="D121" s="146">
        <v>8912839</v>
      </c>
      <c r="E121" s="146">
        <f aca="true" t="shared" si="8" ref="E121:E155">D121-C121</f>
        <v>399224</v>
      </c>
      <c r="F121" s="150">
        <f aca="true" t="shared" si="9" ref="F121:F155">IF(C121=0,0,E121/C121)</f>
        <v>0.046892418790372835</v>
      </c>
      <c r="G121" s="155"/>
    </row>
    <row r="122" spans="1:7" ht="15" customHeight="1">
      <c r="A122" s="141">
        <v>2</v>
      </c>
      <c r="B122" s="161" t="s">
        <v>368</v>
      </c>
      <c r="C122" s="146">
        <v>811102</v>
      </c>
      <c r="D122" s="146">
        <v>814922</v>
      </c>
      <c r="E122" s="146">
        <f t="shared" si="8"/>
        <v>3820</v>
      </c>
      <c r="F122" s="150">
        <f t="shared" si="9"/>
        <v>0.004709641943923206</v>
      </c>
      <c r="G122" s="155"/>
    </row>
    <row r="123" spans="1:7" ht="15" customHeight="1">
      <c r="A123" s="141">
        <v>3</v>
      </c>
      <c r="B123" s="161" t="s">
        <v>369</v>
      </c>
      <c r="C123" s="146">
        <v>166135</v>
      </c>
      <c r="D123" s="146">
        <v>157148</v>
      </c>
      <c r="E123" s="146">
        <f t="shared" si="8"/>
        <v>-8987</v>
      </c>
      <c r="F123" s="150">
        <f t="shared" si="9"/>
        <v>-0.05409456165166882</v>
      </c>
      <c r="G123" s="155"/>
    </row>
    <row r="124" spans="1:7" ht="15" customHeight="1">
      <c r="A124" s="141">
        <v>4</v>
      </c>
      <c r="B124" s="161" t="s">
        <v>370</v>
      </c>
      <c r="C124" s="146">
        <v>391762</v>
      </c>
      <c r="D124" s="146">
        <v>407077</v>
      </c>
      <c r="E124" s="146">
        <f t="shared" si="8"/>
        <v>15315</v>
      </c>
      <c r="F124" s="150">
        <f t="shared" si="9"/>
        <v>0.0390926123513766</v>
      </c>
      <c r="G124" s="155"/>
    </row>
    <row r="125" spans="1:7" ht="15" customHeight="1">
      <c r="A125" s="141">
        <v>5</v>
      </c>
      <c r="B125" s="161" t="s">
        <v>371</v>
      </c>
      <c r="C125" s="146">
        <v>2553953</v>
      </c>
      <c r="D125" s="146">
        <v>2730257</v>
      </c>
      <c r="E125" s="146">
        <f t="shared" si="8"/>
        <v>176304</v>
      </c>
      <c r="F125" s="150">
        <f t="shared" si="9"/>
        <v>0.06903181068719745</v>
      </c>
      <c r="G125" s="155"/>
    </row>
    <row r="126" spans="1:7" ht="15" customHeight="1">
      <c r="A126" s="141">
        <v>6</v>
      </c>
      <c r="B126" s="161" t="s">
        <v>372</v>
      </c>
      <c r="C126" s="146">
        <v>379966</v>
      </c>
      <c r="D126" s="146">
        <v>397088</v>
      </c>
      <c r="E126" s="146">
        <f t="shared" si="8"/>
        <v>17122</v>
      </c>
      <c r="F126" s="150">
        <f t="shared" si="9"/>
        <v>0.04506192659343204</v>
      </c>
      <c r="G126" s="155"/>
    </row>
    <row r="127" spans="1:7" ht="15" customHeight="1">
      <c r="A127" s="141">
        <v>7</v>
      </c>
      <c r="B127" s="161" t="s">
        <v>373</v>
      </c>
      <c r="C127" s="146">
        <v>29220</v>
      </c>
      <c r="D127" s="146">
        <v>36148</v>
      </c>
      <c r="E127" s="146">
        <f t="shared" si="8"/>
        <v>6928</v>
      </c>
      <c r="F127" s="150">
        <f t="shared" si="9"/>
        <v>0.23709787816563999</v>
      </c>
      <c r="G127" s="155"/>
    </row>
    <row r="128" spans="1:7" ht="15" customHeight="1">
      <c r="A128" s="141">
        <v>8</v>
      </c>
      <c r="B128" s="161" t="s">
        <v>374</v>
      </c>
      <c r="C128" s="146">
        <v>624430</v>
      </c>
      <c r="D128" s="146">
        <v>498772</v>
      </c>
      <c r="E128" s="146">
        <f t="shared" si="8"/>
        <v>-125658</v>
      </c>
      <c r="F128" s="150">
        <f t="shared" si="9"/>
        <v>-0.201236327530708</v>
      </c>
      <c r="G128" s="155"/>
    </row>
    <row r="129" spans="1:7" ht="15" customHeight="1">
      <c r="A129" s="141">
        <v>9</v>
      </c>
      <c r="B129" s="161" t="s">
        <v>375</v>
      </c>
      <c r="C129" s="146">
        <v>792223</v>
      </c>
      <c r="D129" s="146">
        <v>861637</v>
      </c>
      <c r="E129" s="146">
        <f t="shared" si="8"/>
        <v>69414</v>
      </c>
      <c r="F129" s="150">
        <f t="shared" si="9"/>
        <v>0.08761926881698713</v>
      </c>
      <c r="G129" s="155"/>
    </row>
    <row r="130" spans="1:7" ht="15" customHeight="1">
      <c r="A130" s="141">
        <v>10</v>
      </c>
      <c r="B130" s="161" t="s">
        <v>376</v>
      </c>
      <c r="C130" s="146">
        <v>4294332</v>
      </c>
      <c r="D130" s="146">
        <v>4817798</v>
      </c>
      <c r="E130" s="146">
        <f t="shared" si="8"/>
        <v>523466</v>
      </c>
      <c r="F130" s="150">
        <f t="shared" si="9"/>
        <v>0.12189695626700497</v>
      </c>
      <c r="G130" s="155"/>
    </row>
    <row r="131" spans="1:7" ht="15" customHeight="1">
      <c r="A131" s="141">
        <v>11</v>
      </c>
      <c r="B131" s="161" t="s">
        <v>377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378</v>
      </c>
      <c r="C132" s="146">
        <v>702929</v>
      </c>
      <c r="D132" s="146">
        <v>727243</v>
      </c>
      <c r="E132" s="146">
        <f t="shared" si="8"/>
        <v>24314</v>
      </c>
      <c r="F132" s="150">
        <f t="shared" si="9"/>
        <v>0.03458955314121341</v>
      </c>
      <c r="G132" s="155"/>
    </row>
    <row r="133" spans="1:7" ht="15" customHeight="1">
      <c r="A133" s="141">
        <v>13</v>
      </c>
      <c r="B133" s="161" t="s">
        <v>379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>
      <c r="A134" s="141">
        <v>14</v>
      </c>
      <c r="B134" s="161" t="s">
        <v>380</v>
      </c>
      <c r="C134" s="146">
        <v>22312</v>
      </c>
      <c r="D134" s="146">
        <v>20195</v>
      </c>
      <c r="E134" s="146">
        <f t="shared" si="8"/>
        <v>-2117</v>
      </c>
      <c r="F134" s="150">
        <f t="shared" si="9"/>
        <v>-0.09488167802079599</v>
      </c>
      <c r="G134" s="155"/>
    </row>
    <row r="135" spans="1:7" ht="15" customHeight="1">
      <c r="A135" s="141">
        <v>15</v>
      </c>
      <c r="B135" s="161" t="s">
        <v>381</v>
      </c>
      <c r="C135" s="146">
        <v>170584</v>
      </c>
      <c r="D135" s="146">
        <v>166130</v>
      </c>
      <c r="E135" s="146">
        <f t="shared" si="8"/>
        <v>-4454</v>
      </c>
      <c r="F135" s="150">
        <f t="shared" si="9"/>
        <v>-0.026110303428223045</v>
      </c>
      <c r="G135" s="155"/>
    </row>
    <row r="136" spans="1:7" ht="15" customHeight="1">
      <c r="A136" s="141">
        <v>16</v>
      </c>
      <c r="B136" s="161" t="s">
        <v>382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383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384</v>
      </c>
      <c r="C138" s="146">
        <v>6300</v>
      </c>
      <c r="D138" s="146">
        <v>888587</v>
      </c>
      <c r="E138" s="146">
        <f t="shared" si="8"/>
        <v>882287</v>
      </c>
      <c r="F138" s="150">
        <f t="shared" si="9"/>
        <v>140.04555555555555</v>
      </c>
      <c r="G138" s="155"/>
    </row>
    <row r="139" spans="1:7" ht="15" customHeight="1">
      <c r="A139" s="141">
        <v>19</v>
      </c>
      <c r="B139" s="161" t="s">
        <v>385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386</v>
      </c>
      <c r="C140" s="146">
        <v>272436</v>
      </c>
      <c r="D140" s="146">
        <v>221307</v>
      </c>
      <c r="E140" s="146">
        <f t="shared" si="8"/>
        <v>-51129</v>
      </c>
      <c r="F140" s="150">
        <f t="shared" si="9"/>
        <v>-0.18767343522882438</v>
      </c>
      <c r="G140" s="155"/>
    </row>
    <row r="141" spans="1:7" ht="15" customHeight="1">
      <c r="A141" s="141">
        <v>21</v>
      </c>
      <c r="B141" s="161" t="s">
        <v>387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388</v>
      </c>
      <c r="C142" s="146">
        <v>253292</v>
      </c>
      <c r="D142" s="146">
        <v>259797</v>
      </c>
      <c r="E142" s="146">
        <f t="shared" si="8"/>
        <v>6505</v>
      </c>
      <c r="F142" s="150">
        <f t="shared" si="9"/>
        <v>0.02568182177092052</v>
      </c>
      <c r="G142" s="155"/>
    </row>
    <row r="143" spans="1:7" ht="15" customHeight="1">
      <c r="A143" s="141">
        <v>23</v>
      </c>
      <c r="B143" s="161" t="s">
        <v>389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>
      <c r="A144" s="141">
        <v>24</v>
      </c>
      <c r="B144" s="161" t="s">
        <v>390</v>
      </c>
      <c r="C144" s="146">
        <v>4097267</v>
      </c>
      <c r="D144" s="146">
        <v>3672244</v>
      </c>
      <c r="E144" s="146">
        <f t="shared" si="8"/>
        <v>-425023</v>
      </c>
      <c r="F144" s="150">
        <f t="shared" si="9"/>
        <v>-0.10373329343682021</v>
      </c>
      <c r="G144" s="155"/>
    </row>
    <row r="145" spans="1:7" ht="15" customHeight="1">
      <c r="A145" s="141">
        <v>25</v>
      </c>
      <c r="B145" s="161" t="s">
        <v>391</v>
      </c>
      <c r="C145" s="146">
        <v>1116442</v>
      </c>
      <c r="D145" s="146">
        <v>1137315</v>
      </c>
      <c r="E145" s="146">
        <f t="shared" si="8"/>
        <v>20873</v>
      </c>
      <c r="F145" s="150">
        <f t="shared" si="9"/>
        <v>0.018696000329618555</v>
      </c>
      <c r="G145" s="155"/>
    </row>
    <row r="146" spans="1:7" ht="15" customHeight="1">
      <c r="A146" s="141">
        <v>26</v>
      </c>
      <c r="B146" s="161" t="s">
        <v>392</v>
      </c>
      <c r="C146" s="146">
        <v>729990</v>
      </c>
      <c r="D146" s="146">
        <v>483112</v>
      </c>
      <c r="E146" s="146">
        <f t="shared" si="8"/>
        <v>-246878</v>
      </c>
      <c r="F146" s="150">
        <f t="shared" si="9"/>
        <v>-0.3381936738859436</v>
      </c>
      <c r="G146" s="155"/>
    </row>
    <row r="147" spans="1:7" ht="15" customHeight="1">
      <c r="A147" s="141">
        <v>27</v>
      </c>
      <c r="B147" s="161" t="s">
        <v>393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394</v>
      </c>
      <c r="C148" s="146">
        <v>1133702</v>
      </c>
      <c r="D148" s="146">
        <v>1179805</v>
      </c>
      <c r="E148" s="146">
        <f t="shared" si="8"/>
        <v>46103</v>
      </c>
      <c r="F148" s="150">
        <f t="shared" si="9"/>
        <v>0.0406658892724896</v>
      </c>
      <c r="G148" s="155"/>
    </row>
    <row r="149" spans="1:7" ht="15" customHeight="1">
      <c r="A149" s="141">
        <v>29</v>
      </c>
      <c r="B149" s="161" t="s">
        <v>395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396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397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>
      <c r="A152" s="141">
        <v>32</v>
      </c>
      <c r="B152" s="161" t="s">
        <v>398</v>
      </c>
      <c r="C152" s="146">
        <v>1567769</v>
      </c>
      <c r="D152" s="146">
        <v>1484964</v>
      </c>
      <c r="E152" s="146">
        <f t="shared" si="8"/>
        <v>-82805</v>
      </c>
      <c r="F152" s="150">
        <f t="shared" si="9"/>
        <v>-0.05281709231398248</v>
      </c>
      <c r="G152" s="155"/>
    </row>
    <row r="153" spans="1:7" ht="15" customHeight="1">
      <c r="A153" s="141">
        <v>33</v>
      </c>
      <c r="B153" s="161" t="s">
        <v>399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400</v>
      </c>
      <c r="C154" s="146">
        <v>3121038</v>
      </c>
      <c r="D154" s="146">
        <v>3338938</v>
      </c>
      <c r="E154" s="146">
        <f t="shared" si="8"/>
        <v>217900</v>
      </c>
      <c r="F154" s="150">
        <f t="shared" si="9"/>
        <v>0.06981651617186334</v>
      </c>
      <c r="G154" s="155"/>
    </row>
    <row r="155" spans="1:7" ht="15.75" customHeight="1">
      <c r="A155" s="141"/>
      <c r="B155" s="154" t="s">
        <v>401</v>
      </c>
      <c r="C155" s="147">
        <f>SUM(C121:C154)</f>
        <v>31750799</v>
      </c>
      <c r="D155" s="147">
        <f>SUM(D121:D154)</f>
        <v>33213323</v>
      </c>
      <c r="E155" s="147">
        <f t="shared" si="8"/>
        <v>1462524</v>
      </c>
      <c r="F155" s="148">
        <f t="shared" si="9"/>
        <v>0.04606258885012626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286</v>
      </c>
      <c r="B157" s="145" t="s">
        <v>402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403</v>
      </c>
      <c r="C158" s="146">
        <v>8200099</v>
      </c>
      <c r="D158" s="146">
        <v>8205620</v>
      </c>
      <c r="E158" s="146">
        <f aca="true" t="shared" si="10" ref="E158:E171">D158-C158</f>
        <v>5521</v>
      </c>
      <c r="F158" s="150">
        <f aca="true" t="shared" si="11" ref="F158:F171">IF(C158=0,0,E158/C158)</f>
        <v>0.0006732845542474548</v>
      </c>
      <c r="G158" s="155"/>
    </row>
    <row r="159" spans="1:7" ht="15" customHeight="1">
      <c r="A159" s="141">
        <v>2</v>
      </c>
      <c r="B159" s="161" t="s">
        <v>404</v>
      </c>
      <c r="C159" s="146">
        <v>3164093</v>
      </c>
      <c r="D159" s="146">
        <v>3170209</v>
      </c>
      <c r="E159" s="146">
        <f t="shared" si="10"/>
        <v>6116</v>
      </c>
      <c r="F159" s="150">
        <f t="shared" si="11"/>
        <v>0.001932939392110156</v>
      </c>
      <c r="G159" s="155"/>
    </row>
    <row r="160" spans="1:7" ht="15" customHeight="1">
      <c r="A160" s="141">
        <v>3</v>
      </c>
      <c r="B160" s="161" t="s">
        <v>405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406</v>
      </c>
      <c r="C161" s="146">
        <v>2005786</v>
      </c>
      <c r="D161" s="146">
        <v>2062084</v>
      </c>
      <c r="E161" s="146">
        <f t="shared" si="10"/>
        <v>56298</v>
      </c>
      <c r="F161" s="150">
        <f t="shared" si="11"/>
        <v>0.028067799855019428</v>
      </c>
      <c r="G161" s="155"/>
    </row>
    <row r="162" spans="1:7" ht="15" customHeight="1">
      <c r="A162" s="141">
        <v>5</v>
      </c>
      <c r="B162" s="161" t="s">
        <v>407</v>
      </c>
      <c r="C162" s="146">
        <v>266789</v>
      </c>
      <c r="D162" s="146">
        <v>237930</v>
      </c>
      <c r="E162" s="146">
        <f t="shared" si="10"/>
        <v>-28859</v>
      </c>
      <c r="F162" s="150">
        <f t="shared" si="11"/>
        <v>-0.10817162626645027</v>
      </c>
      <c r="G162" s="155"/>
    </row>
    <row r="163" spans="1:7" ht="15" customHeight="1">
      <c r="A163" s="141">
        <v>6</v>
      </c>
      <c r="B163" s="161" t="s">
        <v>408</v>
      </c>
      <c r="C163" s="146">
        <v>1923881</v>
      </c>
      <c r="D163" s="146">
        <v>1775021</v>
      </c>
      <c r="E163" s="146">
        <f t="shared" si="10"/>
        <v>-148860</v>
      </c>
      <c r="F163" s="150">
        <f t="shared" si="11"/>
        <v>-0.0773748480285423</v>
      </c>
      <c r="G163" s="155"/>
    </row>
    <row r="164" spans="1:7" ht="15" customHeight="1">
      <c r="A164" s="141">
        <v>7</v>
      </c>
      <c r="B164" s="161" t="s">
        <v>409</v>
      </c>
      <c r="C164" s="146">
        <v>324780</v>
      </c>
      <c r="D164" s="146">
        <v>373362</v>
      </c>
      <c r="E164" s="146">
        <f t="shared" si="10"/>
        <v>48582</v>
      </c>
      <c r="F164" s="150">
        <f t="shared" si="11"/>
        <v>0.14958433401071494</v>
      </c>
      <c r="G164" s="155"/>
    </row>
    <row r="165" spans="1:7" ht="15" customHeight="1">
      <c r="A165" s="141">
        <v>8</v>
      </c>
      <c r="B165" s="161" t="s">
        <v>410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411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412</v>
      </c>
      <c r="C167" s="146">
        <v>869947</v>
      </c>
      <c r="D167" s="146">
        <v>903309</v>
      </c>
      <c r="E167" s="146">
        <f t="shared" si="10"/>
        <v>33362</v>
      </c>
      <c r="F167" s="150">
        <f t="shared" si="11"/>
        <v>0.038349462668415435</v>
      </c>
      <c r="G167" s="155"/>
    </row>
    <row r="168" spans="1:7" ht="15" customHeight="1">
      <c r="A168" s="141">
        <v>11</v>
      </c>
      <c r="B168" s="161" t="s">
        <v>413</v>
      </c>
      <c r="C168" s="146">
        <v>2363752</v>
      </c>
      <c r="D168" s="146">
        <v>2491206</v>
      </c>
      <c r="E168" s="146">
        <f t="shared" si="10"/>
        <v>127454</v>
      </c>
      <c r="F168" s="150">
        <f t="shared" si="11"/>
        <v>0.05392020821135212</v>
      </c>
      <c r="G168" s="155"/>
    </row>
    <row r="169" spans="1:7" ht="15" customHeight="1">
      <c r="A169" s="141">
        <v>12</v>
      </c>
      <c r="B169" s="161" t="s">
        <v>414</v>
      </c>
      <c r="C169" s="146">
        <v>4196574</v>
      </c>
      <c r="D169" s="146">
        <v>3800294</v>
      </c>
      <c r="E169" s="146">
        <f t="shared" si="10"/>
        <v>-396280</v>
      </c>
      <c r="F169" s="150">
        <f t="shared" si="11"/>
        <v>-0.09442940836977973</v>
      </c>
      <c r="G169" s="155"/>
    </row>
    <row r="170" spans="1:7" ht="15" customHeight="1">
      <c r="A170" s="141">
        <v>13</v>
      </c>
      <c r="B170" s="161" t="s">
        <v>415</v>
      </c>
      <c r="C170" s="146">
        <v>704199</v>
      </c>
      <c r="D170" s="146">
        <v>690666</v>
      </c>
      <c r="E170" s="146">
        <f t="shared" si="10"/>
        <v>-13533</v>
      </c>
      <c r="F170" s="150">
        <f t="shared" si="11"/>
        <v>-0.019217579121810737</v>
      </c>
      <c r="G170" s="155"/>
    </row>
    <row r="171" spans="1:7" ht="15.75" customHeight="1">
      <c r="A171" s="141"/>
      <c r="B171" s="154" t="s">
        <v>416</v>
      </c>
      <c r="C171" s="147">
        <f>SUM(C158:C170)</f>
        <v>24019900</v>
      </c>
      <c r="D171" s="147">
        <f>SUM(D158:D170)</f>
        <v>23709701</v>
      </c>
      <c r="E171" s="147">
        <f t="shared" si="10"/>
        <v>-310199</v>
      </c>
      <c r="F171" s="148">
        <f t="shared" si="11"/>
        <v>-0.012914250267486542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291</v>
      </c>
      <c r="B173" s="145" t="s">
        <v>417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418</v>
      </c>
      <c r="C174" s="146">
        <v>31136949</v>
      </c>
      <c r="D174" s="146">
        <v>30359538</v>
      </c>
      <c r="E174" s="146">
        <f>D174-C174</f>
        <v>-777411</v>
      </c>
      <c r="F174" s="150">
        <f>IF(C174=0,0,E174/C174)</f>
        <v>-0.02496747513701487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419</v>
      </c>
      <c r="C176" s="147">
        <f>+C174+C171+C155+C118+C109</f>
        <v>125713012</v>
      </c>
      <c r="D176" s="147">
        <f>+D174+D171+D155+D118+D109</f>
        <v>129657399</v>
      </c>
      <c r="E176" s="147">
        <f>D176-C176</f>
        <v>3944387</v>
      </c>
      <c r="F176" s="148">
        <f>IF(C176=0,0,E176/C176)</f>
        <v>0.031376123578997536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420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FILING&amp;RBRISTOL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115</v>
      </c>
      <c r="C1" s="3"/>
      <c r="D1" s="3"/>
      <c r="E1" s="4"/>
      <c r="F1" s="5"/>
    </row>
    <row r="2" spans="1:6" ht="24" customHeight="1">
      <c r="A2" s="35"/>
      <c r="B2" s="3" t="s">
        <v>116</v>
      </c>
      <c r="C2" s="3"/>
      <c r="D2" s="3"/>
      <c r="E2" s="4"/>
      <c r="F2" s="5"/>
    </row>
    <row r="3" spans="1:6" ht="24" customHeight="1">
      <c r="A3" s="35"/>
      <c r="B3" s="3" t="s">
        <v>117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125</v>
      </c>
      <c r="D7" s="11" t="s">
        <v>125</v>
      </c>
      <c r="E7" s="11" t="s">
        <v>125</v>
      </c>
      <c r="F7" s="11"/>
    </row>
    <row r="8" spans="1:6" ht="24" customHeight="1">
      <c r="A8" s="13" t="s">
        <v>123</v>
      </c>
      <c r="B8" s="16" t="s">
        <v>124</v>
      </c>
      <c r="C8" s="13" t="s">
        <v>422</v>
      </c>
      <c r="D8" s="13" t="s">
        <v>119</v>
      </c>
      <c r="E8" s="13" t="s">
        <v>120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129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190</v>
      </c>
      <c r="C11" s="51">
        <v>114164519</v>
      </c>
      <c r="D11" s="164">
        <v>119290195</v>
      </c>
      <c r="E11" s="51">
        <v>124989832</v>
      </c>
      <c r="F11" s="13"/>
    </row>
    <row r="12" spans="1:6" ht="24" customHeight="1">
      <c r="A12" s="44">
        <v>2</v>
      </c>
      <c r="B12" s="165" t="s">
        <v>424</v>
      </c>
      <c r="C12" s="49">
        <v>4581688</v>
      </c>
      <c r="D12" s="49">
        <v>6592514</v>
      </c>
      <c r="E12" s="49">
        <v>4717358</v>
      </c>
      <c r="F12" s="13"/>
    </row>
    <row r="13" spans="1:6" ht="24" customHeight="1">
      <c r="A13" s="44">
        <v>3</v>
      </c>
      <c r="B13" s="48" t="s">
        <v>193</v>
      </c>
      <c r="C13" s="51">
        <f>+C11+C12</f>
        <v>118746207</v>
      </c>
      <c r="D13" s="51">
        <f>+D11+D12</f>
        <v>125882709</v>
      </c>
      <c r="E13" s="51">
        <f>+E11+E12</f>
        <v>129707190</v>
      </c>
      <c r="F13" s="13"/>
    </row>
    <row r="14" spans="1:6" ht="24" customHeight="1">
      <c r="A14" s="44">
        <v>4</v>
      </c>
      <c r="B14" s="166" t="s">
        <v>204</v>
      </c>
      <c r="C14" s="49">
        <v>122064635</v>
      </c>
      <c r="D14" s="49">
        <v>125713012</v>
      </c>
      <c r="E14" s="49">
        <v>129657399</v>
      </c>
      <c r="F14" s="13"/>
    </row>
    <row r="15" spans="1:6" ht="24" customHeight="1">
      <c r="A15" s="44">
        <v>5</v>
      </c>
      <c r="B15" s="48" t="s">
        <v>205</v>
      </c>
      <c r="C15" s="51">
        <f>+C13-C14</f>
        <v>-3318428</v>
      </c>
      <c r="D15" s="51">
        <f>+D13-D14</f>
        <v>169697</v>
      </c>
      <c r="E15" s="51">
        <f>+E13-E14</f>
        <v>49791</v>
      </c>
      <c r="F15" s="13"/>
    </row>
    <row r="16" spans="1:6" ht="24" customHeight="1">
      <c r="A16" s="44">
        <v>6</v>
      </c>
      <c r="B16" s="166" t="s">
        <v>210</v>
      </c>
      <c r="C16" s="49">
        <v>10737106</v>
      </c>
      <c r="D16" s="49">
        <v>-1155433</v>
      </c>
      <c r="E16" s="49">
        <v>323607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7418678</v>
      </c>
      <c r="D17" s="51">
        <f>D15+D16</f>
        <v>-985736</v>
      </c>
      <c r="E17" s="51">
        <f>E15+E16</f>
        <v>373398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141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-0.025628229021294812</v>
      </c>
      <c r="D20" s="169">
        <f>IF(+D27=0,0,+D24/+D27)</f>
        <v>0.001360544424941983</v>
      </c>
      <c r="E20" s="169">
        <f>IF(+E27=0,0,+E24/+E27)</f>
        <v>0.000382916979275302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0.08292270062629614</v>
      </c>
      <c r="D21" s="169">
        <f>IF(D27=0,0,+D26/D27)</f>
        <v>-0.009263675412906475</v>
      </c>
      <c r="E21" s="169">
        <f>IF(E27=0,0,+E26/E27)</f>
        <v>0.0024886950435288034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0.05729447160500133</v>
      </c>
      <c r="D22" s="169">
        <f>IF(D27=0,0,+D28/D27)</f>
        <v>-0.007903130987964493</v>
      </c>
      <c r="E22" s="169">
        <f>IF(E27=0,0,+E28/E27)</f>
        <v>0.0028716120228041053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205</v>
      </c>
      <c r="C24" s="51">
        <f>+C15</f>
        <v>-3318428</v>
      </c>
      <c r="D24" s="51">
        <f>+D15</f>
        <v>169697</v>
      </c>
      <c r="E24" s="51">
        <f>+E15</f>
        <v>49791</v>
      </c>
      <c r="F24" s="13"/>
    </row>
    <row r="25" spans="1:6" ht="24" customHeight="1">
      <c r="A25" s="21">
        <v>5</v>
      </c>
      <c r="B25" s="48" t="s">
        <v>193</v>
      </c>
      <c r="C25" s="51">
        <f>+C13</f>
        <v>118746207</v>
      </c>
      <c r="D25" s="51">
        <f>+D13</f>
        <v>125882709</v>
      </c>
      <c r="E25" s="51">
        <f>+E13</f>
        <v>129707190</v>
      </c>
      <c r="F25" s="13"/>
    </row>
    <row r="26" spans="1:6" ht="24" customHeight="1">
      <c r="A26" s="21">
        <v>6</v>
      </c>
      <c r="B26" s="48" t="s">
        <v>210</v>
      </c>
      <c r="C26" s="51">
        <f>+C16</f>
        <v>10737106</v>
      </c>
      <c r="D26" s="51">
        <f>+D16</f>
        <v>-1155433</v>
      </c>
      <c r="E26" s="51">
        <f>+E16</f>
        <v>323607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129483313</v>
      </c>
      <c r="D27" s="51">
        <f>+D25+D26</f>
        <v>124727276</v>
      </c>
      <c r="E27" s="51">
        <f>+E25+E26</f>
        <v>130030797</v>
      </c>
      <c r="F27" s="13"/>
    </row>
    <row r="28" spans="1:6" ht="24" customHeight="1">
      <c r="A28" s="21">
        <v>8</v>
      </c>
      <c r="B28" s="45" t="s">
        <v>425</v>
      </c>
      <c r="C28" s="51">
        <f>+C17</f>
        <v>7418678</v>
      </c>
      <c r="D28" s="51">
        <f>+D17</f>
        <v>-985736</v>
      </c>
      <c r="E28" s="51">
        <f>+E17</f>
        <v>373398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151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31129463</v>
      </c>
      <c r="D31" s="51">
        <v>18132104</v>
      </c>
      <c r="E31" s="51">
        <v>-255398</v>
      </c>
      <c r="F31" s="13"/>
    </row>
    <row r="32" spans="1:6" ht="24" customHeight="1">
      <c r="A32" s="25">
        <v>2</v>
      </c>
      <c r="B32" s="48" t="s">
        <v>433</v>
      </c>
      <c r="C32" s="51">
        <v>41084073</v>
      </c>
      <c r="D32" s="51">
        <v>26424439</v>
      </c>
      <c r="E32" s="51">
        <v>7239260</v>
      </c>
      <c r="F32" s="13"/>
    </row>
    <row r="33" spans="1:6" ht="24" customHeight="1">
      <c r="A33" s="25">
        <v>3</v>
      </c>
      <c r="B33" s="48" t="s">
        <v>434</v>
      </c>
      <c r="C33" s="51">
        <v>41084073</v>
      </c>
      <c r="D33" s="51">
        <f>+D32-C32</f>
        <v>-14659634</v>
      </c>
      <c r="E33" s="51">
        <f>+E32-D32</f>
        <v>-19185179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-0.3568203668609001</v>
      </c>
      <c r="E34" s="171">
        <f>IF(D32=0,0,+E33/D32)</f>
        <v>-0.7260392169536692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0.3336905093243094</v>
      </c>
      <c r="D38" s="172">
        <f>IF((D40+D41)=0,0,+D39/(D40+D41))</f>
        <v>0.3274963223958259</v>
      </c>
      <c r="E38" s="172">
        <f>IF((E40+E41)=0,0,+E39/(E40+E41))</f>
        <v>0.3570008882082736</v>
      </c>
      <c r="F38" s="5"/>
    </row>
    <row r="39" spans="1:6" ht="24" customHeight="1">
      <c r="A39" s="21">
        <v>2</v>
      </c>
      <c r="B39" s="48" t="s">
        <v>439</v>
      </c>
      <c r="C39" s="51">
        <v>111542211</v>
      </c>
      <c r="D39" s="51">
        <v>114761390</v>
      </c>
      <c r="E39" s="23">
        <v>129657399</v>
      </c>
      <c r="F39" s="5"/>
    </row>
    <row r="40" spans="1:6" ht="24" customHeight="1">
      <c r="A40" s="21">
        <v>3</v>
      </c>
      <c r="B40" s="48" t="s">
        <v>440</v>
      </c>
      <c r="C40" s="51">
        <v>329686767</v>
      </c>
      <c r="D40" s="51">
        <v>344471295</v>
      </c>
      <c r="E40" s="23">
        <v>359092081</v>
      </c>
      <c r="F40" s="5"/>
    </row>
    <row r="41" spans="1:6" ht="24" customHeight="1">
      <c r="A41" s="21">
        <v>4</v>
      </c>
      <c r="B41" s="48" t="s">
        <v>441</v>
      </c>
      <c r="C41" s="51">
        <v>4581688</v>
      </c>
      <c r="D41" s="51">
        <v>5949098</v>
      </c>
      <c r="E41" s="23">
        <v>4093007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1.1010920804327566</v>
      </c>
      <c r="D43" s="173">
        <f>IF(D38=0,0,IF((D46-D47)=0,0,((+D44-D45)/(D46-D47)/D38)))</f>
        <v>1.1801888955239224</v>
      </c>
      <c r="E43" s="173">
        <f>IF(E38=0,0,IF((E46-E47)=0,0,((+E44-E45)/(E46-E47)/E38)))</f>
        <v>1.1786388392205744</v>
      </c>
      <c r="F43" s="5"/>
    </row>
    <row r="44" spans="1:6" ht="24" customHeight="1">
      <c r="A44" s="21">
        <v>6</v>
      </c>
      <c r="B44" s="48" t="s">
        <v>443</v>
      </c>
      <c r="C44" s="51">
        <v>51001178</v>
      </c>
      <c r="D44" s="51">
        <v>55968949</v>
      </c>
      <c r="E44" s="23">
        <v>60660353</v>
      </c>
      <c r="F44" s="5"/>
    </row>
    <row r="45" spans="1:6" ht="24" customHeight="1">
      <c r="A45" s="21">
        <v>7</v>
      </c>
      <c r="B45" s="48" t="s">
        <v>444</v>
      </c>
      <c r="C45" s="51">
        <v>470349</v>
      </c>
      <c r="D45" s="51">
        <v>361489</v>
      </c>
      <c r="E45" s="23">
        <v>291719</v>
      </c>
      <c r="F45" s="5"/>
    </row>
    <row r="46" spans="1:6" ht="24" customHeight="1">
      <c r="A46" s="21">
        <v>8</v>
      </c>
      <c r="B46" s="48" t="s">
        <v>445</v>
      </c>
      <c r="C46" s="51">
        <v>145272348</v>
      </c>
      <c r="D46" s="51">
        <v>151566995</v>
      </c>
      <c r="E46" s="23">
        <v>149913369</v>
      </c>
      <c r="F46" s="5"/>
    </row>
    <row r="47" spans="1:6" ht="24" customHeight="1">
      <c r="A47" s="21">
        <v>9</v>
      </c>
      <c r="B47" s="48" t="s">
        <v>446</v>
      </c>
      <c r="C47" s="51">
        <v>7745044</v>
      </c>
      <c r="D47" s="51">
        <v>7695384</v>
      </c>
      <c r="E47" s="174">
        <v>6443301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0.9198086377195874</v>
      </c>
      <c r="D49" s="175">
        <f>IF(D38=0,0,IF(D51=0,0,(D50/D51)/D38))</f>
        <v>0.9073083880437953</v>
      </c>
      <c r="E49" s="175">
        <f>IF(E38=0,0,IF(E51=0,0,(E50/E51)/E38))</f>
        <v>0.814286960347046</v>
      </c>
      <c r="F49" s="7"/>
    </row>
    <row r="50" spans="1:6" ht="24" customHeight="1">
      <c r="A50" s="21">
        <v>11</v>
      </c>
      <c r="B50" s="48" t="s">
        <v>448</v>
      </c>
      <c r="C50" s="176">
        <v>43151898</v>
      </c>
      <c r="D50" s="176">
        <v>43528082</v>
      </c>
      <c r="E50" s="176">
        <v>45920967</v>
      </c>
      <c r="F50" s="11"/>
    </row>
    <row r="51" spans="1:6" ht="24" customHeight="1">
      <c r="A51" s="21">
        <v>12</v>
      </c>
      <c r="B51" s="48" t="s">
        <v>449</v>
      </c>
      <c r="C51" s="176">
        <v>140591338</v>
      </c>
      <c r="D51" s="176">
        <v>146490067</v>
      </c>
      <c r="E51" s="176">
        <v>157966228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0.8736890648393241</v>
      </c>
      <c r="D53" s="175">
        <f>IF(D38=0,0,IF(D55=0,0,(D54/D55)/D38))</f>
        <v>0.8397601125481248</v>
      </c>
      <c r="E53" s="175">
        <f>IF(E38=0,0,IF(E55=0,0,(E54/E55)/E38))</f>
        <v>0.7456488413270213</v>
      </c>
      <c r="F53" s="13"/>
    </row>
    <row r="54" spans="1:6" ht="24" customHeight="1">
      <c r="A54" s="21">
        <v>14</v>
      </c>
      <c r="B54" s="48" t="s">
        <v>451</v>
      </c>
      <c r="C54" s="176">
        <v>9376136</v>
      </c>
      <c r="D54" s="176">
        <v>9420308</v>
      </c>
      <c r="E54" s="176">
        <v>9867439</v>
      </c>
      <c r="F54" s="13"/>
    </row>
    <row r="55" spans="1:6" ht="24" customHeight="1">
      <c r="A55" s="21">
        <v>15</v>
      </c>
      <c r="B55" s="48" t="s">
        <v>452</v>
      </c>
      <c r="C55" s="176">
        <v>32160526</v>
      </c>
      <c r="D55" s="176">
        <v>34253380</v>
      </c>
      <c r="E55" s="176">
        <v>37068141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3929666.57388712</v>
      </c>
      <c r="D57" s="53">
        <f>+D60*D38</f>
        <v>3891013.281053823</v>
      </c>
      <c r="E57" s="53">
        <f>+E60*E38</f>
        <v>3471915.39102886</v>
      </c>
      <c r="F57" s="13"/>
    </row>
    <row r="58" spans="1:6" ht="24" customHeight="1">
      <c r="A58" s="21">
        <v>17</v>
      </c>
      <c r="B58" s="48" t="s">
        <v>454</v>
      </c>
      <c r="C58" s="51">
        <v>1253957</v>
      </c>
      <c r="D58" s="51">
        <v>929468</v>
      </c>
      <c r="E58" s="52">
        <v>558883</v>
      </c>
      <c r="F58" s="28"/>
    </row>
    <row r="59" spans="1:6" ht="24" customHeight="1">
      <c r="A59" s="21">
        <v>18</v>
      </c>
      <c r="B59" s="48" t="s">
        <v>200</v>
      </c>
      <c r="C59" s="51">
        <v>10522424</v>
      </c>
      <c r="D59" s="51">
        <v>10951622</v>
      </c>
      <c r="E59" s="52">
        <v>9166346</v>
      </c>
      <c r="F59" s="28"/>
    </row>
    <row r="60" spans="1:6" ht="24" customHeight="1">
      <c r="A60" s="21">
        <v>19</v>
      </c>
      <c r="B60" s="48" t="s">
        <v>455</v>
      </c>
      <c r="C60" s="51">
        <v>11776381</v>
      </c>
      <c r="D60" s="51">
        <v>11881090</v>
      </c>
      <c r="E60" s="52">
        <v>9725229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0.03523030912384478</v>
      </c>
      <c r="D62" s="178">
        <f>IF(D63=0,0,+D57/D63)</f>
        <v>0.03390524706134897</v>
      </c>
      <c r="E62" s="178">
        <f>IF(E63=0,0,+E57/E63)</f>
        <v>0.026777610979446382</v>
      </c>
      <c r="F62" s="13"/>
    </row>
    <row r="63" spans="1:6" ht="24" customHeight="1">
      <c r="A63" s="21">
        <v>21</v>
      </c>
      <c r="B63" s="45" t="s">
        <v>439</v>
      </c>
      <c r="C63" s="176">
        <v>111542211</v>
      </c>
      <c r="D63" s="176">
        <v>114761390</v>
      </c>
      <c r="E63" s="176">
        <v>129657399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1.0881906290885928</v>
      </c>
      <c r="D67" s="179">
        <f>IF(D69=0,0,D68/D69)</f>
        <v>1.1374479680230827</v>
      </c>
      <c r="E67" s="179">
        <f>IF(E69=0,0,E68/E69)</f>
        <v>1.2528575910467785</v>
      </c>
      <c r="F67" s="28"/>
    </row>
    <row r="68" spans="1:6" ht="24" customHeight="1">
      <c r="A68" s="21">
        <v>2</v>
      </c>
      <c r="B68" s="48" t="s">
        <v>140</v>
      </c>
      <c r="C68" s="180">
        <v>25494117</v>
      </c>
      <c r="D68" s="180">
        <v>26125551</v>
      </c>
      <c r="E68" s="180">
        <v>29039941</v>
      </c>
      <c r="F68" s="28"/>
    </row>
    <row r="69" spans="1:6" ht="24" customHeight="1">
      <c r="A69" s="21">
        <v>3</v>
      </c>
      <c r="B69" s="48" t="s">
        <v>169</v>
      </c>
      <c r="C69" s="180">
        <v>23427988</v>
      </c>
      <c r="D69" s="180">
        <v>22968568</v>
      </c>
      <c r="E69" s="180">
        <v>23178964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3.8924214984942744</v>
      </c>
      <c r="D71" s="181">
        <f>IF((D77/365)=0,0,+D74/(D77/365))</f>
        <v>10.199224381550252</v>
      </c>
      <c r="E71" s="181">
        <f>IF((E77/365)=0,0,+E74/(E77/365))</f>
        <v>20.10506321891056</v>
      </c>
      <c r="F71" s="28"/>
    </row>
    <row r="72" spans="1:6" ht="24" customHeight="1">
      <c r="A72" s="21">
        <v>5</v>
      </c>
      <c r="B72" s="22" t="s">
        <v>131</v>
      </c>
      <c r="C72" s="182">
        <v>1145449</v>
      </c>
      <c r="D72" s="182">
        <v>3254877</v>
      </c>
      <c r="E72" s="182">
        <v>6746197</v>
      </c>
      <c r="F72" s="28"/>
    </row>
    <row r="73" spans="1:6" ht="24" customHeight="1">
      <c r="A73" s="21">
        <v>6</v>
      </c>
      <c r="B73" s="183" t="s">
        <v>132</v>
      </c>
      <c r="C73" s="184">
        <v>91905</v>
      </c>
      <c r="D73" s="184">
        <v>95129</v>
      </c>
      <c r="E73" s="184">
        <v>96062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1237354</v>
      </c>
      <c r="D74" s="180">
        <f>+D72+D73</f>
        <v>3350006</v>
      </c>
      <c r="E74" s="180">
        <f>+E72+E73</f>
        <v>6842259</v>
      </c>
      <c r="F74" s="28"/>
    </row>
    <row r="75" spans="1:6" ht="24" customHeight="1">
      <c r="A75" s="21">
        <v>8</v>
      </c>
      <c r="B75" s="48" t="s">
        <v>439</v>
      </c>
      <c r="C75" s="180">
        <f>+C14</f>
        <v>122064635</v>
      </c>
      <c r="D75" s="180">
        <f>+D14</f>
        <v>125713012</v>
      </c>
      <c r="E75" s="180">
        <f>+E14</f>
        <v>129657399</v>
      </c>
      <c r="F75" s="28"/>
    </row>
    <row r="76" spans="1:6" ht="24" customHeight="1">
      <c r="A76" s="21">
        <v>9</v>
      </c>
      <c r="B76" s="45" t="s">
        <v>462</v>
      </c>
      <c r="C76" s="180">
        <v>6035523</v>
      </c>
      <c r="D76" s="180">
        <v>5826230</v>
      </c>
      <c r="E76" s="180">
        <v>5438713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116029112</v>
      </c>
      <c r="D77" s="180">
        <f>+D75-D76</f>
        <v>119886782</v>
      </c>
      <c r="E77" s="180">
        <f>+E75-E76</f>
        <v>124218686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52.65521488335619</v>
      </c>
      <c r="D79" s="179">
        <f>IF((D84/365)=0,0,+D83/(D84/365))</f>
        <v>49.211212078243314</v>
      </c>
      <c r="E79" s="179">
        <f>IF((E84/365)=0,0,+E83/(E84/365))</f>
        <v>45.19454822533085</v>
      </c>
      <c r="F79" s="28"/>
    </row>
    <row r="80" spans="1:6" ht="24" customHeight="1">
      <c r="A80" s="21">
        <v>12</v>
      </c>
      <c r="B80" s="188" t="s">
        <v>465</v>
      </c>
      <c r="C80" s="189">
        <v>17942004</v>
      </c>
      <c r="D80" s="189">
        <v>16477565</v>
      </c>
      <c r="E80" s="189">
        <v>16448223</v>
      </c>
      <c r="F80" s="28"/>
    </row>
    <row r="81" spans="1:6" ht="24" customHeight="1">
      <c r="A81" s="21">
        <v>13</v>
      </c>
      <c r="B81" s="188" t="s">
        <v>136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164</v>
      </c>
      <c r="C82" s="190">
        <v>1472532</v>
      </c>
      <c r="D82" s="190">
        <v>394236</v>
      </c>
      <c r="E82" s="190">
        <v>971897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16469472</v>
      </c>
      <c r="D83" s="191">
        <f>+D80+D81-D82</f>
        <v>16083329</v>
      </c>
      <c r="E83" s="191">
        <f>+E80+E81-E82</f>
        <v>15476326</v>
      </c>
      <c r="F83" s="28"/>
    </row>
    <row r="84" spans="1:6" ht="24" customHeight="1">
      <c r="A84" s="21">
        <v>16</v>
      </c>
      <c r="B84" s="48" t="s">
        <v>190</v>
      </c>
      <c r="C84" s="180">
        <f>+C11</f>
        <v>114164519</v>
      </c>
      <c r="D84" s="191">
        <f>+D11</f>
        <v>119290195</v>
      </c>
      <c r="E84" s="191">
        <f>+E11</f>
        <v>124989832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73.69888015690407</v>
      </c>
      <c r="D86" s="179">
        <f>IF((D90/365)=0,0,+D87/(D90/365))</f>
        <v>69.92870423363269</v>
      </c>
      <c r="E86" s="179">
        <f>IF((E90/365)=0,0,+E87/(E90/365))</f>
        <v>68.10828654233228</v>
      </c>
      <c r="F86" s="13"/>
    </row>
    <row r="87" spans="1:6" ht="24" customHeight="1">
      <c r="A87" s="21">
        <v>18</v>
      </c>
      <c r="B87" s="48" t="s">
        <v>169</v>
      </c>
      <c r="C87" s="51">
        <f>+C69</f>
        <v>23427988</v>
      </c>
      <c r="D87" s="51">
        <f>+D69</f>
        <v>22968568</v>
      </c>
      <c r="E87" s="51">
        <f>+E69</f>
        <v>23178964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122064635</v>
      </c>
      <c r="D88" s="51">
        <f t="shared" si="0"/>
        <v>125713012</v>
      </c>
      <c r="E88" s="51">
        <f t="shared" si="0"/>
        <v>129657399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6035523</v>
      </c>
      <c r="D89" s="52">
        <f t="shared" si="0"/>
        <v>5826230</v>
      </c>
      <c r="E89" s="52">
        <f t="shared" si="0"/>
        <v>5438713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116029112</v>
      </c>
      <c r="D90" s="51">
        <f>+D88-D89</f>
        <v>119886782</v>
      </c>
      <c r="E90" s="51">
        <f>+E88-E89</f>
        <v>124218686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39.68144311002902</v>
      </c>
      <c r="D94" s="192">
        <f>IF(D96=0,0,(D95/D96)*100)</f>
        <v>28.973997508281997</v>
      </c>
      <c r="E94" s="192">
        <f>IF(E96=0,0,(E95/E96)*100)</f>
        <v>7.666370927005479</v>
      </c>
      <c r="F94" s="28"/>
    </row>
    <row r="95" spans="1:6" ht="24" customHeight="1">
      <c r="A95" s="21">
        <v>2</v>
      </c>
      <c r="B95" s="48" t="s">
        <v>182</v>
      </c>
      <c r="C95" s="51">
        <f>+C32</f>
        <v>41084073</v>
      </c>
      <c r="D95" s="51">
        <f>+D32</f>
        <v>26424439</v>
      </c>
      <c r="E95" s="51">
        <f>+E32</f>
        <v>7239260</v>
      </c>
      <c r="F95" s="28"/>
    </row>
    <row r="96" spans="1:6" ht="24" customHeight="1">
      <c r="A96" s="21">
        <v>3</v>
      </c>
      <c r="B96" s="48" t="s">
        <v>158</v>
      </c>
      <c r="C96" s="51">
        <v>103534725</v>
      </c>
      <c r="D96" s="51">
        <v>91200529</v>
      </c>
      <c r="E96" s="51">
        <v>94428773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25.36962945092789</v>
      </c>
      <c r="D98" s="192">
        <f>IF(D104=0,0,(D101/D104)*100)</f>
        <v>9.44696476579305</v>
      </c>
      <c r="E98" s="192">
        <f>IF(E104=0,0,(E101/E104)*100)</f>
        <v>11.499772155717158</v>
      </c>
      <c r="F98" s="28"/>
    </row>
    <row r="99" spans="1:6" ht="24" customHeight="1">
      <c r="A99" s="21">
        <v>5</v>
      </c>
      <c r="B99" s="48" t="s">
        <v>473</v>
      </c>
      <c r="C99" s="51">
        <f>+C28</f>
        <v>7418678</v>
      </c>
      <c r="D99" s="51">
        <f>+D28</f>
        <v>-985736</v>
      </c>
      <c r="E99" s="51">
        <f>+E28</f>
        <v>373398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6035523</v>
      </c>
      <c r="D100" s="52">
        <f>+D76</f>
        <v>5826230</v>
      </c>
      <c r="E100" s="52">
        <f>+E76</f>
        <v>5438713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13454201</v>
      </c>
      <c r="D101" s="51">
        <f>+D99+D100</f>
        <v>4840494</v>
      </c>
      <c r="E101" s="51">
        <f>+E99+E100</f>
        <v>5812111</v>
      </c>
      <c r="F101" s="28"/>
    </row>
    <row r="102" spans="1:6" ht="24" customHeight="1">
      <c r="A102" s="21">
        <v>8</v>
      </c>
      <c r="B102" s="48" t="s">
        <v>169</v>
      </c>
      <c r="C102" s="180">
        <f>+C69</f>
        <v>23427988</v>
      </c>
      <c r="D102" s="180">
        <f>+D69</f>
        <v>22968568</v>
      </c>
      <c r="E102" s="180">
        <f>+E69</f>
        <v>23178964</v>
      </c>
      <c r="F102" s="28"/>
    </row>
    <row r="103" spans="1:6" ht="24" customHeight="1">
      <c r="A103" s="21">
        <v>9</v>
      </c>
      <c r="B103" s="48" t="s">
        <v>173</v>
      </c>
      <c r="C103" s="194">
        <v>29604718</v>
      </c>
      <c r="D103" s="194">
        <v>28270048</v>
      </c>
      <c r="E103" s="194">
        <v>27362133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53032706</v>
      </c>
      <c r="D104" s="180">
        <f>+D102+D103</f>
        <v>51238616</v>
      </c>
      <c r="E104" s="180">
        <f>+E102+E103</f>
        <v>50541097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41.880356957866205</v>
      </c>
      <c r="D106" s="197">
        <f>IF(D109=0,0,(D107/D109)*100)</f>
        <v>51.687198382535335</v>
      </c>
      <c r="E106" s="197">
        <f>IF(E109=0,0,(E107/E109)*100)</f>
        <v>79.07812555407813</v>
      </c>
      <c r="F106" s="28"/>
    </row>
    <row r="107" spans="1:6" ht="24" customHeight="1">
      <c r="A107" s="17">
        <v>12</v>
      </c>
      <c r="B107" s="48" t="s">
        <v>173</v>
      </c>
      <c r="C107" s="180">
        <f>+C103</f>
        <v>29604718</v>
      </c>
      <c r="D107" s="180">
        <f>+D103</f>
        <v>28270048</v>
      </c>
      <c r="E107" s="180">
        <f>+E103</f>
        <v>27362133</v>
      </c>
      <c r="F107" s="28"/>
    </row>
    <row r="108" spans="1:6" ht="24" customHeight="1">
      <c r="A108" s="17">
        <v>13</v>
      </c>
      <c r="B108" s="48" t="s">
        <v>182</v>
      </c>
      <c r="C108" s="180">
        <f>+C32</f>
        <v>41084073</v>
      </c>
      <c r="D108" s="180">
        <f>+D32</f>
        <v>26424439</v>
      </c>
      <c r="E108" s="180">
        <f>+E32</f>
        <v>7239260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70688791</v>
      </c>
      <c r="D109" s="180">
        <f>+D107+D108</f>
        <v>54694487</v>
      </c>
      <c r="E109" s="180">
        <f>+E107+E108</f>
        <v>34601393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7.63239651023042</v>
      </c>
      <c r="D111" s="197">
        <f>IF((+D113+D115)=0,0,((+D112+D113+D114)/(+D113+D115)))</f>
        <v>3.3779585737045257</v>
      </c>
      <c r="E111" s="197">
        <f>IF((+E113+E115)=0,0,((+E112+E113+E114)/(+E113+E115)))</f>
        <v>2.386571126136857</v>
      </c>
    </row>
    <row r="112" spans="1:6" ht="24" customHeight="1">
      <c r="A112" s="17">
        <v>16</v>
      </c>
      <c r="B112" s="48" t="s">
        <v>479</v>
      </c>
      <c r="C112" s="180">
        <f>+C17</f>
        <v>7418678</v>
      </c>
      <c r="D112" s="180">
        <f>+D17</f>
        <v>-985736</v>
      </c>
      <c r="E112" s="180">
        <f>+E17</f>
        <v>373398</v>
      </c>
      <c r="F112" s="28"/>
    </row>
    <row r="113" spans="1:6" ht="24" customHeight="1">
      <c r="A113" s="17">
        <v>17</v>
      </c>
      <c r="B113" s="48" t="s">
        <v>301</v>
      </c>
      <c r="C113" s="180">
        <v>2028558</v>
      </c>
      <c r="D113" s="180">
        <v>2035567</v>
      </c>
      <c r="E113" s="180">
        <v>1891953</v>
      </c>
      <c r="F113" s="28"/>
    </row>
    <row r="114" spans="1:6" ht="24" customHeight="1">
      <c r="A114" s="17">
        <v>18</v>
      </c>
      <c r="B114" s="48" t="s">
        <v>480</v>
      </c>
      <c r="C114" s="180">
        <v>6035523</v>
      </c>
      <c r="D114" s="180">
        <v>5826230</v>
      </c>
      <c r="E114" s="180">
        <v>5438713</v>
      </c>
      <c r="F114" s="28"/>
    </row>
    <row r="115" spans="1:6" ht="24" customHeight="1">
      <c r="A115" s="17">
        <v>19</v>
      </c>
      <c r="B115" s="48" t="s">
        <v>217</v>
      </c>
      <c r="C115" s="180">
        <v>0</v>
      </c>
      <c r="D115" s="180">
        <v>0</v>
      </c>
      <c r="E115" s="180">
        <v>1336136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12.807647986761047</v>
      </c>
      <c r="D119" s="197">
        <f>IF(+D121=0,0,(+D120)/(+D121))</f>
        <v>14.257257780760458</v>
      </c>
      <c r="E119" s="197">
        <f>IF(+E121=0,0,(+E120)/(+E121))</f>
        <v>16.24167519043568</v>
      </c>
    </row>
    <row r="120" spans="1:6" ht="24" customHeight="1">
      <c r="A120" s="17">
        <v>21</v>
      </c>
      <c r="B120" s="48" t="s">
        <v>484</v>
      </c>
      <c r="C120" s="180">
        <v>77300854</v>
      </c>
      <c r="D120" s="180">
        <v>83066063</v>
      </c>
      <c r="E120" s="180">
        <v>88333810</v>
      </c>
      <c r="F120" s="28"/>
    </row>
    <row r="121" spans="1:6" ht="24" customHeight="1">
      <c r="A121" s="17">
        <v>22</v>
      </c>
      <c r="B121" s="48" t="s">
        <v>480</v>
      </c>
      <c r="C121" s="180">
        <v>6035523</v>
      </c>
      <c r="D121" s="180">
        <v>5826230</v>
      </c>
      <c r="E121" s="180">
        <v>5438713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33663</v>
      </c>
      <c r="D124" s="198">
        <v>33258</v>
      </c>
      <c r="E124" s="198">
        <v>33658</v>
      </c>
    </row>
    <row r="125" spans="1:5" ht="24" customHeight="1">
      <c r="A125" s="44">
        <v>2</v>
      </c>
      <c r="B125" s="48" t="s">
        <v>488</v>
      </c>
      <c r="C125" s="198">
        <v>8064</v>
      </c>
      <c r="D125" s="198">
        <v>8016</v>
      </c>
      <c r="E125" s="198">
        <v>7846</v>
      </c>
    </row>
    <row r="126" spans="1:5" ht="24" customHeight="1">
      <c r="A126" s="44">
        <v>3</v>
      </c>
      <c r="B126" s="48" t="s">
        <v>489</v>
      </c>
      <c r="C126" s="199">
        <f>IF(C125=0,0,C124/C125)</f>
        <v>4.174479166666667</v>
      </c>
      <c r="D126" s="199">
        <f>IF(D125=0,0,D124/D125)</f>
        <v>4.148952095808383</v>
      </c>
      <c r="E126" s="199">
        <f>IF(E125=0,0,E124/E125)</f>
        <v>4.289829212337497</v>
      </c>
    </row>
    <row r="127" spans="1:5" ht="24" customHeight="1">
      <c r="A127" s="44">
        <v>4</v>
      </c>
      <c r="B127" s="48" t="s">
        <v>490</v>
      </c>
      <c r="C127" s="198">
        <v>115</v>
      </c>
      <c r="D127" s="198">
        <v>115</v>
      </c>
      <c r="E127" s="198">
        <v>132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154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154</v>
      </c>
      <c r="D129" s="198">
        <v>154</v>
      </c>
      <c r="E129" s="198">
        <v>154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0.8019</v>
      </c>
      <c r="D130" s="171">
        <v>0.7923</v>
      </c>
      <c r="E130" s="171">
        <v>0.6985</v>
      </c>
    </row>
    <row r="131" spans="1:5" ht="24" customHeight="1">
      <c r="A131" s="44">
        <v>7</v>
      </c>
      <c r="B131" s="48" t="s">
        <v>494</v>
      </c>
      <c r="C131" s="171">
        <v>0.5988</v>
      </c>
      <c r="D131" s="171">
        <v>0.5916</v>
      </c>
      <c r="E131" s="171">
        <v>0.5987</v>
      </c>
    </row>
    <row r="132" spans="1:5" ht="24" customHeight="1">
      <c r="A132" s="44">
        <v>8</v>
      </c>
      <c r="B132" s="48" t="s">
        <v>495</v>
      </c>
      <c r="C132" s="199">
        <v>876.5</v>
      </c>
      <c r="D132" s="199">
        <v>905.1</v>
      </c>
      <c r="E132" s="199">
        <v>899.4</v>
      </c>
    </row>
    <row r="133" ht="24" customHeight="1">
      <c r="B133" s="55"/>
    </row>
    <row r="134" spans="1:6" ht="19.5" customHeight="1">
      <c r="A134" s="200" t="s">
        <v>127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0.4171453566408991</v>
      </c>
      <c r="D135" s="203">
        <f>IF(D149=0,0,D143/D149)</f>
        <v>0.4176592159877937</v>
      </c>
      <c r="E135" s="203">
        <f>IF(E149=0,0,E143/E149)</f>
        <v>0.3995355943257351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0.42643912972096937</v>
      </c>
      <c r="D136" s="203">
        <f>IF(D149=0,0,D144/D149)</f>
        <v>0.42526059246823456</v>
      </c>
      <c r="E136" s="203">
        <f>IF(E149=0,0,E144/E149)</f>
        <v>0.4399045157445285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0.09754873176332249</v>
      </c>
      <c r="D137" s="203">
        <f>IF(D149=0,0,D145/D149)</f>
        <v>0.09943754529677139</v>
      </c>
      <c r="E137" s="203">
        <f>IF(E149=0,0,E145/E149)</f>
        <v>0.1032273975431945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0.03258255433709901</v>
      </c>
      <c r="D138" s="203">
        <f>IF(D149=0,0,D146/D149)</f>
        <v>0.03226512966777101</v>
      </c>
      <c r="E138" s="203">
        <f>IF(E149=0,0,E146/E149)</f>
        <v>0.0376441022100958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0.023492128818139675</v>
      </c>
      <c r="D139" s="203">
        <f>IF(D149=0,0,D147/D149)</f>
        <v>0.022339695967990597</v>
      </c>
      <c r="E139" s="203">
        <f>IF(E149=0,0,E147/E149)</f>
        <v>0.01794331131462629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0.0027920987195703853</v>
      </c>
      <c r="D140" s="203">
        <f>IF(D149=0,0,D148/D149)</f>
        <v>0.0030378206114387556</v>
      </c>
      <c r="E140" s="203">
        <f>IF(E149=0,0,E148/E149)</f>
        <v>0.0017450788618198461</v>
      </c>
    </row>
    <row r="141" spans="1:5" ht="19.5" customHeight="1">
      <c r="A141" s="202">
        <v>7</v>
      </c>
      <c r="B141" s="195" t="s">
        <v>503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137527304</v>
      </c>
      <c r="D143" s="205">
        <f>+D46-D147</f>
        <v>143871611</v>
      </c>
      <c r="E143" s="205">
        <f>+E46-E147</f>
        <v>143470068</v>
      </c>
    </row>
    <row r="144" spans="1:5" ht="19.5" customHeight="1">
      <c r="A144" s="202">
        <v>9</v>
      </c>
      <c r="B144" s="201" t="s">
        <v>505</v>
      </c>
      <c r="C144" s="206">
        <f>+C51</f>
        <v>140591338</v>
      </c>
      <c r="D144" s="205">
        <f>+D51</f>
        <v>146490067</v>
      </c>
      <c r="E144" s="205">
        <f>+E51</f>
        <v>157966228</v>
      </c>
    </row>
    <row r="145" spans="1:5" ht="19.5" customHeight="1">
      <c r="A145" s="202">
        <v>10</v>
      </c>
      <c r="B145" s="201" t="s">
        <v>506</v>
      </c>
      <c r="C145" s="206">
        <f>+C55</f>
        <v>32160526</v>
      </c>
      <c r="D145" s="205">
        <f>+D55</f>
        <v>34253380</v>
      </c>
      <c r="E145" s="205">
        <f>+E55</f>
        <v>37068141</v>
      </c>
    </row>
    <row r="146" spans="1:5" ht="19.5" customHeight="1">
      <c r="A146" s="202">
        <v>11</v>
      </c>
      <c r="B146" s="201" t="s">
        <v>507</v>
      </c>
      <c r="C146" s="204">
        <v>10742037</v>
      </c>
      <c r="D146" s="205">
        <v>11114411</v>
      </c>
      <c r="E146" s="205">
        <v>13517699</v>
      </c>
    </row>
    <row r="147" spans="1:5" ht="19.5" customHeight="1">
      <c r="A147" s="202">
        <v>12</v>
      </c>
      <c r="B147" s="201" t="s">
        <v>508</v>
      </c>
      <c r="C147" s="206">
        <f>+C47</f>
        <v>7745044</v>
      </c>
      <c r="D147" s="205">
        <f>+D47</f>
        <v>7695384</v>
      </c>
      <c r="E147" s="205">
        <f>+E47</f>
        <v>6443301</v>
      </c>
    </row>
    <row r="148" spans="1:5" ht="19.5" customHeight="1">
      <c r="A148" s="202">
        <v>13</v>
      </c>
      <c r="B148" s="201" t="s">
        <v>509</v>
      </c>
      <c r="C148" s="206">
        <v>920518</v>
      </c>
      <c r="D148" s="205">
        <v>1046442</v>
      </c>
      <c r="E148" s="205">
        <v>626644</v>
      </c>
    </row>
    <row r="149" spans="1:5" ht="19.5" customHeight="1">
      <c r="A149" s="202">
        <v>14</v>
      </c>
      <c r="B149" s="201" t="s">
        <v>510</v>
      </c>
      <c r="C149" s="204">
        <f>SUM(C143:C148)</f>
        <v>329686767</v>
      </c>
      <c r="D149" s="205">
        <f>SUM(D143:D148)</f>
        <v>344471295</v>
      </c>
      <c r="E149" s="205">
        <f>SUM(E143:E148)</f>
        <v>359092081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0.47873342421003034</v>
      </c>
      <c r="D152" s="203">
        <f>IF(D166=0,0,D160/D166)</f>
        <v>0.49896308115601884</v>
      </c>
      <c r="E152" s="203">
        <f>IF(E166=0,0,E160/E166)</f>
        <v>0.5096702342926962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0.40882479665437427</v>
      </c>
      <c r="D153" s="203">
        <f>IF(D166=0,0,D161/D166)</f>
        <v>0.3905753996232132</v>
      </c>
      <c r="E153" s="203">
        <f>IF(E166=0,0,E161/E166)</f>
        <v>0.3876938810614328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0.08883031966760206</v>
      </c>
      <c r="D154" s="203">
        <f>IF(D166=0,0,D162/D166)</f>
        <v>0.08452797349705765</v>
      </c>
      <c r="E154" s="203">
        <f>IF(E166=0,0,E162/E166)</f>
        <v>0.08330716820590786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0.01700785092881761</v>
      </c>
      <c r="D155" s="203">
        <f>IF(D166=0,0,D163/D166)</f>
        <v>0.02037778084911962</v>
      </c>
      <c r="E155" s="203">
        <f>IF(E166=0,0,E163/E166)</f>
        <v>0.015422158085976703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0.004456126918950084</v>
      </c>
      <c r="D156" s="203">
        <f>IF(D166=0,0,D164/D166)</f>
        <v>0.0032436235218081906</v>
      </c>
      <c r="E156" s="203">
        <f>IF(E166=0,0,E164/E166)</f>
        <v>0.002462876517590758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0.0021474816202256123</v>
      </c>
      <c r="D157" s="203">
        <f>IF(D166=0,0,D165/D166)</f>
        <v>0.0023121413527825542</v>
      </c>
      <c r="E157" s="203">
        <f>IF(E166=0,0,E165/E166)</f>
        <v>0.001443681836395648</v>
      </c>
    </row>
    <row r="158" spans="1:5" ht="19.5" customHeight="1">
      <c r="A158" s="202">
        <v>7</v>
      </c>
      <c r="B158" s="195" t="s">
        <v>519</v>
      </c>
      <c r="C158" s="203">
        <f>SUM(C152:C157)</f>
        <v>0.9999999999999999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50530829</v>
      </c>
      <c r="D160" s="208">
        <f>+D44-D164</f>
        <v>55607460</v>
      </c>
      <c r="E160" s="208">
        <f>+E44-E164</f>
        <v>60368634</v>
      </c>
    </row>
    <row r="161" spans="1:5" ht="19.5" customHeight="1">
      <c r="A161" s="202">
        <v>9</v>
      </c>
      <c r="B161" s="201" t="s">
        <v>521</v>
      </c>
      <c r="C161" s="209">
        <f>+C50</f>
        <v>43151898</v>
      </c>
      <c r="D161" s="208">
        <f>+D50</f>
        <v>43528082</v>
      </c>
      <c r="E161" s="208">
        <f>+E50</f>
        <v>45920967</v>
      </c>
    </row>
    <row r="162" spans="1:5" ht="19.5" customHeight="1">
      <c r="A162" s="202">
        <v>10</v>
      </c>
      <c r="B162" s="201" t="s">
        <v>522</v>
      </c>
      <c r="C162" s="209">
        <f>+C54</f>
        <v>9376136</v>
      </c>
      <c r="D162" s="208">
        <f>+D54</f>
        <v>9420308</v>
      </c>
      <c r="E162" s="208">
        <f>+E54</f>
        <v>9867439</v>
      </c>
    </row>
    <row r="163" spans="1:5" ht="19.5" customHeight="1">
      <c r="A163" s="202">
        <v>11</v>
      </c>
      <c r="B163" s="201" t="s">
        <v>523</v>
      </c>
      <c r="C163" s="207">
        <v>1795197</v>
      </c>
      <c r="D163" s="208">
        <v>2271023</v>
      </c>
      <c r="E163" s="208">
        <v>1826700</v>
      </c>
    </row>
    <row r="164" spans="1:5" ht="19.5" customHeight="1">
      <c r="A164" s="202">
        <v>12</v>
      </c>
      <c r="B164" s="201" t="s">
        <v>524</v>
      </c>
      <c r="C164" s="209">
        <f>+C45</f>
        <v>470349</v>
      </c>
      <c r="D164" s="208">
        <f>+D45</f>
        <v>361489</v>
      </c>
      <c r="E164" s="208">
        <f>+E45</f>
        <v>291719</v>
      </c>
    </row>
    <row r="165" spans="1:5" ht="19.5" customHeight="1">
      <c r="A165" s="202">
        <v>13</v>
      </c>
      <c r="B165" s="201" t="s">
        <v>525</v>
      </c>
      <c r="C165" s="209">
        <v>226669</v>
      </c>
      <c r="D165" s="208">
        <v>257679</v>
      </c>
      <c r="E165" s="208">
        <v>170999</v>
      </c>
    </row>
    <row r="166" spans="1:5" ht="19.5" customHeight="1">
      <c r="A166" s="202">
        <v>14</v>
      </c>
      <c r="B166" s="201" t="s">
        <v>526</v>
      </c>
      <c r="C166" s="207">
        <f>SUM(C160:C165)</f>
        <v>105551078</v>
      </c>
      <c r="D166" s="208">
        <f>SUM(D160:D165)</f>
        <v>111446041</v>
      </c>
      <c r="E166" s="208">
        <f>SUM(E160:E165)</f>
        <v>118446458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3046</v>
      </c>
      <c r="D169" s="198">
        <v>2879</v>
      </c>
      <c r="E169" s="198">
        <v>2731</v>
      </c>
    </row>
    <row r="170" spans="1:5" ht="19.5" customHeight="1">
      <c r="A170" s="202">
        <v>2</v>
      </c>
      <c r="B170" s="201" t="s">
        <v>529</v>
      </c>
      <c r="C170" s="198">
        <v>3589</v>
      </c>
      <c r="D170" s="198">
        <v>3640</v>
      </c>
      <c r="E170" s="198">
        <v>3597</v>
      </c>
    </row>
    <row r="171" spans="1:5" ht="19.5" customHeight="1">
      <c r="A171" s="202">
        <v>3</v>
      </c>
      <c r="B171" s="201" t="s">
        <v>530</v>
      </c>
      <c r="C171" s="198">
        <v>1412</v>
      </c>
      <c r="D171" s="198">
        <v>1486</v>
      </c>
      <c r="E171" s="198">
        <v>1507</v>
      </c>
    </row>
    <row r="172" spans="1:5" ht="19.5" customHeight="1">
      <c r="A172" s="202">
        <v>4</v>
      </c>
      <c r="B172" s="201" t="s">
        <v>531</v>
      </c>
      <c r="C172" s="198">
        <v>1049</v>
      </c>
      <c r="D172" s="198">
        <v>1106</v>
      </c>
      <c r="E172" s="198">
        <v>1084</v>
      </c>
    </row>
    <row r="173" spans="1:5" ht="19.5" customHeight="1">
      <c r="A173" s="202">
        <v>5</v>
      </c>
      <c r="B173" s="201" t="s">
        <v>532</v>
      </c>
      <c r="C173" s="198">
        <v>363</v>
      </c>
      <c r="D173" s="198">
        <v>380</v>
      </c>
      <c r="E173" s="198">
        <v>423</v>
      </c>
    </row>
    <row r="174" spans="1:5" ht="19.5" customHeight="1">
      <c r="A174" s="202">
        <v>6</v>
      </c>
      <c r="B174" s="201" t="s">
        <v>533</v>
      </c>
      <c r="C174" s="198">
        <v>17</v>
      </c>
      <c r="D174" s="198">
        <v>11</v>
      </c>
      <c r="E174" s="198">
        <v>11</v>
      </c>
    </row>
    <row r="175" spans="1:5" ht="19.5" customHeight="1">
      <c r="A175" s="202">
        <v>7</v>
      </c>
      <c r="B175" s="201" t="s">
        <v>534</v>
      </c>
      <c r="C175" s="198">
        <v>79</v>
      </c>
      <c r="D175" s="198">
        <v>80</v>
      </c>
      <c r="E175" s="198">
        <v>43</v>
      </c>
    </row>
    <row r="176" spans="1:5" ht="19.5" customHeight="1">
      <c r="A176" s="202">
        <v>8</v>
      </c>
      <c r="B176" s="201" t="s">
        <v>535</v>
      </c>
      <c r="C176" s="198">
        <f>+C169+C170+C171+C174</f>
        <v>8064</v>
      </c>
      <c r="D176" s="198">
        <f>+D169+D170+D171+D174</f>
        <v>8016</v>
      </c>
      <c r="E176" s="198">
        <f>+E169+E170+E171+E174</f>
        <v>7846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0.8927</v>
      </c>
      <c r="D179" s="210">
        <v>0.9693</v>
      </c>
      <c r="E179" s="210">
        <v>0.9559</v>
      </c>
    </row>
    <row r="180" spans="1:5" ht="19.5" customHeight="1">
      <c r="A180" s="202">
        <v>2</v>
      </c>
      <c r="B180" s="201" t="s">
        <v>529</v>
      </c>
      <c r="C180" s="210">
        <v>1.2507</v>
      </c>
      <c r="D180" s="210">
        <v>1.2802</v>
      </c>
      <c r="E180" s="210">
        <v>1.3004</v>
      </c>
    </row>
    <row r="181" spans="1:5" ht="19.5" customHeight="1">
      <c r="A181" s="202">
        <v>3</v>
      </c>
      <c r="B181" s="201" t="s">
        <v>530</v>
      </c>
      <c r="C181" s="210">
        <v>0.81931</v>
      </c>
      <c r="D181" s="210">
        <v>0.808915</v>
      </c>
      <c r="E181" s="210">
        <v>0.8292</v>
      </c>
    </row>
    <row r="182" spans="1:5" ht="19.5" customHeight="1">
      <c r="A182" s="202">
        <v>4</v>
      </c>
      <c r="B182" s="201" t="s">
        <v>531</v>
      </c>
      <c r="C182" s="210">
        <v>0.8044</v>
      </c>
      <c r="D182" s="210">
        <v>0.7747</v>
      </c>
      <c r="E182" s="210">
        <v>0.8029</v>
      </c>
    </row>
    <row r="183" spans="1:5" ht="19.5" customHeight="1">
      <c r="A183" s="202">
        <v>5</v>
      </c>
      <c r="B183" s="201" t="s">
        <v>532</v>
      </c>
      <c r="C183" s="210">
        <v>0.8624</v>
      </c>
      <c r="D183" s="210">
        <v>0.9085</v>
      </c>
      <c r="E183" s="210">
        <v>0.8966</v>
      </c>
    </row>
    <row r="184" spans="1:5" ht="19.5" customHeight="1">
      <c r="A184" s="202">
        <v>6</v>
      </c>
      <c r="B184" s="201" t="s">
        <v>533</v>
      </c>
      <c r="C184" s="210">
        <v>0.7279</v>
      </c>
      <c r="D184" s="210">
        <v>1.6674</v>
      </c>
      <c r="E184" s="210">
        <v>1.054</v>
      </c>
    </row>
    <row r="185" spans="1:5" ht="19.5" customHeight="1">
      <c r="A185" s="202">
        <v>7</v>
      </c>
      <c r="B185" s="201" t="s">
        <v>534</v>
      </c>
      <c r="C185" s="210">
        <v>0.9158</v>
      </c>
      <c r="D185" s="210">
        <v>0.9295</v>
      </c>
      <c r="E185" s="210">
        <v>0.9646</v>
      </c>
    </row>
    <row r="186" spans="1:5" ht="19.5" customHeight="1">
      <c r="A186" s="202">
        <v>8</v>
      </c>
      <c r="B186" s="201" t="s">
        <v>538</v>
      </c>
      <c r="C186" s="210">
        <v>1.038835</v>
      </c>
      <c r="D186" s="210">
        <v>1.081703</v>
      </c>
      <c r="E186" s="210">
        <v>1.089638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5667</v>
      </c>
      <c r="D189" s="198">
        <v>5723</v>
      </c>
      <c r="E189" s="198">
        <v>5501</v>
      </c>
    </row>
    <row r="190" spans="1:5" ht="19.5" customHeight="1">
      <c r="A190" s="202">
        <v>2</v>
      </c>
      <c r="B190" s="201" t="s">
        <v>542</v>
      </c>
      <c r="C190" s="198">
        <v>33859</v>
      </c>
      <c r="D190" s="198">
        <v>34410</v>
      </c>
      <c r="E190" s="198">
        <v>33551</v>
      </c>
    </row>
    <row r="191" spans="1:5" ht="19.5" customHeight="1">
      <c r="A191" s="202">
        <v>3</v>
      </c>
      <c r="B191" s="201" t="s">
        <v>543</v>
      </c>
      <c r="C191" s="198">
        <f>+C190+C189</f>
        <v>39526</v>
      </c>
      <c r="D191" s="198">
        <f>+D190+D189</f>
        <v>40133</v>
      </c>
      <c r="E191" s="198">
        <f>+E190+E189</f>
        <v>39052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FILING&amp;RBRISTOL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269</v>
      </c>
      <c r="B8" s="221" t="s">
        <v>124</v>
      </c>
      <c r="C8" s="222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127</v>
      </c>
      <c r="B10" s="681" t="s">
        <v>228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225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0</v>
      </c>
      <c r="D14" s="237">
        <v>279518</v>
      </c>
      <c r="E14" s="237">
        <f aca="true" t="shared" si="0" ref="E14:E24">D14-C14</f>
        <v>279518</v>
      </c>
      <c r="F14" s="238">
        <f aca="true" t="shared" si="1" ref="F14:F24">IF(C14=0,0,E14/C14)</f>
        <v>0</v>
      </c>
    </row>
    <row r="15" spans="1:6" ht="20.25" customHeight="1">
      <c r="A15" s="235">
        <v>2</v>
      </c>
      <c r="B15" s="236" t="s">
        <v>550</v>
      </c>
      <c r="C15" s="237">
        <v>0</v>
      </c>
      <c r="D15" s="237">
        <v>96469</v>
      </c>
      <c r="E15" s="237">
        <f t="shared" si="0"/>
        <v>96469</v>
      </c>
      <c r="F15" s="238">
        <f t="shared" si="1"/>
        <v>0</v>
      </c>
    </row>
    <row r="16" spans="1:6" ht="20.25" customHeight="1">
      <c r="A16" s="235">
        <v>3</v>
      </c>
      <c r="B16" s="236" t="s">
        <v>551</v>
      </c>
      <c r="C16" s="237">
        <v>0</v>
      </c>
      <c r="D16" s="237">
        <v>374380</v>
      </c>
      <c r="E16" s="237">
        <f t="shared" si="0"/>
        <v>374380</v>
      </c>
      <c r="F16" s="238">
        <f t="shared" si="1"/>
        <v>0</v>
      </c>
    </row>
    <row r="17" spans="1:6" ht="20.25" customHeight="1">
      <c r="A17" s="235">
        <v>4</v>
      </c>
      <c r="B17" s="236" t="s">
        <v>552</v>
      </c>
      <c r="C17" s="237">
        <v>0</v>
      </c>
      <c r="D17" s="237">
        <v>94011</v>
      </c>
      <c r="E17" s="237">
        <f t="shared" si="0"/>
        <v>94011</v>
      </c>
      <c r="F17" s="238">
        <f t="shared" si="1"/>
        <v>0</v>
      </c>
    </row>
    <row r="18" spans="1:6" ht="20.25" customHeight="1">
      <c r="A18" s="235">
        <v>5</v>
      </c>
      <c r="B18" s="236" t="s">
        <v>488</v>
      </c>
      <c r="C18" s="239">
        <v>0</v>
      </c>
      <c r="D18" s="239">
        <v>17</v>
      </c>
      <c r="E18" s="239">
        <f t="shared" si="0"/>
        <v>17</v>
      </c>
      <c r="F18" s="238">
        <f t="shared" si="1"/>
        <v>0</v>
      </c>
    </row>
    <row r="19" spans="1:6" ht="20.25" customHeight="1">
      <c r="A19" s="235">
        <v>6</v>
      </c>
      <c r="B19" s="236" t="s">
        <v>487</v>
      </c>
      <c r="C19" s="239">
        <v>0</v>
      </c>
      <c r="D19" s="239">
        <v>59</v>
      </c>
      <c r="E19" s="239">
        <f t="shared" si="0"/>
        <v>59</v>
      </c>
      <c r="F19" s="238">
        <f t="shared" si="1"/>
        <v>0</v>
      </c>
    </row>
    <row r="20" spans="1:6" ht="20.25" customHeight="1">
      <c r="A20" s="235">
        <v>7</v>
      </c>
      <c r="B20" s="236" t="s">
        <v>553</v>
      </c>
      <c r="C20" s="239">
        <v>0</v>
      </c>
      <c r="D20" s="239">
        <v>122</v>
      </c>
      <c r="E20" s="239">
        <f t="shared" si="0"/>
        <v>122</v>
      </c>
      <c r="F20" s="238">
        <f t="shared" si="1"/>
        <v>0</v>
      </c>
    </row>
    <row r="21" spans="1:6" ht="20.25" customHeight="1">
      <c r="A21" s="235">
        <v>8</v>
      </c>
      <c r="B21" s="236" t="s">
        <v>554</v>
      </c>
      <c r="C21" s="239">
        <v>0</v>
      </c>
      <c r="D21" s="239">
        <v>21</v>
      </c>
      <c r="E21" s="239">
        <f t="shared" si="0"/>
        <v>21</v>
      </c>
      <c r="F21" s="238">
        <f t="shared" si="1"/>
        <v>0</v>
      </c>
    </row>
    <row r="22" spans="1:6" ht="20.25" customHeight="1">
      <c r="A22" s="235">
        <v>9</v>
      </c>
      <c r="B22" s="236" t="s">
        <v>555</v>
      </c>
      <c r="C22" s="239">
        <v>0</v>
      </c>
      <c r="D22" s="239">
        <v>15</v>
      </c>
      <c r="E22" s="239">
        <f t="shared" si="0"/>
        <v>15</v>
      </c>
      <c r="F22" s="238">
        <f t="shared" si="1"/>
        <v>0</v>
      </c>
    </row>
    <row r="23" spans="1:6" s="240" customFormat="1" ht="20.25" customHeight="1">
      <c r="A23" s="241"/>
      <c r="B23" s="242" t="s">
        <v>556</v>
      </c>
      <c r="C23" s="243">
        <f>+C14+C16</f>
        <v>0</v>
      </c>
      <c r="D23" s="243">
        <f>+D14+D16</f>
        <v>653898</v>
      </c>
      <c r="E23" s="243">
        <f t="shared" si="0"/>
        <v>653898</v>
      </c>
      <c r="F23" s="244">
        <f t="shared" si="1"/>
        <v>0</v>
      </c>
    </row>
    <row r="24" spans="1:6" s="240" customFormat="1" ht="20.25" customHeight="1">
      <c r="A24" s="241"/>
      <c r="B24" s="242" t="s">
        <v>557</v>
      </c>
      <c r="C24" s="243">
        <f>+C15+C17</f>
        <v>0</v>
      </c>
      <c r="D24" s="243">
        <f>+D15+D17</f>
        <v>190480</v>
      </c>
      <c r="E24" s="243">
        <f t="shared" si="0"/>
        <v>190480</v>
      </c>
      <c r="F24" s="244">
        <f t="shared" si="1"/>
        <v>0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239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550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551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552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488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487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557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256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0</v>
      </c>
      <c r="D40" s="237">
        <v>2589209</v>
      </c>
      <c r="E40" s="237">
        <f aca="true" t="shared" si="4" ref="E40:E50">D40-C40</f>
        <v>2589209</v>
      </c>
      <c r="F40" s="238">
        <f aca="true" t="shared" si="5" ref="F40:F50">IF(C40=0,0,E40/C40)</f>
        <v>0</v>
      </c>
    </row>
    <row r="41" spans="1:6" ht="20.25" customHeight="1">
      <c r="A41" s="235">
        <v>2</v>
      </c>
      <c r="B41" s="236" t="s">
        <v>550</v>
      </c>
      <c r="C41" s="237">
        <v>0</v>
      </c>
      <c r="D41" s="237">
        <v>914837</v>
      </c>
      <c r="E41" s="237">
        <f t="shared" si="4"/>
        <v>914837</v>
      </c>
      <c r="F41" s="238">
        <f t="shared" si="5"/>
        <v>0</v>
      </c>
    </row>
    <row r="42" spans="1:6" ht="20.25" customHeight="1">
      <c r="A42" s="235">
        <v>3</v>
      </c>
      <c r="B42" s="236" t="s">
        <v>551</v>
      </c>
      <c r="C42" s="237">
        <v>0</v>
      </c>
      <c r="D42" s="237">
        <v>3370447</v>
      </c>
      <c r="E42" s="237">
        <f t="shared" si="4"/>
        <v>3370447</v>
      </c>
      <c r="F42" s="238">
        <f t="shared" si="5"/>
        <v>0</v>
      </c>
    </row>
    <row r="43" spans="1:6" ht="20.25" customHeight="1">
      <c r="A43" s="235">
        <v>4</v>
      </c>
      <c r="B43" s="236" t="s">
        <v>552</v>
      </c>
      <c r="C43" s="237">
        <v>0</v>
      </c>
      <c r="D43" s="237">
        <v>610093</v>
      </c>
      <c r="E43" s="237">
        <f t="shared" si="4"/>
        <v>610093</v>
      </c>
      <c r="F43" s="238">
        <f t="shared" si="5"/>
        <v>0</v>
      </c>
    </row>
    <row r="44" spans="1:6" ht="20.25" customHeight="1">
      <c r="A44" s="235">
        <v>5</v>
      </c>
      <c r="B44" s="236" t="s">
        <v>488</v>
      </c>
      <c r="C44" s="239">
        <v>0</v>
      </c>
      <c r="D44" s="239">
        <v>105</v>
      </c>
      <c r="E44" s="239">
        <f t="shared" si="4"/>
        <v>105</v>
      </c>
      <c r="F44" s="238">
        <f t="shared" si="5"/>
        <v>0</v>
      </c>
    </row>
    <row r="45" spans="1:6" ht="20.25" customHeight="1">
      <c r="A45" s="235">
        <v>6</v>
      </c>
      <c r="B45" s="236" t="s">
        <v>487</v>
      </c>
      <c r="C45" s="239">
        <v>0</v>
      </c>
      <c r="D45" s="239">
        <v>537</v>
      </c>
      <c r="E45" s="239">
        <f t="shared" si="4"/>
        <v>537</v>
      </c>
      <c r="F45" s="238">
        <f t="shared" si="5"/>
        <v>0</v>
      </c>
    </row>
    <row r="46" spans="1:6" ht="20.25" customHeight="1">
      <c r="A46" s="235">
        <v>7</v>
      </c>
      <c r="B46" s="236" t="s">
        <v>553</v>
      </c>
      <c r="C46" s="239">
        <v>0</v>
      </c>
      <c r="D46" s="239">
        <v>1432</v>
      </c>
      <c r="E46" s="239">
        <f t="shared" si="4"/>
        <v>1432</v>
      </c>
      <c r="F46" s="238">
        <f t="shared" si="5"/>
        <v>0</v>
      </c>
    </row>
    <row r="47" spans="1:6" ht="20.25" customHeight="1">
      <c r="A47" s="235">
        <v>8</v>
      </c>
      <c r="B47" s="236" t="s">
        <v>554</v>
      </c>
      <c r="C47" s="239">
        <v>0</v>
      </c>
      <c r="D47" s="239">
        <v>138</v>
      </c>
      <c r="E47" s="239">
        <f t="shared" si="4"/>
        <v>138</v>
      </c>
      <c r="F47" s="238">
        <f t="shared" si="5"/>
        <v>0</v>
      </c>
    </row>
    <row r="48" spans="1:6" ht="20.25" customHeight="1">
      <c r="A48" s="235">
        <v>9</v>
      </c>
      <c r="B48" s="236" t="s">
        <v>555</v>
      </c>
      <c r="C48" s="239">
        <v>0</v>
      </c>
      <c r="D48" s="239">
        <v>91</v>
      </c>
      <c r="E48" s="239">
        <f t="shared" si="4"/>
        <v>91</v>
      </c>
      <c r="F48" s="238">
        <f t="shared" si="5"/>
        <v>0</v>
      </c>
    </row>
    <row r="49" spans="1:6" s="240" customFormat="1" ht="20.25" customHeight="1">
      <c r="A49" s="241"/>
      <c r="B49" s="242" t="s">
        <v>556</v>
      </c>
      <c r="C49" s="243">
        <f>+C40+C42</f>
        <v>0</v>
      </c>
      <c r="D49" s="243">
        <f>+D40+D42</f>
        <v>5959656</v>
      </c>
      <c r="E49" s="243">
        <f t="shared" si="4"/>
        <v>5959656</v>
      </c>
      <c r="F49" s="244">
        <f t="shared" si="5"/>
        <v>0</v>
      </c>
    </row>
    <row r="50" spans="1:6" s="240" customFormat="1" ht="20.25" customHeight="1">
      <c r="A50" s="241"/>
      <c r="B50" s="242" t="s">
        <v>557</v>
      </c>
      <c r="C50" s="243">
        <f>+C41+C43</f>
        <v>0</v>
      </c>
      <c r="D50" s="243">
        <f>+D41+D43</f>
        <v>1524930</v>
      </c>
      <c r="E50" s="243">
        <f t="shared" si="4"/>
        <v>1524930</v>
      </c>
      <c r="F50" s="244">
        <f t="shared" si="5"/>
        <v>0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286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8000438</v>
      </c>
      <c r="D53" s="237">
        <v>7857376</v>
      </c>
      <c r="E53" s="237">
        <f aca="true" t="shared" si="6" ref="E53:E63">D53-C53</f>
        <v>-143062</v>
      </c>
      <c r="F53" s="238">
        <f aca="true" t="shared" si="7" ref="F53:F63">IF(C53=0,0,E53/C53)</f>
        <v>-0.017881770973039227</v>
      </c>
    </row>
    <row r="54" spans="1:6" ht="20.25" customHeight="1">
      <c r="A54" s="235">
        <v>2</v>
      </c>
      <c r="B54" s="236" t="s">
        <v>550</v>
      </c>
      <c r="C54" s="237">
        <v>2785680</v>
      </c>
      <c r="D54" s="237">
        <v>2766924</v>
      </c>
      <c r="E54" s="237">
        <f t="shared" si="6"/>
        <v>-18756</v>
      </c>
      <c r="F54" s="238">
        <f t="shared" si="7"/>
        <v>-0.00673300594468855</v>
      </c>
    </row>
    <row r="55" spans="1:6" ht="20.25" customHeight="1">
      <c r="A55" s="235">
        <v>3</v>
      </c>
      <c r="B55" s="236" t="s">
        <v>551</v>
      </c>
      <c r="C55" s="237">
        <v>7638918</v>
      </c>
      <c r="D55" s="237">
        <v>8116968</v>
      </c>
      <c r="E55" s="237">
        <f t="shared" si="6"/>
        <v>478050</v>
      </c>
      <c r="F55" s="238">
        <f t="shared" si="7"/>
        <v>0.06258085241915151</v>
      </c>
    </row>
    <row r="56" spans="1:6" ht="20.25" customHeight="1">
      <c r="A56" s="235">
        <v>4</v>
      </c>
      <c r="B56" s="236" t="s">
        <v>552</v>
      </c>
      <c r="C56" s="237">
        <v>1515882</v>
      </c>
      <c r="D56" s="237">
        <v>1612303</v>
      </c>
      <c r="E56" s="237">
        <f t="shared" si="6"/>
        <v>96421</v>
      </c>
      <c r="F56" s="238">
        <f t="shared" si="7"/>
        <v>0.06360719369977347</v>
      </c>
    </row>
    <row r="57" spans="1:6" ht="20.25" customHeight="1">
      <c r="A57" s="235">
        <v>5</v>
      </c>
      <c r="B57" s="236" t="s">
        <v>488</v>
      </c>
      <c r="C57" s="239">
        <v>329</v>
      </c>
      <c r="D57" s="239">
        <v>335</v>
      </c>
      <c r="E57" s="239">
        <f t="shared" si="6"/>
        <v>6</v>
      </c>
      <c r="F57" s="238">
        <f t="shared" si="7"/>
        <v>0.0182370820668693</v>
      </c>
    </row>
    <row r="58" spans="1:6" ht="20.25" customHeight="1">
      <c r="A58" s="235">
        <v>6</v>
      </c>
      <c r="B58" s="236" t="s">
        <v>487</v>
      </c>
      <c r="C58" s="239">
        <v>1667</v>
      </c>
      <c r="D58" s="239">
        <v>1707</v>
      </c>
      <c r="E58" s="239">
        <f t="shared" si="6"/>
        <v>40</v>
      </c>
      <c r="F58" s="238">
        <f t="shared" si="7"/>
        <v>0.02399520095980804</v>
      </c>
    </row>
    <row r="59" spans="1:6" ht="20.25" customHeight="1">
      <c r="A59" s="235">
        <v>7</v>
      </c>
      <c r="B59" s="236" t="s">
        <v>553</v>
      </c>
      <c r="C59" s="239">
        <v>3588</v>
      </c>
      <c r="D59" s="239">
        <v>3736</v>
      </c>
      <c r="E59" s="239">
        <f t="shared" si="6"/>
        <v>148</v>
      </c>
      <c r="F59" s="238">
        <f t="shared" si="7"/>
        <v>0.04124860646599777</v>
      </c>
    </row>
    <row r="60" spans="1:6" ht="20.25" customHeight="1">
      <c r="A60" s="235">
        <v>8</v>
      </c>
      <c r="B60" s="236" t="s">
        <v>554</v>
      </c>
      <c r="C60" s="239">
        <v>433</v>
      </c>
      <c r="D60" s="239">
        <v>454</v>
      </c>
      <c r="E60" s="239">
        <f t="shared" si="6"/>
        <v>21</v>
      </c>
      <c r="F60" s="238">
        <f t="shared" si="7"/>
        <v>0.04849884526558892</v>
      </c>
    </row>
    <row r="61" spans="1:6" ht="20.25" customHeight="1">
      <c r="A61" s="235">
        <v>9</v>
      </c>
      <c r="B61" s="236" t="s">
        <v>555</v>
      </c>
      <c r="C61" s="239">
        <v>286</v>
      </c>
      <c r="D61" s="239">
        <v>276</v>
      </c>
      <c r="E61" s="239">
        <f t="shared" si="6"/>
        <v>-10</v>
      </c>
      <c r="F61" s="238">
        <f t="shared" si="7"/>
        <v>-0.03496503496503497</v>
      </c>
    </row>
    <row r="62" spans="1:6" s="240" customFormat="1" ht="20.25" customHeight="1">
      <c r="A62" s="241"/>
      <c r="B62" s="242" t="s">
        <v>556</v>
      </c>
      <c r="C62" s="243">
        <f>+C53+C55</f>
        <v>15639356</v>
      </c>
      <c r="D62" s="243">
        <f>+D53+D55</f>
        <v>15974344</v>
      </c>
      <c r="E62" s="243">
        <f t="shared" si="6"/>
        <v>334988</v>
      </c>
      <c r="F62" s="244">
        <f t="shared" si="7"/>
        <v>0.021419552058281683</v>
      </c>
    </row>
    <row r="63" spans="1:6" s="240" customFormat="1" ht="20.25" customHeight="1">
      <c r="A63" s="241"/>
      <c r="B63" s="242" t="s">
        <v>557</v>
      </c>
      <c r="C63" s="243">
        <f>+C54+C56</f>
        <v>4301562</v>
      </c>
      <c r="D63" s="243">
        <f>+D54+D56</f>
        <v>4379227</v>
      </c>
      <c r="E63" s="243">
        <f t="shared" si="6"/>
        <v>77665</v>
      </c>
      <c r="F63" s="244">
        <f t="shared" si="7"/>
        <v>0.01805506929808288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291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1203408</v>
      </c>
      <c r="D66" s="237">
        <v>628831</v>
      </c>
      <c r="E66" s="237">
        <f aca="true" t="shared" si="8" ref="E66:E76">D66-C66</f>
        <v>-574577</v>
      </c>
      <c r="F66" s="238">
        <f aca="true" t="shared" si="9" ref="F66:F76">IF(C66=0,0,E66/C66)</f>
        <v>-0.4774581854200737</v>
      </c>
    </row>
    <row r="67" spans="1:6" ht="20.25" customHeight="1">
      <c r="A67" s="235">
        <v>2</v>
      </c>
      <c r="B67" s="236" t="s">
        <v>550</v>
      </c>
      <c r="C67" s="237">
        <v>665898</v>
      </c>
      <c r="D67" s="237">
        <v>173268</v>
      </c>
      <c r="E67" s="237">
        <f t="shared" si="8"/>
        <v>-492630</v>
      </c>
      <c r="F67" s="238">
        <f t="shared" si="9"/>
        <v>-0.7397979870791022</v>
      </c>
    </row>
    <row r="68" spans="1:6" ht="20.25" customHeight="1">
      <c r="A68" s="235">
        <v>3</v>
      </c>
      <c r="B68" s="236" t="s">
        <v>551</v>
      </c>
      <c r="C68" s="237">
        <v>1480838</v>
      </c>
      <c r="D68" s="237">
        <v>525460</v>
      </c>
      <c r="E68" s="237">
        <f t="shared" si="8"/>
        <v>-955378</v>
      </c>
      <c r="F68" s="238">
        <f t="shared" si="9"/>
        <v>-0.6451603754090589</v>
      </c>
    </row>
    <row r="69" spans="1:6" ht="20.25" customHeight="1">
      <c r="A69" s="235">
        <v>4</v>
      </c>
      <c r="B69" s="236" t="s">
        <v>552</v>
      </c>
      <c r="C69" s="237">
        <v>390643</v>
      </c>
      <c r="D69" s="237">
        <v>96627</v>
      </c>
      <c r="E69" s="237">
        <f t="shared" si="8"/>
        <v>-294016</v>
      </c>
      <c r="F69" s="238">
        <f t="shared" si="9"/>
        <v>-0.752646278059507</v>
      </c>
    </row>
    <row r="70" spans="1:6" ht="20.25" customHeight="1">
      <c r="A70" s="235">
        <v>5</v>
      </c>
      <c r="B70" s="236" t="s">
        <v>488</v>
      </c>
      <c r="C70" s="239">
        <v>89</v>
      </c>
      <c r="D70" s="239">
        <v>22</v>
      </c>
      <c r="E70" s="239">
        <f t="shared" si="8"/>
        <v>-67</v>
      </c>
      <c r="F70" s="238">
        <f t="shared" si="9"/>
        <v>-0.7528089887640449</v>
      </c>
    </row>
    <row r="71" spans="1:6" ht="20.25" customHeight="1">
      <c r="A71" s="235">
        <v>6</v>
      </c>
      <c r="B71" s="236" t="s">
        <v>487</v>
      </c>
      <c r="C71" s="239">
        <v>322</v>
      </c>
      <c r="D71" s="239">
        <v>144</v>
      </c>
      <c r="E71" s="239">
        <f t="shared" si="8"/>
        <v>-178</v>
      </c>
      <c r="F71" s="238">
        <f t="shared" si="9"/>
        <v>-0.5527950310559007</v>
      </c>
    </row>
    <row r="72" spans="1:6" ht="20.25" customHeight="1">
      <c r="A72" s="235">
        <v>7</v>
      </c>
      <c r="B72" s="236" t="s">
        <v>553</v>
      </c>
      <c r="C72" s="239">
        <v>767</v>
      </c>
      <c r="D72" s="239">
        <v>166</v>
      </c>
      <c r="E72" s="239">
        <f t="shared" si="8"/>
        <v>-601</v>
      </c>
      <c r="F72" s="238">
        <f t="shared" si="9"/>
        <v>-0.7835723598435462</v>
      </c>
    </row>
    <row r="73" spans="1:6" ht="20.25" customHeight="1">
      <c r="A73" s="235">
        <v>8</v>
      </c>
      <c r="B73" s="236" t="s">
        <v>554</v>
      </c>
      <c r="C73" s="239">
        <v>186</v>
      </c>
      <c r="D73" s="239">
        <v>47</v>
      </c>
      <c r="E73" s="239">
        <f t="shared" si="8"/>
        <v>-139</v>
      </c>
      <c r="F73" s="238">
        <f t="shared" si="9"/>
        <v>-0.7473118279569892</v>
      </c>
    </row>
    <row r="74" spans="1:6" ht="20.25" customHeight="1">
      <c r="A74" s="235">
        <v>9</v>
      </c>
      <c r="B74" s="236" t="s">
        <v>555</v>
      </c>
      <c r="C74" s="239">
        <v>70</v>
      </c>
      <c r="D74" s="239">
        <v>18</v>
      </c>
      <c r="E74" s="239">
        <f t="shared" si="8"/>
        <v>-52</v>
      </c>
      <c r="F74" s="238">
        <f t="shared" si="9"/>
        <v>-0.7428571428571429</v>
      </c>
    </row>
    <row r="75" spans="1:6" s="240" customFormat="1" ht="20.25" customHeight="1">
      <c r="A75" s="241"/>
      <c r="B75" s="242" t="s">
        <v>556</v>
      </c>
      <c r="C75" s="243">
        <f>+C66+C68</f>
        <v>2684246</v>
      </c>
      <c r="D75" s="243">
        <f>+D66+D68</f>
        <v>1154291</v>
      </c>
      <c r="E75" s="243">
        <f t="shared" si="8"/>
        <v>-1529955</v>
      </c>
      <c r="F75" s="244">
        <f t="shared" si="9"/>
        <v>-0.5699757026740471</v>
      </c>
    </row>
    <row r="76" spans="1:6" s="240" customFormat="1" ht="20.25" customHeight="1">
      <c r="A76" s="241"/>
      <c r="B76" s="242" t="s">
        <v>557</v>
      </c>
      <c r="C76" s="243">
        <f>+C67+C69</f>
        <v>1056541</v>
      </c>
      <c r="D76" s="243">
        <f>+D67+D69</f>
        <v>269895</v>
      </c>
      <c r="E76" s="243">
        <f t="shared" si="8"/>
        <v>-786646</v>
      </c>
      <c r="F76" s="244">
        <f t="shared" si="9"/>
        <v>-0.7445484841572642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297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550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551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552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488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487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553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554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557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299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0</v>
      </c>
      <c r="D92" s="237">
        <v>78735</v>
      </c>
      <c r="E92" s="237">
        <f aca="true" t="shared" si="12" ref="E92:E102">D92-C92</f>
        <v>78735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550</v>
      </c>
      <c r="C93" s="237">
        <v>0</v>
      </c>
      <c r="D93" s="237">
        <v>23592</v>
      </c>
      <c r="E93" s="237">
        <f t="shared" si="12"/>
        <v>23592</v>
      </c>
      <c r="F93" s="238">
        <f t="shared" si="13"/>
        <v>0</v>
      </c>
    </row>
    <row r="94" spans="1:6" ht="20.25" customHeight="1">
      <c r="A94" s="235">
        <v>3</v>
      </c>
      <c r="B94" s="236" t="s">
        <v>551</v>
      </c>
      <c r="C94" s="237">
        <v>0</v>
      </c>
      <c r="D94" s="237">
        <v>21513</v>
      </c>
      <c r="E94" s="237">
        <f t="shared" si="12"/>
        <v>21513</v>
      </c>
      <c r="F94" s="238">
        <f t="shared" si="13"/>
        <v>0</v>
      </c>
    </row>
    <row r="95" spans="1:6" ht="20.25" customHeight="1">
      <c r="A95" s="235">
        <v>4</v>
      </c>
      <c r="B95" s="236" t="s">
        <v>552</v>
      </c>
      <c r="C95" s="237">
        <v>0</v>
      </c>
      <c r="D95" s="237">
        <v>3972</v>
      </c>
      <c r="E95" s="237">
        <f t="shared" si="12"/>
        <v>3972</v>
      </c>
      <c r="F95" s="238">
        <f t="shared" si="13"/>
        <v>0</v>
      </c>
    </row>
    <row r="96" spans="1:6" ht="20.25" customHeight="1">
      <c r="A96" s="235">
        <v>5</v>
      </c>
      <c r="B96" s="236" t="s">
        <v>488</v>
      </c>
      <c r="C96" s="239">
        <v>0</v>
      </c>
      <c r="D96" s="239">
        <v>3</v>
      </c>
      <c r="E96" s="239">
        <f t="shared" si="12"/>
        <v>3</v>
      </c>
      <c r="F96" s="238">
        <f t="shared" si="13"/>
        <v>0</v>
      </c>
    </row>
    <row r="97" spans="1:6" ht="20.25" customHeight="1">
      <c r="A97" s="235">
        <v>6</v>
      </c>
      <c r="B97" s="236" t="s">
        <v>487</v>
      </c>
      <c r="C97" s="239">
        <v>0</v>
      </c>
      <c r="D97" s="239">
        <v>11</v>
      </c>
      <c r="E97" s="239">
        <f t="shared" si="12"/>
        <v>11</v>
      </c>
      <c r="F97" s="238">
        <f t="shared" si="13"/>
        <v>0</v>
      </c>
    </row>
    <row r="98" spans="1:6" ht="20.25" customHeight="1">
      <c r="A98" s="235">
        <v>7</v>
      </c>
      <c r="B98" s="236" t="s">
        <v>553</v>
      </c>
      <c r="C98" s="239">
        <v>0</v>
      </c>
      <c r="D98" s="239">
        <v>17</v>
      </c>
      <c r="E98" s="239">
        <f t="shared" si="12"/>
        <v>17</v>
      </c>
      <c r="F98" s="238">
        <f t="shared" si="13"/>
        <v>0</v>
      </c>
    </row>
    <row r="99" spans="1:6" ht="20.25" customHeight="1">
      <c r="A99" s="235">
        <v>8</v>
      </c>
      <c r="B99" s="236" t="s">
        <v>554</v>
      </c>
      <c r="C99" s="239">
        <v>0</v>
      </c>
      <c r="D99" s="239">
        <v>6</v>
      </c>
      <c r="E99" s="239">
        <f t="shared" si="12"/>
        <v>6</v>
      </c>
      <c r="F99" s="238">
        <f t="shared" si="13"/>
        <v>0</v>
      </c>
    </row>
    <row r="100" spans="1:6" ht="20.25" customHeight="1">
      <c r="A100" s="235">
        <v>9</v>
      </c>
      <c r="B100" s="236" t="s">
        <v>555</v>
      </c>
      <c r="C100" s="239">
        <v>0</v>
      </c>
      <c r="D100" s="239">
        <v>2</v>
      </c>
      <c r="E100" s="239">
        <f t="shared" si="12"/>
        <v>2</v>
      </c>
      <c r="F100" s="238">
        <f t="shared" si="13"/>
        <v>0</v>
      </c>
    </row>
    <row r="101" spans="1:6" s="240" customFormat="1" ht="20.25" customHeight="1">
      <c r="A101" s="241"/>
      <c r="B101" s="242" t="s">
        <v>556</v>
      </c>
      <c r="C101" s="243">
        <f>+C92+C94</f>
        <v>0</v>
      </c>
      <c r="D101" s="243">
        <f>+D92+D94</f>
        <v>100248</v>
      </c>
      <c r="E101" s="243">
        <f t="shared" si="12"/>
        <v>100248</v>
      </c>
      <c r="F101" s="244">
        <f t="shared" si="13"/>
        <v>0</v>
      </c>
    </row>
    <row r="102" spans="1:6" s="240" customFormat="1" ht="20.25" customHeight="1">
      <c r="A102" s="241"/>
      <c r="B102" s="242" t="s">
        <v>557</v>
      </c>
      <c r="C102" s="243">
        <f>+C93+C95</f>
        <v>0</v>
      </c>
      <c r="D102" s="243">
        <f>+D93+D95</f>
        <v>27564</v>
      </c>
      <c r="E102" s="243">
        <f t="shared" si="12"/>
        <v>27564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302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254671</v>
      </c>
      <c r="D105" s="237">
        <v>493474</v>
      </c>
      <c r="E105" s="237">
        <f aca="true" t="shared" si="14" ref="E105:E115">D105-C105</f>
        <v>238803</v>
      </c>
      <c r="F105" s="238">
        <f aca="true" t="shared" si="15" ref="F105:F115">IF(C105=0,0,E105/C105)</f>
        <v>0.9376921596883823</v>
      </c>
    </row>
    <row r="106" spans="1:6" ht="20.25" customHeight="1">
      <c r="A106" s="235">
        <v>2</v>
      </c>
      <c r="B106" s="236" t="s">
        <v>550</v>
      </c>
      <c r="C106" s="237">
        <v>103689</v>
      </c>
      <c r="D106" s="237">
        <v>125527</v>
      </c>
      <c r="E106" s="237">
        <f t="shared" si="14"/>
        <v>21838</v>
      </c>
      <c r="F106" s="238">
        <f t="shared" si="15"/>
        <v>0.21061057585664825</v>
      </c>
    </row>
    <row r="107" spans="1:6" ht="20.25" customHeight="1">
      <c r="A107" s="235">
        <v>3</v>
      </c>
      <c r="B107" s="236" t="s">
        <v>551</v>
      </c>
      <c r="C107" s="237">
        <v>272379</v>
      </c>
      <c r="D107" s="237">
        <v>426670</v>
      </c>
      <c r="E107" s="237">
        <f t="shared" si="14"/>
        <v>154291</v>
      </c>
      <c r="F107" s="238">
        <f t="shared" si="15"/>
        <v>0.5664570322969098</v>
      </c>
    </row>
    <row r="108" spans="1:6" ht="20.25" customHeight="1">
      <c r="A108" s="235">
        <v>4</v>
      </c>
      <c r="B108" s="236" t="s">
        <v>552</v>
      </c>
      <c r="C108" s="237">
        <v>65895</v>
      </c>
      <c r="D108" s="237">
        <v>78878</v>
      </c>
      <c r="E108" s="237">
        <f t="shared" si="14"/>
        <v>12983</v>
      </c>
      <c r="F108" s="238">
        <f t="shared" si="15"/>
        <v>0.19702557098414145</v>
      </c>
    </row>
    <row r="109" spans="1:6" ht="20.25" customHeight="1">
      <c r="A109" s="235">
        <v>5</v>
      </c>
      <c r="B109" s="236" t="s">
        <v>488</v>
      </c>
      <c r="C109" s="239">
        <v>18</v>
      </c>
      <c r="D109" s="239">
        <v>21</v>
      </c>
      <c r="E109" s="239">
        <f t="shared" si="14"/>
        <v>3</v>
      </c>
      <c r="F109" s="238">
        <f t="shared" si="15"/>
        <v>0.16666666666666666</v>
      </c>
    </row>
    <row r="110" spans="1:6" ht="20.25" customHeight="1">
      <c r="A110" s="235">
        <v>6</v>
      </c>
      <c r="B110" s="236" t="s">
        <v>487</v>
      </c>
      <c r="C110" s="239">
        <v>82</v>
      </c>
      <c r="D110" s="239">
        <v>109</v>
      </c>
      <c r="E110" s="239">
        <f t="shared" si="14"/>
        <v>27</v>
      </c>
      <c r="F110" s="238">
        <f t="shared" si="15"/>
        <v>0.32926829268292684</v>
      </c>
    </row>
    <row r="111" spans="1:6" ht="20.25" customHeight="1">
      <c r="A111" s="235">
        <v>7</v>
      </c>
      <c r="B111" s="236" t="s">
        <v>553</v>
      </c>
      <c r="C111" s="239">
        <v>187</v>
      </c>
      <c r="D111" s="239">
        <v>275</v>
      </c>
      <c r="E111" s="239">
        <f t="shared" si="14"/>
        <v>88</v>
      </c>
      <c r="F111" s="238">
        <f t="shared" si="15"/>
        <v>0.47058823529411764</v>
      </c>
    </row>
    <row r="112" spans="1:6" ht="20.25" customHeight="1">
      <c r="A112" s="235">
        <v>8</v>
      </c>
      <c r="B112" s="236" t="s">
        <v>554</v>
      </c>
      <c r="C112" s="239">
        <v>76</v>
      </c>
      <c r="D112" s="239">
        <v>97</v>
      </c>
      <c r="E112" s="239">
        <f t="shared" si="14"/>
        <v>21</v>
      </c>
      <c r="F112" s="238">
        <f t="shared" si="15"/>
        <v>0.27631578947368424</v>
      </c>
    </row>
    <row r="113" spans="1:6" ht="20.25" customHeight="1">
      <c r="A113" s="235">
        <v>9</v>
      </c>
      <c r="B113" s="236" t="s">
        <v>555</v>
      </c>
      <c r="C113" s="239">
        <v>15</v>
      </c>
      <c r="D113" s="239">
        <v>20</v>
      </c>
      <c r="E113" s="239">
        <f t="shared" si="14"/>
        <v>5</v>
      </c>
      <c r="F113" s="238">
        <f t="shared" si="15"/>
        <v>0.3333333333333333</v>
      </c>
    </row>
    <row r="114" spans="1:6" s="240" customFormat="1" ht="20.25" customHeight="1">
      <c r="A114" s="241"/>
      <c r="B114" s="242" t="s">
        <v>556</v>
      </c>
      <c r="C114" s="243">
        <f>+C105+C107</f>
        <v>527050</v>
      </c>
      <c r="D114" s="243">
        <f>+D105+D107</f>
        <v>920144</v>
      </c>
      <c r="E114" s="243">
        <f t="shared" si="14"/>
        <v>393094</v>
      </c>
      <c r="F114" s="244">
        <f t="shared" si="15"/>
        <v>0.7458381557726971</v>
      </c>
    </row>
    <row r="115" spans="1:6" s="240" customFormat="1" ht="20.25" customHeight="1">
      <c r="A115" s="241"/>
      <c r="B115" s="242" t="s">
        <v>557</v>
      </c>
      <c r="C115" s="243">
        <f>+C106+C108</f>
        <v>169584</v>
      </c>
      <c r="D115" s="243">
        <f>+D106+D108</f>
        <v>204405</v>
      </c>
      <c r="E115" s="243">
        <f t="shared" si="14"/>
        <v>34821</v>
      </c>
      <c r="F115" s="244">
        <f t="shared" si="15"/>
        <v>0.20533187093121993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305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0</v>
      </c>
      <c r="D118" s="237">
        <v>478002</v>
      </c>
      <c r="E118" s="237">
        <f aca="true" t="shared" si="16" ref="E118:E128">D118-C118</f>
        <v>478002</v>
      </c>
      <c r="F118" s="238">
        <f aca="true" t="shared" si="17" ref="F118:F128">IF(C118=0,0,E118/C118)</f>
        <v>0</v>
      </c>
    </row>
    <row r="119" spans="1:6" ht="20.25" customHeight="1">
      <c r="A119" s="235">
        <v>2</v>
      </c>
      <c r="B119" s="236" t="s">
        <v>550</v>
      </c>
      <c r="C119" s="237">
        <v>0</v>
      </c>
      <c r="D119" s="237">
        <v>198690</v>
      </c>
      <c r="E119" s="237">
        <f t="shared" si="16"/>
        <v>198690</v>
      </c>
      <c r="F119" s="238">
        <f t="shared" si="17"/>
        <v>0</v>
      </c>
    </row>
    <row r="120" spans="1:6" ht="20.25" customHeight="1">
      <c r="A120" s="235">
        <v>3</v>
      </c>
      <c r="B120" s="236" t="s">
        <v>551</v>
      </c>
      <c r="C120" s="237">
        <v>0</v>
      </c>
      <c r="D120" s="237">
        <v>381495</v>
      </c>
      <c r="E120" s="237">
        <f t="shared" si="16"/>
        <v>381495</v>
      </c>
      <c r="F120" s="238">
        <f t="shared" si="17"/>
        <v>0</v>
      </c>
    </row>
    <row r="121" spans="1:6" ht="20.25" customHeight="1">
      <c r="A121" s="235">
        <v>4</v>
      </c>
      <c r="B121" s="236" t="s">
        <v>552</v>
      </c>
      <c r="C121" s="237">
        <v>0</v>
      </c>
      <c r="D121" s="237">
        <v>95576</v>
      </c>
      <c r="E121" s="237">
        <f t="shared" si="16"/>
        <v>95576</v>
      </c>
      <c r="F121" s="238">
        <f t="shared" si="17"/>
        <v>0</v>
      </c>
    </row>
    <row r="122" spans="1:6" ht="20.25" customHeight="1">
      <c r="A122" s="235">
        <v>5</v>
      </c>
      <c r="B122" s="236" t="s">
        <v>488</v>
      </c>
      <c r="C122" s="239">
        <v>0</v>
      </c>
      <c r="D122" s="239">
        <v>17</v>
      </c>
      <c r="E122" s="239">
        <f t="shared" si="16"/>
        <v>17</v>
      </c>
      <c r="F122" s="238">
        <f t="shared" si="17"/>
        <v>0</v>
      </c>
    </row>
    <row r="123" spans="1:6" ht="20.25" customHeight="1">
      <c r="A123" s="235">
        <v>6</v>
      </c>
      <c r="B123" s="236" t="s">
        <v>487</v>
      </c>
      <c r="C123" s="239">
        <v>0</v>
      </c>
      <c r="D123" s="239">
        <v>112</v>
      </c>
      <c r="E123" s="239">
        <f t="shared" si="16"/>
        <v>112</v>
      </c>
      <c r="F123" s="238">
        <f t="shared" si="17"/>
        <v>0</v>
      </c>
    </row>
    <row r="124" spans="1:6" ht="20.25" customHeight="1">
      <c r="A124" s="235">
        <v>7</v>
      </c>
      <c r="B124" s="236" t="s">
        <v>553</v>
      </c>
      <c r="C124" s="239">
        <v>0</v>
      </c>
      <c r="D124" s="239">
        <v>260</v>
      </c>
      <c r="E124" s="239">
        <f t="shared" si="16"/>
        <v>260</v>
      </c>
      <c r="F124" s="238">
        <f t="shared" si="17"/>
        <v>0</v>
      </c>
    </row>
    <row r="125" spans="1:6" ht="20.25" customHeight="1">
      <c r="A125" s="235">
        <v>8</v>
      </c>
      <c r="B125" s="236" t="s">
        <v>554</v>
      </c>
      <c r="C125" s="239">
        <v>0</v>
      </c>
      <c r="D125" s="239">
        <v>34</v>
      </c>
      <c r="E125" s="239">
        <f t="shared" si="16"/>
        <v>34</v>
      </c>
      <c r="F125" s="238">
        <f t="shared" si="17"/>
        <v>0</v>
      </c>
    </row>
    <row r="126" spans="1:6" ht="20.25" customHeight="1">
      <c r="A126" s="235">
        <v>9</v>
      </c>
      <c r="B126" s="236" t="s">
        <v>555</v>
      </c>
      <c r="C126" s="239">
        <v>0</v>
      </c>
      <c r="D126" s="239">
        <v>15</v>
      </c>
      <c r="E126" s="239">
        <f t="shared" si="16"/>
        <v>15</v>
      </c>
      <c r="F126" s="238">
        <f t="shared" si="17"/>
        <v>0</v>
      </c>
    </row>
    <row r="127" spans="1:6" s="240" customFormat="1" ht="20.25" customHeight="1">
      <c r="A127" s="241"/>
      <c r="B127" s="242" t="s">
        <v>556</v>
      </c>
      <c r="C127" s="243">
        <f>+C118+C120</f>
        <v>0</v>
      </c>
      <c r="D127" s="243">
        <f>+D118+D120</f>
        <v>859497</v>
      </c>
      <c r="E127" s="243">
        <f t="shared" si="16"/>
        <v>859497</v>
      </c>
      <c r="F127" s="244">
        <f t="shared" si="17"/>
        <v>0</v>
      </c>
    </row>
    <row r="128" spans="1:6" s="240" customFormat="1" ht="20.25" customHeight="1">
      <c r="A128" s="241"/>
      <c r="B128" s="242" t="s">
        <v>557</v>
      </c>
      <c r="C128" s="243">
        <f>+C119+C121</f>
        <v>0</v>
      </c>
      <c r="D128" s="243">
        <f>+D119+D121</f>
        <v>294266</v>
      </c>
      <c r="E128" s="243">
        <f t="shared" si="16"/>
        <v>294266</v>
      </c>
      <c r="F128" s="244">
        <f t="shared" si="17"/>
        <v>0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314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0</v>
      </c>
      <c r="D131" s="237">
        <v>27088</v>
      </c>
      <c r="E131" s="237">
        <f aca="true" t="shared" si="18" ref="E131:E141">D131-C131</f>
        <v>27088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550</v>
      </c>
      <c r="C132" s="237">
        <v>0</v>
      </c>
      <c r="D132" s="237">
        <v>14002</v>
      </c>
      <c r="E132" s="237">
        <f t="shared" si="18"/>
        <v>14002</v>
      </c>
      <c r="F132" s="238">
        <f t="shared" si="19"/>
        <v>0</v>
      </c>
    </row>
    <row r="133" spans="1:6" ht="20.25" customHeight="1">
      <c r="A133" s="235">
        <v>3</v>
      </c>
      <c r="B133" s="236" t="s">
        <v>551</v>
      </c>
      <c r="C133" s="237">
        <v>0</v>
      </c>
      <c r="D133" s="237">
        <v>18255</v>
      </c>
      <c r="E133" s="237">
        <f t="shared" si="18"/>
        <v>18255</v>
      </c>
      <c r="F133" s="238">
        <f t="shared" si="19"/>
        <v>0</v>
      </c>
    </row>
    <row r="134" spans="1:6" ht="20.25" customHeight="1">
      <c r="A134" s="235">
        <v>4</v>
      </c>
      <c r="B134" s="236" t="s">
        <v>552</v>
      </c>
      <c r="C134" s="237">
        <v>0</v>
      </c>
      <c r="D134" s="237">
        <v>8628</v>
      </c>
      <c r="E134" s="237">
        <f t="shared" si="18"/>
        <v>8628</v>
      </c>
      <c r="F134" s="238">
        <f t="shared" si="19"/>
        <v>0</v>
      </c>
    </row>
    <row r="135" spans="1:6" ht="20.25" customHeight="1">
      <c r="A135" s="235">
        <v>5</v>
      </c>
      <c r="B135" s="236" t="s">
        <v>488</v>
      </c>
      <c r="C135" s="239">
        <v>0</v>
      </c>
      <c r="D135" s="239">
        <v>1</v>
      </c>
      <c r="E135" s="239">
        <f t="shared" si="18"/>
        <v>1</v>
      </c>
      <c r="F135" s="238">
        <f t="shared" si="19"/>
        <v>0</v>
      </c>
    </row>
    <row r="136" spans="1:6" ht="20.25" customHeight="1">
      <c r="A136" s="235">
        <v>6</v>
      </c>
      <c r="B136" s="236" t="s">
        <v>487</v>
      </c>
      <c r="C136" s="239">
        <v>0</v>
      </c>
      <c r="D136" s="239">
        <v>3</v>
      </c>
      <c r="E136" s="239">
        <f t="shared" si="18"/>
        <v>3</v>
      </c>
      <c r="F136" s="238">
        <f t="shared" si="19"/>
        <v>0</v>
      </c>
    </row>
    <row r="137" spans="1:6" ht="20.25" customHeight="1">
      <c r="A137" s="235">
        <v>7</v>
      </c>
      <c r="B137" s="236" t="s">
        <v>553</v>
      </c>
      <c r="C137" s="239">
        <v>0</v>
      </c>
      <c r="D137" s="239">
        <v>10</v>
      </c>
      <c r="E137" s="239">
        <f t="shared" si="18"/>
        <v>10</v>
      </c>
      <c r="F137" s="238">
        <f t="shared" si="19"/>
        <v>0</v>
      </c>
    </row>
    <row r="138" spans="1:6" ht="20.25" customHeight="1">
      <c r="A138" s="235">
        <v>8</v>
      </c>
      <c r="B138" s="236" t="s">
        <v>554</v>
      </c>
      <c r="C138" s="239">
        <v>0</v>
      </c>
      <c r="D138" s="239">
        <v>6</v>
      </c>
      <c r="E138" s="239">
        <f t="shared" si="18"/>
        <v>6</v>
      </c>
      <c r="F138" s="238">
        <f t="shared" si="19"/>
        <v>0</v>
      </c>
    </row>
    <row r="139" spans="1:6" ht="20.25" customHeight="1">
      <c r="A139" s="235">
        <v>9</v>
      </c>
      <c r="B139" s="236" t="s">
        <v>555</v>
      </c>
      <c r="C139" s="239">
        <v>0</v>
      </c>
      <c r="D139" s="239">
        <v>1</v>
      </c>
      <c r="E139" s="239">
        <f t="shared" si="18"/>
        <v>1</v>
      </c>
      <c r="F139" s="238">
        <f t="shared" si="19"/>
        <v>0</v>
      </c>
    </row>
    <row r="140" spans="1:6" s="240" customFormat="1" ht="20.25" customHeight="1">
      <c r="A140" s="241"/>
      <c r="B140" s="242" t="s">
        <v>556</v>
      </c>
      <c r="C140" s="243">
        <f>+C131+C133</f>
        <v>0</v>
      </c>
      <c r="D140" s="243">
        <f>+D131+D133</f>
        <v>45343</v>
      </c>
      <c r="E140" s="243">
        <f t="shared" si="18"/>
        <v>45343</v>
      </c>
      <c r="F140" s="244">
        <f t="shared" si="19"/>
        <v>0</v>
      </c>
    </row>
    <row r="141" spans="1:6" s="240" customFormat="1" ht="20.25" customHeight="1">
      <c r="A141" s="241"/>
      <c r="B141" s="242" t="s">
        <v>557</v>
      </c>
      <c r="C141" s="243">
        <f>+C132+C134</f>
        <v>0</v>
      </c>
      <c r="D141" s="243">
        <f>+D132+D134</f>
        <v>22630</v>
      </c>
      <c r="E141" s="243">
        <f t="shared" si="18"/>
        <v>22630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333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552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554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555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557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552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557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0</v>
      </c>
      <c r="D183" s="237">
        <v>869270</v>
      </c>
      <c r="E183" s="237">
        <f aca="true" t="shared" si="26" ref="E183:E193">D183-C183</f>
        <v>869270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550</v>
      </c>
      <c r="C184" s="237">
        <v>0</v>
      </c>
      <c r="D184" s="237">
        <v>317237</v>
      </c>
      <c r="E184" s="237">
        <f t="shared" si="26"/>
        <v>317237</v>
      </c>
      <c r="F184" s="238">
        <f t="shared" si="27"/>
        <v>0</v>
      </c>
    </row>
    <row r="185" spans="1:6" ht="20.25" customHeight="1">
      <c r="A185" s="235">
        <v>3</v>
      </c>
      <c r="B185" s="236" t="s">
        <v>551</v>
      </c>
      <c r="C185" s="237">
        <v>0</v>
      </c>
      <c r="D185" s="237">
        <v>809421</v>
      </c>
      <c r="E185" s="237">
        <f t="shared" si="26"/>
        <v>809421</v>
      </c>
      <c r="F185" s="238">
        <f t="shared" si="27"/>
        <v>0</v>
      </c>
    </row>
    <row r="186" spans="1:6" ht="20.25" customHeight="1">
      <c r="A186" s="235">
        <v>4</v>
      </c>
      <c r="B186" s="236" t="s">
        <v>552</v>
      </c>
      <c r="C186" s="237">
        <v>0</v>
      </c>
      <c r="D186" s="237">
        <v>156233</v>
      </c>
      <c r="E186" s="237">
        <f t="shared" si="26"/>
        <v>156233</v>
      </c>
      <c r="F186" s="238">
        <f t="shared" si="27"/>
        <v>0</v>
      </c>
    </row>
    <row r="187" spans="1:6" ht="20.25" customHeight="1">
      <c r="A187" s="235">
        <v>5</v>
      </c>
      <c r="B187" s="236" t="s">
        <v>488</v>
      </c>
      <c r="C187" s="239">
        <v>0</v>
      </c>
      <c r="D187" s="239">
        <v>46</v>
      </c>
      <c r="E187" s="239">
        <f t="shared" si="26"/>
        <v>46</v>
      </c>
      <c r="F187" s="238">
        <f t="shared" si="27"/>
        <v>0</v>
      </c>
    </row>
    <row r="188" spans="1:6" ht="20.25" customHeight="1">
      <c r="A188" s="235">
        <v>6</v>
      </c>
      <c r="B188" s="236" t="s">
        <v>487</v>
      </c>
      <c r="C188" s="239">
        <v>0</v>
      </c>
      <c r="D188" s="239">
        <v>213</v>
      </c>
      <c r="E188" s="239">
        <f t="shared" si="26"/>
        <v>213</v>
      </c>
      <c r="F188" s="238">
        <f t="shared" si="27"/>
        <v>0</v>
      </c>
    </row>
    <row r="189" spans="1:6" ht="20.25" customHeight="1">
      <c r="A189" s="235">
        <v>7</v>
      </c>
      <c r="B189" s="236" t="s">
        <v>553</v>
      </c>
      <c r="C189" s="239">
        <v>0</v>
      </c>
      <c r="D189" s="239">
        <v>412</v>
      </c>
      <c r="E189" s="239">
        <f t="shared" si="26"/>
        <v>412</v>
      </c>
      <c r="F189" s="238">
        <f t="shared" si="27"/>
        <v>0</v>
      </c>
    </row>
    <row r="190" spans="1:6" ht="20.25" customHeight="1">
      <c r="A190" s="235">
        <v>8</v>
      </c>
      <c r="B190" s="236" t="s">
        <v>554</v>
      </c>
      <c r="C190" s="239">
        <v>0</v>
      </c>
      <c r="D190" s="239">
        <v>112</v>
      </c>
      <c r="E190" s="239">
        <f t="shared" si="26"/>
        <v>112</v>
      </c>
      <c r="F190" s="238">
        <f t="shared" si="27"/>
        <v>0</v>
      </c>
    </row>
    <row r="191" spans="1:6" ht="20.25" customHeight="1">
      <c r="A191" s="235">
        <v>9</v>
      </c>
      <c r="B191" s="236" t="s">
        <v>555</v>
      </c>
      <c r="C191" s="239">
        <v>0</v>
      </c>
      <c r="D191" s="239">
        <v>46</v>
      </c>
      <c r="E191" s="239">
        <f t="shared" si="26"/>
        <v>46</v>
      </c>
      <c r="F191" s="238">
        <f t="shared" si="27"/>
        <v>0</v>
      </c>
    </row>
    <row r="192" spans="1:6" s="240" customFormat="1" ht="20.25" customHeight="1">
      <c r="A192" s="241"/>
      <c r="B192" s="242" t="s">
        <v>556</v>
      </c>
      <c r="C192" s="243">
        <f>+C183+C185</f>
        <v>0</v>
      </c>
      <c r="D192" s="243">
        <f>+D183+D185</f>
        <v>1678691</v>
      </c>
      <c r="E192" s="243">
        <f t="shared" si="26"/>
        <v>1678691</v>
      </c>
      <c r="F192" s="244">
        <f t="shared" si="27"/>
        <v>0</v>
      </c>
    </row>
    <row r="193" spans="1:6" s="240" customFormat="1" ht="20.25" customHeight="1">
      <c r="A193" s="241"/>
      <c r="B193" s="242" t="s">
        <v>557</v>
      </c>
      <c r="C193" s="243">
        <f>+C184+C186</f>
        <v>0</v>
      </c>
      <c r="D193" s="243">
        <f>+D184+D186</f>
        <v>473470</v>
      </c>
      <c r="E193" s="243">
        <f t="shared" si="26"/>
        <v>473470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159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9458517</v>
      </c>
      <c r="D198" s="243">
        <f t="shared" si="28"/>
        <v>13301503</v>
      </c>
      <c r="E198" s="243">
        <f aca="true" t="shared" si="29" ref="E198:E208">D198-C198</f>
        <v>3842986</v>
      </c>
      <c r="F198" s="251">
        <f aca="true" t="shared" si="30" ref="F198:F208">IF(C198=0,0,E198/C198)</f>
        <v>0.4062990001498121</v>
      </c>
    </row>
    <row r="199" spans="1:6" ht="20.25" customHeight="1">
      <c r="A199" s="249"/>
      <c r="B199" s="250" t="s">
        <v>576</v>
      </c>
      <c r="C199" s="243">
        <f t="shared" si="28"/>
        <v>3555267</v>
      </c>
      <c r="D199" s="243">
        <f t="shared" si="28"/>
        <v>4630546</v>
      </c>
      <c r="E199" s="243">
        <f t="shared" si="29"/>
        <v>1075279</v>
      </c>
      <c r="F199" s="251">
        <f t="shared" si="30"/>
        <v>0.3024467641952067</v>
      </c>
    </row>
    <row r="200" spans="1:6" ht="20.25" customHeight="1">
      <c r="A200" s="249"/>
      <c r="B200" s="250" t="s">
        <v>577</v>
      </c>
      <c r="C200" s="243">
        <f t="shared" si="28"/>
        <v>9392135</v>
      </c>
      <c r="D200" s="243">
        <f t="shared" si="28"/>
        <v>14044609</v>
      </c>
      <c r="E200" s="243">
        <f t="shared" si="29"/>
        <v>4652474</v>
      </c>
      <c r="F200" s="251">
        <f t="shared" si="30"/>
        <v>0.49535851007252346</v>
      </c>
    </row>
    <row r="201" spans="1:6" ht="20.25" customHeight="1">
      <c r="A201" s="249"/>
      <c r="B201" s="250" t="s">
        <v>578</v>
      </c>
      <c r="C201" s="243">
        <f t="shared" si="28"/>
        <v>1972420</v>
      </c>
      <c r="D201" s="243">
        <f t="shared" si="28"/>
        <v>2756321</v>
      </c>
      <c r="E201" s="243">
        <f t="shared" si="29"/>
        <v>783901</v>
      </c>
      <c r="F201" s="251">
        <f t="shared" si="30"/>
        <v>0.3974310745175977</v>
      </c>
    </row>
    <row r="202" spans="1:6" ht="20.25" customHeight="1">
      <c r="A202" s="249"/>
      <c r="B202" s="250" t="s">
        <v>579</v>
      </c>
      <c r="C202" s="252">
        <f t="shared" si="28"/>
        <v>436</v>
      </c>
      <c r="D202" s="252">
        <f t="shared" si="28"/>
        <v>567</v>
      </c>
      <c r="E202" s="252">
        <f t="shared" si="29"/>
        <v>131</v>
      </c>
      <c r="F202" s="251">
        <f t="shared" si="30"/>
        <v>0.30045871559633025</v>
      </c>
    </row>
    <row r="203" spans="1:6" ht="20.25" customHeight="1">
      <c r="A203" s="249"/>
      <c r="B203" s="250" t="s">
        <v>580</v>
      </c>
      <c r="C203" s="252">
        <f t="shared" si="28"/>
        <v>2071</v>
      </c>
      <c r="D203" s="252">
        <f t="shared" si="28"/>
        <v>2895</v>
      </c>
      <c r="E203" s="252">
        <f t="shared" si="29"/>
        <v>824</v>
      </c>
      <c r="F203" s="251">
        <f t="shared" si="30"/>
        <v>0.39787542250120717</v>
      </c>
    </row>
    <row r="204" spans="1:6" ht="39.75" customHeight="1">
      <c r="A204" s="249"/>
      <c r="B204" s="250" t="s">
        <v>581</v>
      </c>
      <c r="C204" s="252">
        <f t="shared" si="28"/>
        <v>4542</v>
      </c>
      <c r="D204" s="252">
        <f t="shared" si="28"/>
        <v>6430</v>
      </c>
      <c r="E204" s="252">
        <f t="shared" si="29"/>
        <v>1888</v>
      </c>
      <c r="F204" s="251">
        <f t="shared" si="30"/>
        <v>0.41567591369440776</v>
      </c>
    </row>
    <row r="205" spans="1:6" ht="39.75" customHeight="1">
      <c r="A205" s="249"/>
      <c r="B205" s="250" t="s">
        <v>582</v>
      </c>
      <c r="C205" s="252">
        <f t="shared" si="28"/>
        <v>695</v>
      </c>
      <c r="D205" s="252">
        <f t="shared" si="28"/>
        <v>915</v>
      </c>
      <c r="E205" s="252">
        <f t="shared" si="29"/>
        <v>220</v>
      </c>
      <c r="F205" s="251">
        <f t="shared" si="30"/>
        <v>0.31654676258992803</v>
      </c>
    </row>
    <row r="206" spans="1:6" ht="39.75" customHeight="1">
      <c r="A206" s="249"/>
      <c r="B206" s="250" t="s">
        <v>583</v>
      </c>
      <c r="C206" s="252">
        <f t="shared" si="28"/>
        <v>371</v>
      </c>
      <c r="D206" s="252">
        <f t="shared" si="28"/>
        <v>484</v>
      </c>
      <c r="E206" s="252">
        <f t="shared" si="29"/>
        <v>113</v>
      </c>
      <c r="F206" s="251">
        <f t="shared" si="30"/>
        <v>0.3045822102425876</v>
      </c>
    </row>
    <row r="207" spans="1:6" ht="20.25" customHeight="1">
      <c r="A207" s="249"/>
      <c r="B207" s="242" t="s">
        <v>584</v>
      </c>
      <c r="C207" s="243">
        <f>+C198+C200</f>
        <v>18850652</v>
      </c>
      <c r="D207" s="243">
        <f>+D198+D200</f>
        <v>27346112</v>
      </c>
      <c r="E207" s="243">
        <f t="shared" si="29"/>
        <v>8495460</v>
      </c>
      <c r="F207" s="251">
        <f t="shared" si="30"/>
        <v>0.45067194492795265</v>
      </c>
    </row>
    <row r="208" spans="1:6" ht="20.25" customHeight="1">
      <c r="A208" s="249"/>
      <c r="B208" s="242" t="s">
        <v>585</v>
      </c>
      <c r="C208" s="243">
        <f>+C199+C201</f>
        <v>5527687</v>
      </c>
      <c r="D208" s="243">
        <f>+D199+D201</f>
        <v>7386867</v>
      </c>
      <c r="E208" s="243">
        <f t="shared" si="29"/>
        <v>1859180</v>
      </c>
      <c r="F208" s="251">
        <f t="shared" si="30"/>
        <v>0.33633959375775074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FILING&amp;RBRISTOL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127</v>
      </c>
      <c r="B10" s="689" t="s">
        <v>230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225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4291239</v>
      </c>
      <c r="D14" s="237">
        <v>1355456</v>
      </c>
      <c r="E14" s="237">
        <f aca="true" t="shared" si="0" ref="E14:E24">D14-C14</f>
        <v>-2935783</v>
      </c>
      <c r="F14" s="238">
        <f aca="true" t="shared" si="1" ref="F14:F24">IF(C14=0,0,E14/C14)</f>
        <v>-0.6841341160443406</v>
      </c>
    </row>
    <row r="15" spans="1:6" ht="20.25" customHeight="1">
      <c r="A15" s="235">
        <v>2</v>
      </c>
      <c r="B15" s="236" t="s">
        <v>550</v>
      </c>
      <c r="C15" s="237">
        <v>1041962</v>
      </c>
      <c r="D15" s="237">
        <v>276563</v>
      </c>
      <c r="E15" s="237">
        <f t="shared" si="0"/>
        <v>-765399</v>
      </c>
      <c r="F15" s="238">
        <f t="shared" si="1"/>
        <v>-0.7345747733602569</v>
      </c>
    </row>
    <row r="16" spans="1:6" ht="20.25" customHeight="1">
      <c r="A16" s="235">
        <v>3</v>
      </c>
      <c r="B16" s="236" t="s">
        <v>551</v>
      </c>
      <c r="C16" s="237">
        <v>11509542</v>
      </c>
      <c r="D16" s="237">
        <v>3222670</v>
      </c>
      <c r="E16" s="237">
        <f t="shared" si="0"/>
        <v>-8286872</v>
      </c>
      <c r="F16" s="238">
        <f t="shared" si="1"/>
        <v>-0.7200001529165974</v>
      </c>
    </row>
    <row r="17" spans="1:6" ht="20.25" customHeight="1">
      <c r="A17" s="235">
        <v>4</v>
      </c>
      <c r="B17" s="236" t="s">
        <v>552</v>
      </c>
      <c r="C17" s="237">
        <v>2925726</v>
      </c>
      <c r="D17" s="237">
        <v>820594</v>
      </c>
      <c r="E17" s="237">
        <f t="shared" si="0"/>
        <v>-2105132</v>
      </c>
      <c r="F17" s="238">
        <f t="shared" si="1"/>
        <v>-0.7195246581532242</v>
      </c>
    </row>
    <row r="18" spans="1:6" ht="20.25" customHeight="1">
      <c r="A18" s="235">
        <v>5</v>
      </c>
      <c r="B18" s="236" t="s">
        <v>488</v>
      </c>
      <c r="C18" s="239">
        <v>468</v>
      </c>
      <c r="D18" s="239">
        <v>112</v>
      </c>
      <c r="E18" s="239">
        <f t="shared" si="0"/>
        <v>-356</v>
      </c>
      <c r="F18" s="238">
        <f t="shared" si="1"/>
        <v>-0.7606837606837606</v>
      </c>
    </row>
    <row r="19" spans="1:6" ht="20.25" customHeight="1">
      <c r="A19" s="235">
        <v>6</v>
      </c>
      <c r="B19" s="236" t="s">
        <v>487</v>
      </c>
      <c r="C19" s="239">
        <v>1143</v>
      </c>
      <c r="D19" s="239">
        <v>321</v>
      </c>
      <c r="E19" s="239">
        <f t="shared" si="0"/>
        <v>-822</v>
      </c>
      <c r="F19" s="238">
        <f t="shared" si="1"/>
        <v>-0.7191601049868767</v>
      </c>
    </row>
    <row r="20" spans="1:6" ht="20.25" customHeight="1">
      <c r="A20" s="235">
        <v>7</v>
      </c>
      <c r="B20" s="236" t="s">
        <v>553</v>
      </c>
      <c r="C20" s="239">
        <v>5414</v>
      </c>
      <c r="D20" s="239">
        <v>1423</v>
      </c>
      <c r="E20" s="239">
        <f t="shared" si="0"/>
        <v>-3991</v>
      </c>
      <c r="F20" s="238">
        <f t="shared" si="1"/>
        <v>-0.7371629109715552</v>
      </c>
    </row>
    <row r="21" spans="1:6" ht="20.25" customHeight="1">
      <c r="A21" s="235">
        <v>8</v>
      </c>
      <c r="B21" s="236" t="s">
        <v>554</v>
      </c>
      <c r="C21" s="239">
        <v>5524</v>
      </c>
      <c r="D21" s="239">
        <v>1531</v>
      </c>
      <c r="E21" s="239">
        <f t="shared" si="0"/>
        <v>-3993</v>
      </c>
      <c r="F21" s="238">
        <f t="shared" si="1"/>
        <v>-0.7228457639391745</v>
      </c>
    </row>
    <row r="22" spans="1:6" ht="20.25" customHeight="1">
      <c r="A22" s="235">
        <v>9</v>
      </c>
      <c r="B22" s="236" t="s">
        <v>555</v>
      </c>
      <c r="C22" s="239">
        <v>151</v>
      </c>
      <c r="D22" s="239">
        <v>42</v>
      </c>
      <c r="E22" s="239">
        <f t="shared" si="0"/>
        <v>-109</v>
      </c>
      <c r="F22" s="238">
        <f t="shared" si="1"/>
        <v>-0.7218543046357616</v>
      </c>
    </row>
    <row r="23" spans="1:6" s="240" customFormat="1" ht="39.75" customHeight="1">
      <c r="A23" s="245"/>
      <c r="B23" s="242" t="s">
        <v>556</v>
      </c>
      <c r="C23" s="243">
        <f>+C14+C16</f>
        <v>15800781</v>
      </c>
      <c r="D23" s="243">
        <f>+D14+D16</f>
        <v>4578126</v>
      </c>
      <c r="E23" s="243">
        <f t="shared" si="0"/>
        <v>-11222655</v>
      </c>
      <c r="F23" s="244">
        <f t="shared" si="1"/>
        <v>-0.7102595118557747</v>
      </c>
    </row>
    <row r="24" spans="1:6" s="240" customFormat="1" ht="39.75" customHeight="1">
      <c r="A24" s="245"/>
      <c r="B24" s="242" t="s">
        <v>585</v>
      </c>
      <c r="C24" s="243">
        <f>+C15+C17</f>
        <v>3967688</v>
      </c>
      <c r="D24" s="243">
        <f>+D15+D17</f>
        <v>1097157</v>
      </c>
      <c r="E24" s="243">
        <f t="shared" si="0"/>
        <v>-2870531</v>
      </c>
      <c r="F24" s="244">
        <f t="shared" si="1"/>
        <v>-0.7234769971832463</v>
      </c>
    </row>
    <row r="25" spans="1:6" ht="42" customHeight="1">
      <c r="A25" s="227" t="s">
        <v>239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861259</v>
      </c>
      <c r="D26" s="237">
        <v>3849665</v>
      </c>
      <c r="E26" s="237">
        <f aca="true" t="shared" si="2" ref="E26:E36">D26-C26</f>
        <v>2988406</v>
      </c>
      <c r="F26" s="238">
        <f aca="true" t="shared" si="3" ref="F26:F36">IF(C26=0,0,E26/C26)</f>
        <v>3.4698110556754704</v>
      </c>
    </row>
    <row r="27" spans="1:6" ht="20.25" customHeight="1">
      <c r="A27" s="235">
        <v>2</v>
      </c>
      <c r="B27" s="236" t="s">
        <v>550</v>
      </c>
      <c r="C27" s="237">
        <v>208650</v>
      </c>
      <c r="D27" s="237">
        <v>934795</v>
      </c>
      <c r="E27" s="237">
        <f t="shared" si="2"/>
        <v>726145</v>
      </c>
      <c r="F27" s="238">
        <f t="shared" si="3"/>
        <v>3.480206086748143</v>
      </c>
    </row>
    <row r="28" spans="1:6" ht="20.25" customHeight="1">
      <c r="A28" s="235">
        <v>3</v>
      </c>
      <c r="B28" s="236" t="s">
        <v>551</v>
      </c>
      <c r="C28" s="237">
        <v>1614792</v>
      </c>
      <c r="D28" s="237">
        <v>10182839</v>
      </c>
      <c r="E28" s="237">
        <f t="shared" si="2"/>
        <v>8568047</v>
      </c>
      <c r="F28" s="238">
        <f t="shared" si="3"/>
        <v>5.305975630297896</v>
      </c>
    </row>
    <row r="29" spans="1:6" ht="20.25" customHeight="1">
      <c r="A29" s="235">
        <v>4</v>
      </c>
      <c r="B29" s="236" t="s">
        <v>552</v>
      </c>
      <c r="C29" s="237">
        <v>371019</v>
      </c>
      <c r="D29" s="237">
        <v>2461682</v>
      </c>
      <c r="E29" s="237">
        <f t="shared" si="2"/>
        <v>2090663</v>
      </c>
      <c r="F29" s="238">
        <f t="shared" si="3"/>
        <v>5.634921661693875</v>
      </c>
    </row>
    <row r="30" spans="1:6" ht="20.25" customHeight="1">
      <c r="A30" s="235">
        <v>5</v>
      </c>
      <c r="B30" s="236" t="s">
        <v>488</v>
      </c>
      <c r="C30" s="239">
        <v>95</v>
      </c>
      <c r="D30" s="239">
        <v>393</v>
      </c>
      <c r="E30" s="239">
        <f t="shared" si="2"/>
        <v>298</v>
      </c>
      <c r="F30" s="238">
        <f t="shared" si="3"/>
        <v>3.136842105263158</v>
      </c>
    </row>
    <row r="31" spans="1:6" ht="20.25" customHeight="1">
      <c r="A31" s="235">
        <v>6</v>
      </c>
      <c r="B31" s="236" t="s">
        <v>487</v>
      </c>
      <c r="C31" s="239">
        <v>227</v>
      </c>
      <c r="D31" s="239">
        <v>987</v>
      </c>
      <c r="E31" s="239">
        <f t="shared" si="2"/>
        <v>760</v>
      </c>
      <c r="F31" s="238">
        <f t="shared" si="3"/>
        <v>3.3480176211453743</v>
      </c>
    </row>
    <row r="32" spans="1:6" ht="20.25" customHeight="1">
      <c r="A32" s="235">
        <v>7</v>
      </c>
      <c r="B32" s="236" t="s">
        <v>553</v>
      </c>
      <c r="C32" s="239">
        <v>662</v>
      </c>
      <c r="D32" s="239">
        <v>4647</v>
      </c>
      <c r="E32" s="239">
        <f t="shared" si="2"/>
        <v>3985</v>
      </c>
      <c r="F32" s="238">
        <f t="shared" si="3"/>
        <v>6.019637462235649</v>
      </c>
    </row>
    <row r="33" spans="1:6" ht="20.25" customHeight="1">
      <c r="A33" s="235">
        <v>8</v>
      </c>
      <c r="B33" s="236" t="s">
        <v>554</v>
      </c>
      <c r="C33" s="239">
        <v>974</v>
      </c>
      <c r="D33" s="239">
        <v>4432</v>
      </c>
      <c r="E33" s="239">
        <f t="shared" si="2"/>
        <v>3458</v>
      </c>
      <c r="F33" s="238">
        <f t="shared" si="3"/>
        <v>3.5503080082135523</v>
      </c>
    </row>
    <row r="34" spans="1:6" ht="20.25" customHeight="1">
      <c r="A34" s="235">
        <v>9</v>
      </c>
      <c r="B34" s="236" t="s">
        <v>555</v>
      </c>
      <c r="C34" s="239">
        <v>30</v>
      </c>
      <c r="D34" s="239">
        <v>107</v>
      </c>
      <c r="E34" s="239">
        <f t="shared" si="2"/>
        <v>77</v>
      </c>
      <c r="F34" s="238">
        <f t="shared" si="3"/>
        <v>2.566666666666667</v>
      </c>
    </row>
    <row r="35" spans="1:6" s="240" customFormat="1" ht="39.75" customHeight="1">
      <c r="A35" s="245"/>
      <c r="B35" s="242" t="s">
        <v>556</v>
      </c>
      <c r="C35" s="243">
        <f>+C26+C28</f>
        <v>2476051</v>
      </c>
      <c r="D35" s="243">
        <f>+D26+D28</f>
        <v>14032504</v>
      </c>
      <c r="E35" s="243">
        <f t="shared" si="2"/>
        <v>11556453</v>
      </c>
      <c r="F35" s="244">
        <f t="shared" si="3"/>
        <v>4.667291990350765</v>
      </c>
    </row>
    <row r="36" spans="1:6" s="240" customFormat="1" ht="39.75" customHeight="1">
      <c r="A36" s="245"/>
      <c r="B36" s="242" t="s">
        <v>585</v>
      </c>
      <c r="C36" s="243">
        <f>+C27+C29</f>
        <v>579669</v>
      </c>
      <c r="D36" s="243">
        <f>+D27+D29</f>
        <v>3396477</v>
      </c>
      <c r="E36" s="243">
        <f t="shared" si="2"/>
        <v>2816808</v>
      </c>
      <c r="F36" s="244">
        <f t="shared" si="3"/>
        <v>4.859338691563634</v>
      </c>
    </row>
    <row r="37" spans="1:6" ht="42" customHeight="1">
      <c r="A37" s="227" t="s">
        <v>256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452946</v>
      </c>
      <c r="D38" s="237">
        <v>0</v>
      </c>
      <c r="E38" s="237">
        <f aca="true" t="shared" si="4" ref="E38:E48">D38-C38</f>
        <v>-452946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550</v>
      </c>
      <c r="C39" s="237">
        <v>136280</v>
      </c>
      <c r="D39" s="237">
        <v>0</v>
      </c>
      <c r="E39" s="237">
        <f t="shared" si="4"/>
        <v>-136280</v>
      </c>
      <c r="F39" s="238">
        <f t="shared" si="5"/>
        <v>-1</v>
      </c>
    </row>
    <row r="40" spans="1:6" ht="20.25" customHeight="1">
      <c r="A40" s="235">
        <v>3</v>
      </c>
      <c r="B40" s="236" t="s">
        <v>551</v>
      </c>
      <c r="C40" s="237">
        <v>732083</v>
      </c>
      <c r="D40" s="237">
        <v>7217</v>
      </c>
      <c r="E40" s="237">
        <f t="shared" si="4"/>
        <v>-724866</v>
      </c>
      <c r="F40" s="238">
        <f t="shared" si="5"/>
        <v>-0.9901418281806844</v>
      </c>
    </row>
    <row r="41" spans="1:6" ht="20.25" customHeight="1">
      <c r="A41" s="235">
        <v>4</v>
      </c>
      <c r="B41" s="236" t="s">
        <v>552</v>
      </c>
      <c r="C41" s="237">
        <v>191940</v>
      </c>
      <c r="D41" s="237">
        <v>1458</v>
      </c>
      <c r="E41" s="237">
        <f t="shared" si="4"/>
        <v>-190482</v>
      </c>
      <c r="F41" s="238">
        <f t="shared" si="5"/>
        <v>-0.992403876211316</v>
      </c>
    </row>
    <row r="42" spans="1:6" ht="20.25" customHeight="1">
      <c r="A42" s="235">
        <v>5</v>
      </c>
      <c r="B42" s="236" t="s">
        <v>488</v>
      </c>
      <c r="C42" s="239">
        <v>44</v>
      </c>
      <c r="D42" s="239">
        <v>0</v>
      </c>
      <c r="E42" s="239">
        <f t="shared" si="4"/>
        <v>-44</v>
      </c>
      <c r="F42" s="238">
        <f t="shared" si="5"/>
        <v>-1</v>
      </c>
    </row>
    <row r="43" spans="1:6" ht="20.25" customHeight="1">
      <c r="A43" s="235">
        <v>6</v>
      </c>
      <c r="B43" s="236" t="s">
        <v>487</v>
      </c>
      <c r="C43" s="239">
        <v>149</v>
      </c>
      <c r="D43" s="239">
        <v>0</v>
      </c>
      <c r="E43" s="239">
        <f t="shared" si="4"/>
        <v>-149</v>
      </c>
      <c r="F43" s="238">
        <f t="shared" si="5"/>
        <v>-1</v>
      </c>
    </row>
    <row r="44" spans="1:6" ht="20.25" customHeight="1">
      <c r="A44" s="235">
        <v>7</v>
      </c>
      <c r="B44" s="236" t="s">
        <v>553</v>
      </c>
      <c r="C44" s="239">
        <v>418</v>
      </c>
      <c r="D44" s="239">
        <v>11</v>
      </c>
      <c r="E44" s="239">
        <f t="shared" si="4"/>
        <v>-407</v>
      </c>
      <c r="F44" s="238">
        <f t="shared" si="5"/>
        <v>-0.9736842105263158</v>
      </c>
    </row>
    <row r="45" spans="1:6" ht="20.25" customHeight="1">
      <c r="A45" s="235">
        <v>8</v>
      </c>
      <c r="B45" s="236" t="s">
        <v>554</v>
      </c>
      <c r="C45" s="239">
        <v>355</v>
      </c>
      <c r="D45" s="239">
        <v>2</v>
      </c>
      <c r="E45" s="239">
        <f t="shared" si="4"/>
        <v>-353</v>
      </c>
      <c r="F45" s="238">
        <f t="shared" si="5"/>
        <v>-0.9943661971830986</v>
      </c>
    </row>
    <row r="46" spans="1:6" ht="20.25" customHeight="1">
      <c r="A46" s="235">
        <v>9</v>
      </c>
      <c r="B46" s="236" t="s">
        <v>555</v>
      </c>
      <c r="C46" s="239">
        <v>11</v>
      </c>
      <c r="D46" s="239">
        <v>0</v>
      </c>
      <c r="E46" s="239">
        <f t="shared" si="4"/>
        <v>-11</v>
      </c>
      <c r="F46" s="238">
        <f t="shared" si="5"/>
        <v>-1</v>
      </c>
    </row>
    <row r="47" spans="1:6" s="240" customFormat="1" ht="39.75" customHeight="1">
      <c r="A47" s="245"/>
      <c r="B47" s="242" t="s">
        <v>556</v>
      </c>
      <c r="C47" s="243">
        <f>+C38+C40</f>
        <v>1185029</v>
      </c>
      <c r="D47" s="243">
        <f>+D38+D40</f>
        <v>7217</v>
      </c>
      <c r="E47" s="243">
        <f t="shared" si="4"/>
        <v>-1177812</v>
      </c>
      <c r="F47" s="244">
        <f t="shared" si="5"/>
        <v>-0.9939098536829056</v>
      </c>
    </row>
    <row r="48" spans="1:6" s="240" customFormat="1" ht="39.75" customHeight="1">
      <c r="A48" s="245"/>
      <c r="B48" s="242" t="s">
        <v>585</v>
      </c>
      <c r="C48" s="243">
        <f>+C39+C41</f>
        <v>328220</v>
      </c>
      <c r="D48" s="243">
        <f>+D39+D41</f>
        <v>1458</v>
      </c>
      <c r="E48" s="243">
        <f t="shared" si="4"/>
        <v>-326762</v>
      </c>
      <c r="F48" s="244">
        <f t="shared" si="5"/>
        <v>-0.9955578575345805</v>
      </c>
    </row>
    <row r="49" spans="1:6" ht="42" customHeight="1">
      <c r="A49" s="227" t="s">
        <v>286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682977</v>
      </c>
      <c r="D50" s="237">
        <v>889478</v>
      </c>
      <c r="E50" s="237">
        <f aca="true" t="shared" si="6" ref="E50:E60">D50-C50</f>
        <v>206501</v>
      </c>
      <c r="F50" s="238">
        <f aca="true" t="shared" si="7" ref="F50:F60">IF(C50=0,0,E50/C50)</f>
        <v>0.302354252046555</v>
      </c>
    </row>
    <row r="51" spans="1:6" ht="20.25" customHeight="1">
      <c r="A51" s="235">
        <v>2</v>
      </c>
      <c r="B51" s="236" t="s">
        <v>550</v>
      </c>
      <c r="C51" s="237">
        <v>213614</v>
      </c>
      <c r="D51" s="237">
        <v>252527</v>
      </c>
      <c r="E51" s="237">
        <f t="shared" si="6"/>
        <v>38913</v>
      </c>
      <c r="F51" s="238">
        <f t="shared" si="7"/>
        <v>0.18216502663683093</v>
      </c>
    </row>
    <row r="52" spans="1:6" ht="20.25" customHeight="1">
      <c r="A52" s="235">
        <v>3</v>
      </c>
      <c r="B52" s="236" t="s">
        <v>551</v>
      </c>
      <c r="C52" s="237">
        <v>575378</v>
      </c>
      <c r="D52" s="237">
        <v>727698</v>
      </c>
      <c r="E52" s="237">
        <f t="shared" si="6"/>
        <v>152320</v>
      </c>
      <c r="F52" s="238">
        <f t="shared" si="7"/>
        <v>0.2647303164180765</v>
      </c>
    </row>
    <row r="53" spans="1:6" ht="20.25" customHeight="1">
      <c r="A53" s="235">
        <v>4</v>
      </c>
      <c r="B53" s="236" t="s">
        <v>552</v>
      </c>
      <c r="C53" s="237">
        <v>198131</v>
      </c>
      <c r="D53" s="237">
        <v>285984</v>
      </c>
      <c r="E53" s="237">
        <f t="shared" si="6"/>
        <v>87853</v>
      </c>
      <c r="F53" s="238">
        <f t="shared" si="7"/>
        <v>0.44340865387041906</v>
      </c>
    </row>
    <row r="54" spans="1:6" ht="20.25" customHeight="1">
      <c r="A54" s="235">
        <v>5</v>
      </c>
      <c r="B54" s="236" t="s">
        <v>488</v>
      </c>
      <c r="C54" s="239">
        <v>81</v>
      </c>
      <c r="D54" s="239">
        <v>97</v>
      </c>
      <c r="E54" s="239">
        <f t="shared" si="6"/>
        <v>16</v>
      </c>
      <c r="F54" s="238">
        <f t="shared" si="7"/>
        <v>0.19753086419753085</v>
      </c>
    </row>
    <row r="55" spans="1:6" ht="20.25" customHeight="1">
      <c r="A55" s="235">
        <v>6</v>
      </c>
      <c r="B55" s="236" t="s">
        <v>487</v>
      </c>
      <c r="C55" s="239">
        <v>322</v>
      </c>
      <c r="D55" s="239">
        <v>382</v>
      </c>
      <c r="E55" s="239">
        <f t="shared" si="6"/>
        <v>60</v>
      </c>
      <c r="F55" s="238">
        <f t="shared" si="7"/>
        <v>0.18633540372670807</v>
      </c>
    </row>
    <row r="56" spans="1:6" ht="20.25" customHeight="1">
      <c r="A56" s="235">
        <v>7</v>
      </c>
      <c r="B56" s="236" t="s">
        <v>553</v>
      </c>
      <c r="C56" s="239">
        <v>1113</v>
      </c>
      <c r="D56" s="239">
        <v>1219</v>
      </c>
      <c r="E56" s="239">
        <f t="shared" si="6"/>
        <v>106</v>
      </c>
      <c r="F56" s="238">
        <f t="shared" si="7"/>
        <v>0.09523809523809523</v>
      </c>
    </row>
    <row r="57" spans="1:6" ht="20.25" customHeight="1">
      <c r="A57" s="235">
        <v>8</v>
      </c>
      <c r="B57" s="236" t="s">
        <v>554</v>
      </c>
      <c r="C57" s="239">
        <v>1</v>
      </c>
      <c r="D57" s="239">
        <v>0</v>
      </c>
      <c r="E57" s="239">
        <f t="shared" si="6"/>
        <v>-1</v>
      </c>
      <c r="F57" s="238">
        <f t="shared" si="7"/>
        <v>-1</v>
      </c>
    </row>
    <row r="58" spans="1:6" ht="20.25" customHeight="1">
      <c r="A58" s="235">
        <v>9</v>
      </c>
      <c r="B58" s="236" t="s">
        <v>555</v>
      </c>
      <c r="C58" s="239">
        <v>74</v>
      </c>
      <c r="D58" s="239">
        <v>91</v>
      </c>
      <c r="E58" s="239">
        <f t="shared" si="6"/>
        <v>17</v>
      </c>
      <c r="F58" s="238">
        <f t="shared" si="7"/>
        <v>0.22972972972972974</v>
      </c>
    </row>
    <row r="59" spans="1:6" s="240" customFormat="1" ht="39.75" customHeight="1">
      <c r="A59" s="245"/>
      <c r="B59" s="242" t="s">
        <v>556</v>
      </c>
      <c r="C59" s="243">
        <f>+C50+C52</f>
        <v>1258355</v>
      </c>
      <c r="D59" s="243">
        <f>+D50+D52</f>
        <v>1617176</v>
      </c>
      <c r="E59" s="243">
        <f t="shared" si="6"/>
        <v>358821</v>
      </c>
      <c r="F59" s="244">
        <f t="shared" si="7"/>
        <v>0.2851508517071891</v>
      </c>
    </row>
    <row r="60" spans="1:6" s="240" customFormat="1" ht="39.75" customHeight="1">
      <c r="A60" s="245"/>
      <c r="B60" s="242" t="s">
        <v>585</v>
      </c>
      <c r="C60" s="243">
        <f>+C51+C53</f>
        <v>411745</v>
      </c>
      <c r="D60" s="243">
        <f>+D51+D53</f>
        <v>538511</v>
      </c>
      <c r="E60" s="243">
        <f t="shared" si="6"/>
        <v>126766</v>
      </c>
      <c r="F60" s="244">
        <f t="shared" si="7"/>
        <v>0.30787501973308723</v>
      </c>
    </row>
    <row r="61" spans="1:6" ht="42" customHeight="1">
      <c r="A61" s="227" t="s">
        <v>291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550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551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552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488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487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553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554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555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556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585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297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107066</v>
      </c>
      <c r="D74" s="237">
        <v>0</v>
      </c>
      <c r="E74" s="237">
        <f aca="true" t="shared" si="10" ref="E74:E84">D74-C74</f>
        <v>-107066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550</v>
      </c>
      <c r="C75" s="237">
        <v>26316</v>
      </c>
      <c r="D75" s="237">
        <v>0</v>
      </c>
      <c r="E75" s="237">
        <f t="shared" si="10"/>
        <v>-26316</v>
      </c>
      <c r="F75" s="238">
        <f t="shared" si="11"/>
        <v>-1</v>
      </c>
    </row>
    <row r="76" spans="1:6" ht="20.25" customHeight="1">
      <c r="A76" s="235">
        <v>3</v>
      </c>
      <c r="B76" s="236" t="s">
        <v>551</v>
      </c>
      <c r="C76" s="237">
        <v>259520</v>
      </c>
      <c r="D76" s="237">
        <v>0</v>
      </c>
      <c r="E76" s="237">
        <f t="shared" si="10"/>
        <v>-259520</v>
      </c>
      <c r="F76" s="238">
        <f t="shared" si="11"/>
        <v>-1</v>
      </c>
    </row>
    <row r="77" spans="1:6" ht="20.25" customHeight="1">
      <c r="A77" s="235">
        <v>4</v>
      </c>
      <c r="B77" s="236" t="s">
        <v>552</v>
      </c>
      <c r="C77" s="237">
        <v>59982</v>
      </c>
      <c r="D77" s="237">
        <v>0</v>
      </c>
      <c r="E77" s="237">
        <f t="shared" si="10"/>
        <v>-59982</v>
      </c>
      <c r="F77" s="238">
        <f t="shared" si="11"/>
        <v>-1</v>
      </c>
    </row>
    <row r="78" spans="1:6" ht="20.25" customHeight="1">
      <c r="A78" s="235">
        <v>5</v>
      </c>
      <c r="B78" s="236" t="s">
        <v>488</v>
      </c>
      <c r="C78" s="239">
        <v>12</v>
      </c>
      <c r="D78" s="239">
        <v>0</v>
      </c>
      <c r="E78" s="239">
        <f t="shared" si="10"/>
        <v>-12</v>
      </c>
      <c r="F78" s="238">
        <f t="shared" si="11"/>
        <v>-1</v>
      </c>
    </row>
    <row r="79" spans="1:6" ht="20.25" customHeight="1">
      <c r="A79" s="235">
        <v>6</v>
      </c>
      <c r="B79" s="236" t="s">
        <v>487</v>
      </c>
      <c r="C79" s="239">
        <v>28</v>
      </c>
      <c r="D79" s="239">
        <v>0</v>
      </c>
      <c r="E79" s="239">
        <f t="shared" si="10"/>
        <v>-28</v>
      </c>
      <c r="F79" s="238">
        <f t="shared" si="11"/>
        <v>-1</v>
      </c>
    </row>
    <row r="80" spans="1:6" ht="20.25" customHeight="1">
      <c r="A80" s="235">
        <v>7</v>
      </c>
      <c r="B80" s="236" t="s">
        <v>553</v>
      </c>
      <c r="C80" s="239">
        <v>137</v>
      </c>
      <c r="D80" s="239">
        <v>0</v>
      </c>
      <c r="E80" s="239">
        <f t="shared" si="10"/>
        <v>-137</v>
      </c>
      <c r="F80" s="238">
        <f t="shared" si="11"/>
        <v>-1</v>
      </c>
    </row>
    <row r="81" spans="1:6" ht="20.25" customHeight="1">
      <c r="A81" s="235">
        <v>8</v>
      </c>
      <c r="B81" s="236" t="s">
        <v>554</v>
      </c>
      <c r="C81" s="239">
        <v>148</v>
      </c>
      <c r="D81" s="239">
        <v>0</v>
      </c>
      <c r="E81" s="239">
        <f t="shared" si="10"/>
        <v>-148</v>
      </c>
      <c r="F81" s="238">
        <f t="shared" si="11"/>
        <v>-1</v>
      </c>
    </row>
    <row r="82" spans="1:6" ht="20.25" customHeight="1">
      <c r="A82" s="235">
        <v>9</v>
      </c>
      <c r="B82" s="236" t="s">
        <v>555</v>
      </c>
      <c r="C82" s="239">
        <v>1</v>
      </c>
      <c r="D82" s="239">
        <v>0</v>
      </c>
      <c r="E82" s="239">
        <f t="shared" si="10"/>
        <v>-1</v>
      </c>
      <c r="F82" s="238">
        <f t="shared" si="11"/>
        <v>-1</v>
      </c>
    </row>
    <row r="83" spans="1:6" s="240" customFormat="1" ht="39.75" customHeight="1">
      <c r="A83" s="245"/>
      <c r="B83" s="242" t="s">
        <v>556</v>
      </c>
      <c r="C83" s="243">
        <f>+C74+C76</f>
        <v>366586</v>
      </c>
      <c r="D83" s="243">
        <f>+D74+D76</f>
        <v>0</v>
      </c>
      <c r="E83" s="243">
        <f t="shared" si="10"/>
        <v>-366586</v>
      </c>
      <c r="F83" s="244">
        <f t="shared" si="11"/>
        <v>-1</v>
      </c>
    </row>
    <row r="84" spans="1:6" s="240" customFormat="1" ht="39.75" customHeight="1">
      <c r="A84" s="245"/>
      <c r="B84" s="242" t="s">
        <v>585</v>
      </c>
      <c r="C84" s="243">
        <f>+C75+C77</f>
        <v>86298</v>
      </c>
      <c r="D84" s="243">
        <f>+D75+D77</f>
        <v>0</v>
      </c>
      <c r="E84" s="243">
        <f t="shared" si="10"/>
        <v>-86298</v>
      </c>
      <c r="F84" s="244">
        <f t="shared" si="11"/>
        <v>-1</v>
      </c>
    </row>
    <row r="85" spans="1:6" ht="42" customHeight="1">
      <c r="A85" s="227" t="s">
        <v>299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268960</v>
      </c>
      <c r="E86" s="237">
        <f aca="true" t="shared" si="12" ref="E86:E96">D86-C86</f>
        <v>268960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72467</v>
      </c>
      <c r="E87" s="237">
        <f t="shared" si="12"/>
        <v>72467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664267</v>
      </c>
      <c r="E88" s="237">
        <f t="shared" si="12"/>
        <v>664267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164451</v>
      </c>
      <c r="E89" s="237">
        <f t="shared" si="12"/>
        <v>164451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28</v>
      </c>
      <c r="E90" s="239">
        <f t="shared" si="12"/>
        <v>28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73</v>
      </c>
      <c r="E91" s="239">
        <f t="shared" si="12"/>
        <v>73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137</v>
      </c>
      <c r="E92" s="239">
        <f t="shared" si="12"/>
        <v>137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436</v>
      </c>
      <c r="E93" s="239">
        <f t="shared" si="12"/>
        <v>436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17</v>
      </c>
      <c r="E94" s="239">
        <f t="shared" si="12"/>
        <v>17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933227</v>
      </c>
      <c r="E95" s="243">
        <f t="shared" si="12"/>
        <v>933227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236918</v>
      </c>
      <c r="E96" s="243">
        <f t="shared" si="12"/>
        <v>236918</v>
      </c>
      <c r="F96" s="244">
        <f t="shared" si="13"/>
        <v>0</v>
      </c>
    </row>
    <row r="97" spans="1:6" ht="42" customHeight="1">
      <c r="A97" s="227" t="s">
        <v>302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537956</v>
      </c>
      <c r="E98" s="237">
        <f aca="true" t="shared" si="14" ref="E98:E108">D98-C98</f>
        <v>537956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132974</v>
      </c>
      <c r="E99" s="237">
        <f t="shared" si="14"/>
        <v>132974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0</v>
      </c>
      <c r="D100" s="237">
        <v>1817019</v>
      </c>
      <c r="E100" s="237">
        <f t="shared" si="14"/>
        <v>1817019</v>
      </c>
      <c r="F100" s="238">
        <f t="shared" si="15"/>
        <v>0</v>
      </c>
    </row>
    <row r="101" spans="1:6" ht="20.25" customHeight="1">
      <c r="A101" s="235">
        <v>4</v>
      </c>
      <c r="B101" s="236" t="s">
        <v>552</v>
      </c>
      <c r="C101" s="237">
        <v>0</v>
      </c>
      <c r="D101" s="237">
        <v>452680</v>
      </c>
      <c r="E101" s="237">
        <f t="shared" si="14"/>
        <v>452680</v>
      </c>
      <c r="F101" s="238">
        <f t="shared" si="15"/>
        <v>0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57</v>
      </c>
      <c r="E102" s="239">
        <f t="shared" si="14"/>
        <v>57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143</v>
      </c>
      <c r="E103" s="239">
        <f t="shared" si="14"/>
        <v>143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0</v>
      </c>
      <c r="D104" s="239">
        <v>465</v>
      </c>
      <c r="E104" s="239">
        <f t="shared" si="14"/>
        <v>465</v>
      </c>
      <c r="F104" s="238">
        <f t="shared" si="15"/>
        <v>0</v>
      </c>
    </row>
    <row r="105" spans="1:6" ht="20.25" customHeight="1">
      <c r="A105" s="235">
        <v>8</v>
      </c>
      <c r="B105" s="236" t="s">
        <v>554</v>
      </c>
      <c r="C105" s="239">
        <v>0</v>
      </c>
      <c r="D105" s="239">
        <v>1208</v>
      </c>
      <c r="E105" s="239">
        <f t="shared" si="14"/>
        <v>1208</v>
      </c>
      <c r="F105" s="238">
        <f t="shared" si="15"/>
        <v>0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21</v>
      </c>
      <c r="E106" s="239">
        <f t="shared" si="14"/>
        <v>21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0</v>
      </c>
      <c r="D107" s="243">
        <f>+D98+D100</f>
        <v>2354975</v>
      </c>
      <c r="E107" s="243">
        <f t="shared" si="14"/>
        <v>2354975</v>
      </c>
      <c r="F107" s="244">
        <f t="shared" si="15"/>
        <v>0</v>
      </c>
    </row>
    <row r="108" spans="1:6" s="240" customFormat="1" ht="39.75" customHeight="1">
      <c r="A108" s="245"/>
      <c r="B108" s="242" t="s">
        <v>585</v>
      </c>
      <c r="C108" s="243">
        <f>+C99+C101</f>
        <v>0</v>
      </c>
      <c r="D108" s="243">
        <f>+D99+D101</f>
        <v>585654</v>
      </c>
      <c r="E108" s="243">
        <f t="shared" si="14"/>
        <v>585654</v>
      </c>
      <c r="F108" s="244">
        <f t="shared" si="15"/>
        <v>0</v>
      </c>
    </row>
    <row r="109" spans="1:7" s="240" customFormat="1" ht="20.25" customHeight="1">
      <c r="A109" s="688" t="s">
        <v>159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6395487</v>
      </c>
      <c r="D112" s="243">
        <f t="shared" si="16"/>
        <v>6901515</v>
      </c>
      <c r="E112" s="243">
        <f aca="true" t="shared" si="17" ref="E112:E122">D112-C112</f>
        <v>506028</v>
      </c>
      <c r="F112" s="244">
        <f aca="true" t="shared" si="18" ref="F112:F122">IF(C112=0,0,E112/C112)</f>
        <v>0.07912266884445235</v>
      </c>
    </row>
    <row r="113" spans="1:6" ht="20.25" customHeight="1">
      <c r="A113" s="249"/>
      <c r="B113" s="250" t="s">
        <v>576</v>
      </c>
      <c r="C113" s="243">
        <f t="shared" si="16"/>
        <v>1626822</v>
      </c>
      <c r="D113" s="243">
        <f t="shared" si="16"/>
        <v>1669326</v>
      </c>
      <c r="E113" s="243">
        <f t="shared" si="17"/>
        <v>42504</v>
      </c>
      <c r="F113" s="244">
        <f t="shared" si="18"/>
        <v>0.02612701328110881</v>
      </c>
    </row>
    <row r="114" spans="1:6" ht="20.25" customHeight="1">
      <c r="A114" s="249"/>
      <c r="B114" s="250" t="s">
        <v>577</v>
      </c>
      <c r="C114" s="243">
        <f t="shared" si="16"/>
        <v>14691315</v>
      </c>
      <c r="D114" s="243">
        <f t="shared" si="16"/>
        <v>16621710</v>
      </c>
      <c r="E114" s="243">
        <f t="shared" si="17"/>
        <v>1930395</v>
      </c>
      <c r="F114" s="244">
        <f t="shared" si="18"/>
        <v>0.13139701925933792</v>
      </c>
    </row>
    <row r="115" spans="1:6" ht="20.25" customHeight="1">
      <c r="A115" s="249"/>
      <c r="B115" s="250" t="s">
        <v>578</v>
      </c>
      <c r="C115" s="243">
        <f t="shared" si="16"/>
        <v>3746798</v>
      </c>
      <c r="D115" s="243">
        <f t="shared" si="16"/>
        <v>4186849</v>
      </c>
      <c r="E115" s="243">
        <f t="shared" si="17"/>
        <v>440051</v>
      </c>
      <c r="F115" s="244">
        <f t="shared" si="18"/>
        <v>0.11744721759753261</v>
      </c>
    </row>
    <row r="116" spans="1:6" ht="20.25" customHeight="1">
      <c r="A116" s="249"/>
      <c r="B116" s="250" t="s">
        <v>579</v>
      </c>
      <c r="C116" s="252">
        <f t="shared" si="16"/>
        <v>700</v>
      </c>
      <c r="D116" s="252">
        <f t="shared" si="16"/>
        <v>687</v>
      </c>
      <c r="E116" s="252">
        <f t="shared" si="17"/>
        <v>-13</v>
      </c>
      <c r="F116" s="244">
        <f t="shared" si="18"/>
        <v>-0.018571428571428572</v>
      </c>
    </row>
    <row r="117" spans="1:6" ht="20.25" customHeight="1">
      <c r="A117" s="249"/>
      <c r="B117" s="250" t="s">
        <v>580</v>
      </c>
      <c r="C117" s="252">
        <f t="shared" si="16"/>
        <v>1869</v>
      </c>
      <c r="D117" s="252">
        <f t="shared" si="16"/>
        <v>1906</v>
      </c>
      <c r="E117" s="252">
        <f t="shared" si="17"/>
        <v>37</v>
      </c>
      <c r="F117" s="244">
        <f t="shared" si="18"/>
        <v>0.019796682718031033</v>
      </c>
    </row>
    <row r="118" spans="1:6" ht="39.75" customHeight="1">
      <c r="A118" s="249"/>
      <c r="B118" s="250" t="s">
        <v>581</v>
      </c>
      <c r="C118" s="252">
        <f t="shared" si="16"/>
        <v>7744</v>
      </c>
      <c r="D118" s="252">
        <f t="shared" si="16"/>
        <v>7902</v>
      </c>
      <c r="E118" s="252">
        <f t="shared" si="17"/>
        <v>158</v>
      </c>
      <c r="F118" s="244">
        <f t="shared" si="18"/>
        <v>0.020402892561983473</v>
      </c>
    </row>
    <row r="119" spans="1:6" ht="39.75" customHeight="1">
      <c r="A119" s="249"/>
      <c r="B119" s="250" t="s">
        <v>582</v>
      </c>
      <c r="C119" s="252">
        <f t="shared" si="16"/>
        <v>7002</v>
      </c>
      <c r="D119" s="252">
        <f t="shared" si="16"/>
        <v>7609</v>
      </c>
      <c r="E119" s="252">
        <f t="shared" si="17"/>
        <v>607</v>
      </c>
      <c r="F119" s="244">
        <f t="shared" si="18"/>
        <v>0.08668951728077692</v>
      </c>
    </row>
    <row r="120" spans="1:6" ht="39.75" customHeight="1">
      <c r="A120" s="249"/>
      <c r="B120" s="250" t="s">
        <v>583</v>
      </c>
      <c r="C120" s="252">
        <f t="shared" si="16"/>
        <v>267</v>
      </c>
      <c r="D120" s="252">
        <f t="shared" si="16"/>
        <v>278</v>
      </c>
      <c r="E120" s="252">
        <f t="shared" si="17"/>
        <v>11</v>
      </c>
      <c r="F120" s="244">
        <f t="shared" si="18"/>
        <v>0.04119850187265917</v>
      </c>
    </row>
    <row r="121" spans="1:6" ht="39.75" customHeight="1">
      <c r="A121" s="249"/>
      <c r="B121" s="242" t="s">
        <v>556</v>
      </c>
      <c r="C121" s="243">
        <f>+C112+C114</f>
        <v>21086802</v>
      </c>
      <c r="D121" s="243">
        <f>+D112+D114</f>
        <v>23523225</v>
      </c>
      <c r="E121" s="243">
        <f t="shared" si="17"/>
        <v>2436423</v>
      </c>
      <c r="F121" s="244">
        <f t="shared" si="18"/>
        <v>0.11554255595514198</v>
      </c>
    </row>
    <row r="122" spans="1:6" ht="39.75" customHeight="1">
      <c r="A122" s="249"/>
      <c r="B122" s="242" t="s">
        <v>585</v>
      </c>
      <c r="C122" s="243">
        <f>+C113+C115</f>
        <v>5373620</v>
      </c>
      <c r="D122" s="243">
        <f>+D113+D115</f>
        <v>5856175</v>
      </c>
      <c r="E122" s="243">
        <f t="shared" si="17"/>
        <v>482555</v>
      </c>
      <c r="F122" s="244">
        <f t="shared" si="18"/>
        <v>0.08980073023399496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FILING&amp;RBRISTOL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6161025</v>
      </c>
      <c r="D13" s="23">
        <v>9448477</v>
      </c>
      <c r="E13" s="23">
        <f aca="true" t="shared" si="0" ref="E13:E22">D13-C13</f>
        <v>3287452</v>
      </c>
      <c r="F13" s="24">
        <f aca="true" t="shared" si="1" ref="F13:F22">IF(C13=0,0,E13/C13)</f>
        <v>0.5335884856821714</v>
      </c>
    </row>
    <row r="14" spans="1:6" ht="24" customHeight="1">
      <c r="A14" s="21">
        <v>2</v>
      </c>
      <c r="B14" s="22" t="s">
        <v>132</v>
      </c>
      <c r="C14" s="23">
        <v>1572924</v>
      </c>
      <c r="D14" s="23">
        <v>1329434</v>
      </c>
      <c r="E14" s="23">
        <f t="shared" si="0"/>
        <v>-243490</v>
      </c>
      <c r="F14" s="24">
        <f t="shared" si="1"/>
        <v>-0.15480086768337187</v>
      </c>
    </row>
    <row r="15" spans="1:6" ht="34.5" customHeight="1">
      <c r="A15" s="21">
        <v>3</v>
      </c>
      <c r="B15" s="22" t="s">
        <v>133</v>
      </c>
      <c r="C15" s="23">
        <v>20231304</v>
      </c>
      <c r="D15" s="23">
        <v>19948367</v>
      </c>
      <c r="E15" s="23">
        <f t="shared" si="0"/>
        <v>-282937</v>
      </c>
      <c r="F15" s="24">
        <f t="shared" si="1"/>
        <v>-0.013985109412621153</v>
      </c>
    </row>
    <row r="16" spans="1:6" ht="34.5" customHeight="1">
      <c r="A16" s="21">
        <v>4</v>
      </c>
      <c r="B16" s="22" t="s">
        <v>134</v>
      </c>
      <c r="C16" s="23">
        <v>578724</v>
      </c>
      <c r="D16" s="23">
        <v>881487</v>
      </c>
      <c r="E16" s="23">
        <f t="shared" si="0"/>
        <v>302763</v>
      </c>
      <c r="F16" s="24">
        <f t="shared" si="1"/>
        <v>0.5231561158687043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1254575</v>
      </c>
      <c r="D19" s="23">
        <v>1680523</v>
      </c>
      <c r="E19" s="23">
        <f t="shared" si="0"/>
        <v>425948</v>
      </c>
      <c r="F19" s="24">
        <f t="shared" si="1"/>
        <v>0.33951577227347907</v>
      </c>
    </row>
    <row r="20" spans="1:6" ht="24" customHeight="1">
      <c r="A20" s="21">
        <v>8</v>
      </c>
      <c r="B20" s="22" t="s">
        <v>138</v>
      </c>
      <c r="C20" s="23">
        <v>1433389</v>
      </c>
      <c r="D20" s="23">
        <v>1370429</v>
      </c>
      <c r="E20" s="23">
        <f t="shared" si="0"/>
        <v>-62960</v>
      </c>
      <c r="F20" s="24">
        <f t="shared" si="1"/>
        <v>-0.043923875514602105</v>
      </c>
    </row>
    <row r="21" spans="1:6" ht="24" customHeight="1">
      <c r="A21" s="21">
        <v>9</v>
      </c>
      <c r="B21" s="22" t="s">
        <v>139</v>
      </c>
      <c r="C21" s="23">
        <v>1701640</v>
      </c>
      <c r="D21" s="23">
        <v>2020583</v>
      </c>
      <c r="E21" s="23">
        <f t="shared" si="0"/>
        <v>318943</v>
      </c>
      <c r="F21" s="24">
        <f t="shared" si="1"/>
        <v>0.18743271197197997</v>
      </c>
    </row>
    <row r="22" spans="1:6" ht="24" customHeight="1">
      <c r="A22" s="25"/>
      <c r="B22" s="26" t="s">
        <v>140</v>
      </c>
      <c r="C22" s="27">
        <f>SUM(C13:C21)</f>
        <v>32933581</v>
      </c>
      <c r="D22" s="27">
        <f>SUM(D13:D21)</f>
        <v>36679300</v>
      </c>
      <c r="E22" s="27">
        <f t="shared" si="0"/>
        <v>3745719</v>
      </c>
      <c r="F22" s="28">
        <f t="shared" si="1"/>
        <v>0.11373555156361527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7069774</v>
      </c>
      <c r="D26" s="23">
        <v>5803094</v>
      </c>
      <c r="E26" s="23">
        <f>D26-C26</f>
        <v>-1266680</v>
      </c>
      <c r="F26" s="24">
        <f>IF(C26=0,0,E26/C26)</f>
        <v>-0.17916838642932575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146</v>
      </c>
      <c r="C28" s="23">
        <v>5721634</v>
      </c>
      <c r="D28" s="23">
        <v>15884754</v>
      </c>
      <c r="E28" s="23">
        <f>D28-C28</f>
        <v>10163120</v>
      </c>
      <c r="F28" s="24">
        <f>IF(C28=0,0,E28/C28)</f>
        <v>1.7762618161175636</v>
      </c>
    </row>
    <row r="29" spans="1:6" ht="34.5" customHeight="1">
      <c r="A29" s="25"/>
      <c r="B29" s="26" t="s">
        <v>147</v>
      </c>
      <c r="C29" s="27">
        <f>SUM(C25:C28)</f>
        <v>12791408</v>
      </c>
      <c r="D29" s="27">
        <f>SUM(D25:D28)</f>
        <v>21687848</v>
      </c>
      <c r="E29" s="27">
        <f>D29-C29</f>
        <v>8896440</v>
      </c>
      <c r="F29" s="28">
        <f>IF(C29=0,0,E29/C29)</f>
        <v>0.6955012302007723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7954202</v>
      </c>
      <c r="D32" s="23">
        <v>5552518</v>
      </c>
      <c r="E32" s="23">
        <f>D32-C32</f>
        <v>-2401684</v>
      </c>
      <c r="F32" s="24">
        <f>IF(C32=0,0,E32/C32)</f>
        <v>-0.301939025435864</v>
      </c>
    </row>
    <row r="33" spans="1:6" ht="24" customHeight="1">
      <c r="A33" s="21">
        <v>7</v>
      </c>
      <c r="B33" s="22" t="s">
        <v>150</v>
      </c>
      <c r="C33" s="23">
        <v>7497550</v>
      </c>
      <c r="D33" s="23">
        <v>3079683</v>
      </c>
      <c r="E33" s="23">
        <f>D33-C33</f>
        <v>-4417867</v>
      </c>
      <c r="F33" s="24">
        <f>IF(C33=0,0,E33/C33)</f>
        <v>-0.5892414188634955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151</v>
      </c>
      <c r="B35" s="30" t="s">
        <v>152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153</v>
      </c>
      <c r="C36" s="23">
        <v>133764600</v>
      </c>
      <c r="D36" s="23">
        <v>136207416</v>
      </c>
      <c r="E36" s="23">
        <f>D36-C36</f>
        <v>2442816</v>
      </c>
      <c r="F36" s="24">
        <f>IF(C36=0,0,E36/C36)</f>
        <v>0.018262051394763636</v>
      </c>
    </row>
    <row r="37" spans="1:6" ht="24" customHeight="1">
      <c r="A37" s="21">
        <v>2</v>
      </c>
      <c r="B37" s="22" t="s">
        <v>154</v>
      </c>
      <c r="C37" s="23">
        <v>92072391</v>
      </c>
      <c r="D37" s="23">
        <v>97781638</v>
      </c>
      <c r="E37" s="23">
        <f>D37-C37</f>
        <v>5709247</v>
      </c>
      <c r="F37" s="23">
        <f>IF(C37=0,0,E37/C37)</f>
        <v>0.062008240885153075</v>
      </c>
    </row>
    <row r="38" spans="1:6" ht="24" customHeight="1">
      <c r="A38" s="25"/>
      <c r="B38" s="26" t="s">
        <v>155</v>
      </c>
      <c r="C38" s="27">
        <f>C36-C37</f>
        <v>41692209</v>
      </c>
      <c r="D38" s="27">
        <f>D36-D37</f>
        <v>38425778</v>
      </c>
      <c r="E38" s="27">
        <f>D38-C38</f>
        <v>-3266431</v>
      </c>
      <c r="F38" s="28">
        <f>IF(C38=0,0,E38/C38)</f>
        <v>-0.07834631645447235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156</v>
      </c>
      <c r="C40" s="23">
        <v>450118</v>
      </c>
      <c r="D40" s="23">
        <v>807258</v>
      </c>
      <c r="E40" s="23">
        <f>D40-C40</f>
        <v>357140</v>
      </c>
      <c r="F40" s="24">
        <f>IF(C40=0,0,E40/C40)</f>
        <v>0.7934363877916457</v>
      </c>
    </row>
    <row r="41" spans="1:6" ht="24" customHeight="1">
      <c r="A41" s="25"/>
      <c r="B41" s="26" t="s">
        <v>157</v>
      </c>
      <c r="C41" s="27">
        <f>+C38+C40</f>
        <v>42142327</v>
      </c>
      <c r="D41" s="27">
        <f>+D38+D40</f>
        <v>39233036</v>
      </c>
      <c r="E41" s="27">
        <f>D41-C41</f>
        <v>-2909291</v>
      </c>
      <c r="F41" s="28">
        <f>IF(C41=0,0,E41/C41)</f>
        <v>-0.06903489216435534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158</v>
      </c>
      <c r="C43" s="27">
        <f>C22+C29+C31+C32+C33+C41</f>
        <v>103319068</v>
      </c>
      <c r="D43" s="27">
        <f>D22+D29+D31+D32+D33+D41</f>
        <v>106232385</v>
      </c>
      <c r="E43" s="27">
        <f>D43-C43</f>
        <v>2913317</v>
      </c>
      <c r="F43" s="28">
        <f>IF(C43=0,0,E43/C43)</f>
        <v>0.028197283002978694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162</v>
      </c>
      <c r="C49" s="23">
        <v>9279548</v>
      </c>
      <c r="D49" s="23">
        <v>8832722</v>
      </c>
      <c r="E49" s="23">
        <f aca="true" t="shared" si="2" ref="E49:E56">D49-C49</f>
        <v>-446826</v>
      </c>
      <c r="F49" s="24">
        <f aca="true" t="shared" si="3" ref="F49:F56">IF(C49=0,0,E49/C49)</f>
        <v>-0.04815169876808655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6930113</v>
      </c>
      <c r="D50" s="23">
        <v>6367472</v>
      </c>
      <c r="E50" s="23">
        <f t="shared" si="2"/>
        <v>-562641</v>
      </c>
      <c r="F50" s="24">
        <f t="shared" si="3"/>
        <v>-0.08118785364683087</v>
      </c>
    </row>
    <row r="51" spans="1:6" ht="24" customHeight="1">
      <c r="A51" s="21">
        <f t="shared" si="4"/>
        <v>3</v>
      </c>
      <c r="B51" s="22" t="s">
        <v>164</v>
      </c>
      <c r="C51" s="23">
        <v>394236</v>
      </c>
      <c r="D51" s="23">
        <v>971897</v>
      </c>
      <c r="E51" s="23">
        <f t="shared" si="2"/>
        <v>577661</v>
      </c>
      <c r="F51" s="24">
        <f t="shared" si="3"/>
        <v>1.4652669974330097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1751114</v>
      </c>
      <c r="D53" s="23">
        <v>1339455</v>
      </c>
      <c r="E53" s="23">
        <f t="shared" si="2"/>
        <v>-411659</v>
      </c>
      <c r="F53" s="24">
        <f t="shared" si="3"/>
        <v>-0.23508406648567712</v>
      </c>
    </row>
    <row r="54" spans="1:6" ht="24" customHeight="1">
      <c r="A54" s="21">
        <f t="shared" si="4"/>
        <v>6</v>
      </c>
      <c r="B54" s="22" t="s">
        <v>167</v>
      </c>
      <c r="C54" s="23">
        <v>6410</v>
      </c>
      <c r="D54" s="23">
        <v>6738</v>
      </c>
      <c r="E54" s="23">
        <f t="shared" si="2"/>
        <v>328</v>
      </c>
      <c r="F54" s="24">
        <f t="shared" si="3"/>
        <v>0.05117004680187207</v>
      </c>
    </row>
    <row r="55" spans="1:6" ht="24" customHeight="1">
      <c r="A55" s="21">
        <f t="shared" si="4"/>
        <v>7</v>
      </c>
      <c r="B55" s="22" t="s">
        <v>168</v>
      </c>
      <c r="C55" s="23">
        <v>7291756</v>
      </c>
      <c r="D55" s="23">
        <v>7929831</v>
      </c>
      <c r="E55" s="23">
        <f t="shared" si="2"/>
        <v>638075</v>
      </c>
      <c r="F55" s="24">
        <f t="shared" si="3"/>
        <v>0.08750635649355244</v>
      </c>
    </row>
    <row r="56" spans="1:6" ht="24" customHeight="1">
      <c r="A56" s="25"/>
      <c r="B56" s="26" t="s">
        <v>169</v>
      </c>
      <c r="C56" s="27">
        <f>SUM(C49:C55)</f>
        <v>25653177</v>
      </c>
      <c r="D56" s="27">
        <f>SUM(D49:D55)</f>
        <v>25448115</v>
      </c>
      <c r="E56" s="27">
        <f t="shared" si="2"/>
        <v>-205062</v>
      </c>
      <c r="F56" s="28">
        <f t="shared" si="3"/>
        <v>-0.007993629794859326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171</v>
      </c>
      <c r="C59" s="23">
        <v>34118769</v>
      </c>
      <c r="D59" s="23">
        <v>32787601</v>
      </c>
      <c r="E59" s="23">
        <f>D59-C59</f>
        <v>-1331168</v>
      </c>
      <c r="F59" s="24">
        <f>IF(C59=0,0,E59/C59)</f>
        <v>-0.03901571009200244</v>
      </c>
    </row>
    <row r="60" spans="1:6" ht="24" customHeight="1">
      <c r="A60" s="21">
        <v>2</v>
      </c>
      <c r="B60" s="22" t="s">
        <v>172</v>
      </c>
      <c r="C60" s="23">
        <v>319228</v>
      </c>
      <c r="D60" s="23">
        <v>312489</v>
      </c>
      <c r="E60" s="23">
        <f>D60-C60</f>
        <v>-6739</v>
      </c>
      <c r="F60" s="24">
        <f>IF(C60=0,0,E60/C60)</f>
        <v>-0.02111030360745298</v>
      </c>
    </row>
    <row r="61" spans="1:6" ht="24" customHeight="1">
      <c r="A61" s="25"/>
      <c r="B61" s="26" t="s">
        <v>173</v>
      </c>
      <c r="C61" s="27">
        <f>SUM(C59:C60)</f>
        <v>34437997</v>
      </c>
      <c r="D61" s="27">
        <f>SUM(D59:D60)</f>
        <v>33100090</v>
      </c>
      <c r="E61" s="27">
        <f>D61-C61</f>
        <v>-1337907</v>
      </c>
      <c r="F61" s="28">
        <f>IF(C61=0,0,E61/C61)</f>
        <v>-0.038849733333794066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174</v>
      </c>
      <c r="C63" s="23">
        <v>2820258</v>
      </c>
      <c r="D63" s="23">
        <v>21959738</v>
      </c>
      <c r="E63" s="23">
        <f>D63-C63</f>
        <v>19139480</v>
      </c>
      <c r="F63" s="24">
        <f>IF(C63=0,0,E63/C63)</f>
        <v>6.78642875935464</v>
      </c>
    </row>
    <row r="64" spans="1:6" ht="24" customHeight="1">
      <c r="A64" s="21">
        <v>4</v>
      </c>
      <c r="B64" s="22" t="s">
        <v>175</v>
      </c>
      <c r="C64" s="23">
        <v>12016031</v>
      </c>
      <c r="D64" s="23">
        <v>17013627</v>
      </c>
      <c r="E64" s="23">
        <f>D64-C64</f>
        <v>4997596</v>
      </c>
      <c r="F64" s="24">
        <f>IF(C64=0,0,E64/C64)</f>
        <v>0.4159107112822861</v>
      </c>
    </row>
    <row r="65" spans="1:6" ht="24" customHeight="1">
      <c r="A65" s="25"/>
      <c r="B65" s="26" t="s">
        <v>176</v>
      </c>
      <c r="C65" s="27">
        <f>SUM(C61:C64)</f>
        <v>49274286</v>
      </c>
      <c r="D65" s="27">
        <f>SUM(D61:D64)</f>
        <v>72073455</v>
      </c>
      <c r="E65" s="27">
        <f>D65-C65</f>
        <v>22799169</v>
      </c>
      <c r="F65" s="28">
        <f>IF(C65=0,0,E65/C65)</f>
        <v>0.4626991246509386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151</v>
      </c>
      <c r="B69" s="41" t="s">
        <v>178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179</v>
      </c>
      <c r="C70" s="23">
        <v>20022942</v>
      </c>
      <c r="D70" s="23">
        <v>1045617</v>
      </c>
      <c r="E70" s="23">
        <f>D70-C70</f>
        <v>-18977325</v>
      </c>
      <c r="F70" s="24">
        <f>IF(C70=0,0,E70/C70)</f>
        <v>-0.9477790526487067</v>
      </c>
    </row>
    <row r="71" spans="1:6" ht="24" customHeight="1">
      <c r="A71" s="21">
        <v>2</v>
      </c>
      <c r="B71" s="22" t="s">
        <v>180</v>
      </c>
      <c r="C71" s="23">
        <v>1726398</v>
      </c>
      <c r="D71" s="23">
        <v>1110279</v>
      </c>
      <c r="E71" s="23">
        <f>D71-C71</f>
        <v>-616119</v>
      </c>
      <c r="F71" s="24">
        <f>IF(C71=0,0,E71/C71)</f>
        <v>-0.3568812058401365</v>
      </c>
    </row>
    <row r="72" spans="1:6" ht="24" customHeight="1">
      <c r="A72" s="21">
        <v>3</v>
      </c>
      <c r="B72" s="22" t="s">
        <v>181</v>
      </c>
      <c r="C72" s="23">
        <v>6642265</v>
      </c>
      <c r="D72" s="23">
        <v>6554919</v>
      </c>
      <c r="E72" s="23">
        <f>D72-C72</f>
        <v>-87346</v>
      </c>
      <c r="F72" s="24">
        <f>IF(C72=0,0,E72/C72)</f>
        <v>-0.013150032406114481</v>
      </c>
    </row>
    <row r="73" spans="1:6" ht="24" customHeight="1">
      <c r="A73" s="21"/>
      <c r="B73" s="26" t="s">
        <v>182</v>
      </c>
      <c r="C73" s="27">
        <f>SUM(C70:C72)</f>
        <v>28391605</v>
      </c>
      <c r="D73" s="27">
        <f>SUM(D70:D72)</f>
        <v>8710815</v>
      </c>
      <c r="E73" s="27">
        <f>D73-C73</f>
        <v>-19680790</v>
      </c>
      <c r="F73" s="28">
        <f>IF(C73=0,0,E73/C73)</f>
        <v>-0.6931904695067432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183</v>
      </c>
      <c r="C75" s="27">
        <f>C56+C65+C67+C73</f>
        <v>103319068</v>
      </c>
      <c r="D75" s="27">
        <f>D56+D65+D67+D73</f>
        <v>106232385</v>
      </c>
      <c r="E75" s="27">
        <f>D75-C75</f>
        <v>2913317</v>
      </c>
      <c r="F75" s="28">
        <f>IF(C75=0,0,E75/C75)</f>
        <v>0.028197283002978694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FILING&amp;RBRISTOL HOSPITAL &amp;AMP; HEALTH CARE GROUP,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116</v>
      </c>
      <c r="B2" s="696"/>
      <c r="C2" s="696"/>
      <c r="D2" s="696"/>
      <c r="E2" s="696"/>
      <c r="F2" s="697"/>
    </row>
    <row r="3" spans="1:6" ht="22.5" customHeight="1">
      <c r="A3" s="695" t="s">
        <v>117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379425005</v>
      </c>
      <c r="D12" s="51">
        <v>396364698</v>
      </c>
      <c r="E12" s="51">
        <f aca="true" t="shared" si="0" ref="E12:E19">D12-C12</f>
        <v>16939693</v>
      </c>
      <c r="F12" s="70">
        <f aca="true" t="shared" si="1" ref="F12:F19">IF(C12=0,0,E12/C12)</f>
        <v>0.044645694871902286</v>
      </c>
    </row>
    <row r="13" spans="1:6" ht="22.5" customHeight="1">
      <c r="A13" s="25">
        <v>2</v>
      </c>
      <c r="B13" s="48" t="s">
        <v>187</v>
      </c>
      <c r="C13" s="51">
        <v>234654378</v>
      </c>
      <c r="D13" s="51">
        <v>244638266</v>
      </c>
      <c r="E13" s="51">
        <f t="shared" si="0"/>
        <v>9983888</v>
      </c>
      <c r="F13" s="70">
        <f t="shared" si="1"/>
        <v>0.04254720531998768</v>
      </c>
    </row>
    <row r="14" spans="1:6" ht="22.5" customHeight="1">
      <c r="A14" s="25">
        <v>3</v>
      </c>
      <c r="B14" s="48" t="s">
        <v>188</v>
      </c>
      <c r="C14" s="51">
        <v>929468</v>
      </c>
      <c r="D14" s="51">
        <v>558883</v>
      </c>
      <c r="E14" s="51">
        <f t="shared" si="0"/>
        <v>-370585</v>
      </c>
      <c r="F14" s="70">
        <f t="shared" si="1"/>
        <v>-0.39870657193147047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143841159</v>
      </c>
      <c r="D16" s="27">
        <f>D12-D13-D14-D15</f>
        <v>151167549</v>
      </c>
      <c r="E16" s="27">
        <f t="shared" si="0"/>
        <v>7326390</v>
      </c>
      <c r="F16" s="28">
        <f t="shared" si="1"/>
        <v>0.0509338915991354</v>
      </c>
    </row>
    <row r="17" spans="1:7" ht="22.5" customHeight="1">
      <c r="A17" s="25">
        <v>5</v>
      </c>
      <c r="B17" s="48" t="s">
        <v>191</v>
      </c>
      <c r="C17" s="51">
        <v>6370703</v>
      </c>
      <c r="D17" s="51">
        <v>6200797</v>
      </c>
      <c r="E17" s="51">
        <f t="shared" si="0"/>
        <v>-169906</v>
      </c>
      <c r="F17" s="70">
        <f t="shared" si="1"/>
        <v>-0.026669898125842625</v>
      </c>
      <c r="G17" s="64"/>
    </row>
    <row r="18" spans="1:7" ht="33" customHeight="1">
      <c r="A18" s="25">
        <v>6</v>
      </c>
      <c r="B18" s="45" t="s">
        <v>192</v>
      </c>
      <c r="C18" s="51">
        <v>1642038</v>
      </c>
      <c r="D18" s="51">
        <v>0</v>
      </c>
      <c r="E18" s="51">
        <f t="shared" si="0"/>
        <v>-1642038</v>
      </c>
      <c r="F18" s="70">
        <f t="shared" si="1"/>
        <v>-1</v>
      </c>
      <c r="G18" s="64"/>
    </row>
    <row r="19" spans="1:6" ht="22.5" customHeight="1">
      <c r="A19" s="29"/>
      <c r="B19" s="71" t="s">
        <v>193</v>
      </c>
      <c r="C19" s="27">
        <f>SUM(C16:C18)</f>
        <v>151853900</v>
      </c>
      <c r="D19" s="27">
        <f>SUM(D16:D18)</f>
        <v>157368346</v>
      </c>
      <c r="E19" s="27">
        <f t="shared" si="0"/>
        <v>5514446</v>
      </c>
      <c r="F19" s="28">
        <f t="shared" si="1"/>
        <v>0.036314154592012454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67209464</v>
      </c>
      <c r="D22" s="51">
        <v>70157791</v>
      </c>
      <c r="E22" s="51">
        <f aca="true" t="shared" si="2" ref="E22:E31">D22-C22</f>
        <v>2948327</v>
      </c>
      <c r="F22" s="70">
        <f aca="true" t="shared" si="3" ref="F22:F31">IF(C22=0,0,E22/C22)</f>
        <v>0.04386773565103867</v>
      </c>
    </row>
    <row r="23" spans="1:6" ht="22.5" customHeight="1">
      <c r="A23" s="25">
        <v>2</v>
      </c>
      <c r="B23" s="48" t="s">
        <v>196</v>
      </c>
      <c r="C23" s="51">
        <v>15101125</v>
      </c>
      <c r="D23" s="51">
        <v>17072257</v>
      </c>
      <c r="E23" s="51">
        <f t="shared" si="2"/>
        <v>1971132</v>
      </c>
      <c r="F23" s="70">
        <f t="shared" si="3"/>
        <v>0.13052881821718582</v>
      </c>
    </row>
    <row r="24" spans="1:7" ht="22.5" customHeight="1">
      <c r="A24" s="25">
        <v>3</v>
      </c>
      <c r="B24" s="48" t="s">
        <v>197</v>
      </c>
      <c r="C24" s="51">
        <v>3061314</v>
      </c>
      <c r="D24" s="51">
        <v>4436306</v>
      </c>
      <c r="E24" s="51">
        <f t="shared" si="2"/>
        <v>1374992</v>
      </c>
      <c r="F24" s="70">
        <f t="shared" si="3"/>
        <v>0.44915092016042785</v>
      </c>
      <c r="G24" s="64"/>
    </row>
    <row r="25" spans="1:6" ht="22.5" customHeight="1">
      <c r="A25" s="25">
        <v>4</v>
      </c>
      <c r="B25" s="48" t="s">
        <v>198</v>
      </c>
      <c r="C25" s="51">
        <v>17631479</v>
      </c>
      <c r="D25" s="51">
        <v>18260102</v>
      </c>
      <c r="E25" s="51">
        <f t="shared" si="2"/>
        <v>628623</v>
      </c>
      <c r="F25" s="70">
        <f t="shared" si="3"/>
        <v>0.03565344688327054</v>
      </c>
    </row>
    <row r="26" spans="1:6" ht="22.5" customHeight="1">
      <c r="A26" s="25">
        <v>5</v>
      </c>
      <c r="B26" s="48" t="s">
        <v>199</v>
      </c>
      <c r="C26" s="51">
        <v>6348511</v>
      </c>
      <c r="D26" s="51">
        <v>5945345</v>
      </c>
      <c r="E26" s="51">
        <f t="shared" si="2"/>
        <v>-403166</v>
      </c>
      <c r="F26" s="70">
        <f t="shared" si="3"/>
        <v>-0.06350559997454522</v>
      </c>
    </row>
    <row r="27" spans="1:6" ht="22.5" customHeight="1">
      <c r="A27" s="25">
        <v>6</v>
      </c>
      <c r="B27" s="48" t="s">
        <v>200</v>
      </c>
      <c r="C27" s="51">
        <v>12100127</v>
      </c>
      <c r="D27" s="51">
        <v>10609543</v>
      </c>
      <c r="E27" s="51">
        <f t="shared" si="2"/>
        <v>-1490584</v>
      </c>
      <c r="F27" s="70">
        <f t="shared" si="3"/>
        <v>-0.12318746737121024</v>
      </c>
    </row>
    <row r="28" spans="1:6" ht="22.5" customHeight="1">
      <c r="A28" s="25">
        <v>7</v>
      </c>
      <c r="B28" s="48" t="s">
        <v>201</v>
      </c>
      <c r="C28" s="51">
        <v>2403002</v>
      </c>
      <c r="D28" s="51">
        <v>2235998</v>
      </c>
      <c r="E28" s="51">
        <f t="shared" si="2"/>
        <v>-167004</v>
      </c>
      <c r="F28" s="70">
        <f t="shared" si="3"/>
        <v>-0.0694980694980695</v>
      </c>
    </row>
    <row r="29" spans="1:6" ht="22.5" customHeight="1">
      <c r="A29" s="25">
        <v>8</v>
      </c>
      <c r="B29" s="48" t="s">
        <v>202</v>
      </c>
      <c r="C29" s="51">
        <v>1744369</v>
      </c>
      <c r="D29" s="51">
        <v>1935697</v>
      </c>
      <c r="E29" s="51">
        <f t="shared" si="2"/>
        <v>191328</v>
      </c>
      <c r="F29" s="70">
        <f t="shared" si="3"/>
        <v>0.10968321496197192</v>
      </c>
    </row>
    <row r="30" spans="1:6" ht="22.5" customHeight="1">
      <c r="A30" s="25">
        <v>9</v>
      </c>
      <c r="B30" s="48" t="s">
        <v>203</v>
      </c>
      <c r="C30" s="51">
        <v>27083451</v>
      </c>
      <c r="D30" s="51">
        <v>27098401</v>
      </c>
      <c r="E30" s="51">
        <f t="shared" si="2"/>
        <v>14950</v>
      </c>
      <c r="F30" s="70">
        <f t="shared" si="3"/>
        <v>0.000551997601782727</v>
      </c>
    </row>
    <row r="31" spans="1:6" ht="22.5" customHeight="1">
      <c r="A31" s="29"/>
      <c r="B31" s="71" t="s">
        <v>204</v>
      </c>
      <c r="C31" s="27">
        <f>SUM(C22:C30)</f>
        <v>152682842</v>
      </c>
      <c r="D31" s="27">
        <f>SUM(D22:D30)</f>
        <v>157751440</v>
      </c>
      <c r="E31" s="27">
        <f t="shared" si="2"/>
        <v>5068598</v>
      </c>
      <c r="F31" s="28">
        <f t="shared" si="3"/>
        <v>0.033196906303329096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-828942</v>
      </c>
      <c r="D33" s="27">
        <f>+D19-D31</f>
        <v>-383094</v>
      </c>
      <c r="E33" s="27">
        <f>D33-C33</f>
        <v>445848</v>
      </c>
      <c r="F33" s="28">
        <f>IF(C33=0,0,E33/C33)</f>
        <v>-0.5378518641835014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619847</v>
      </c>
      <c r="D36" s="51">
        <v>311763</v>
      </c>
      <c r="E36" s="51">
        <f>D36-C36</f>
        <v>-308084</v>
      </c>
      <c r="F36" s="70">
        <f>IF(C36=0,0,E36/C36)</f>
        <v>-0.49703233217229414</v>
      </c>
    </row>
    <row r="37" spans="1:6" ht="22.5" customHeight="1">
      <c r="A37" s="44">
        <v>2</v>
      </c>
      <c r="B37" s="48" t="s">
        <v>208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209</v>
      </c>
      <c r="C38" s="51">
        <v>-1420162</v>
      </c>
      <c r="D38" s="51">
        <v>79102</v>
      </c>
      <c r="E38" s="51">
        <f>D38-C38</f>
        <v>1499264</v>
      </c>
      <c r="F38" s="70">
        <f>IF(C38=0,0,E38/C38)</f>
        <v>-1.0556992793779865</v>
      </c>
    </row>
    <row r="39" spans="1:6" ht="22.5" customHeight="1">
      <c r="A39" s="20"/>
      <c r="B39" s="71" t="s">
        <v>210</v>
      </c>
      <c r="C39" s="27">
        <f>SUM(C36:C38)</f>
        <v>-800315</v>
      </c>
      <c r="D39" s="27">
        <f>SUM(D36:D38)</f>
        <v>390865</v>
      </c>
      <c r="E39" s="27">
        <f>D39-C39</f>
        <v>1191180</v>
      </c>
      <c r="F39" s="28">
        <f>IF(C39=0,0,E39/C39)</f>
        <v>-1.488388946852177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-1629257</v>
      </c>
      <c r="D41" s="27">
        <f>D33+D39</f>
        <v>7771</v>
      </c>
      <c r="E41" s="27">
        <f>D41-C41</f>
        <v>1637028</v>
      </c>
      <c r="F41" s="28">
        <f>IF(C41=0,0,E41/C41)</f>
        <v>-1.0047696588076651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216</v>
      </c>
      <c r="C48" s="27">
        <f>C41+C46</f>
        <v>-1629257</v>
      </c>
      <c r="D48" s="27">
        <f>D41+D46</f>
        <v>7771</v>
      </c>
      <c r="E48" s="27">
        <f>D48-C48</f>
        <v>1637028</v>
      </c>
      <c r="F48" s="28">
        <f>IF(C48=0,0,E48/C48)</f>
        <v>-1.0047696588076651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FILING&amp;R&amp;8BRISTOL HOSPITAL &amp;AMP; HEALTH CARE GROUP,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2010-08-13T14:40:24Z</cp:lastPrinted>
  <dcterms:created xsi:type="dcterms:W3CDTF">2006-08-03T13:49:12Z</dcterms:created>
  <dcterms:modified xsi:type="dcterms:W3CDTF">2010-08-13T14:40:29Z</dcterms:modified>
  <cp:category/>
  <cp:version/>
  <cp:contentType/>
  <cp:contentStatus/>
</cp:coreProperties>
</file>