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<sst xmlns="http://schemas.openxmlformats.org/spreadsheetml/2006/main" count="2300" uniqueCount="978">
  <si>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</si>
  <si>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</si>
  <si>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</si>
  <si>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</si>
  <si>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</si>
  <si>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</si>
  <si>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</si>
  <si>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</si>
  <si>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</si>
  <si>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</si>
  <si>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</si>
  <si>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</si>
  <si>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</si>
  <si>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</si>
  <si>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</si>
  <si>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</si>
  <si>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</si>
  <si>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</si>
  <si>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</si>
  <si>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</si>
  <si>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</si>
  <si>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</si>
  <si>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</si>
  <si>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</si>
  <si>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</si>
  <si>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</si>
  <si>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</si>
  <si>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</si>
  <si>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</si>
  <si>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</si>
  <si>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</si>
  <si>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</si>
  <si>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</si>
  <si>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</si>
  <si>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</si>
  <si>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</si>
  <si>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</si>
  <si>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</si>
  <si>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</si>
  <si>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</si>
  <si>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</si>
  <si>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</si>
  <si>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</si>
  <si>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</si>
  <si>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</si>
  <si>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</si>
  <si>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</si>
  <si>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</si>
  <si>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</si>
  <si>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</si>
  <si>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</si>
  <si>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</si>
  <si>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</si>
  <si>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</si>
  <si>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</si>
  <si>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</si>
  <si>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</si>
  <si>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</si>
  <si>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</si>
  <si>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</si>
  <si>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</si>
  <si>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</si>
  <si>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</si>
  <si>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</si>
  <si>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</si>
  <si>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</si>
  <si>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</si>
  <si>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</si>
  <si>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</si>
  <si>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</si>
  <si>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</si>
  <si>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</si>
  <si>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</si>
  <si>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</si>
  <si>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</si>
  <si>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</si>
  <si>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</si>
  <si>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</si>
  <si>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</si>
  <si>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</si>
  <si>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</si>
  <si>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</si>
  <si>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</si>
  <si>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</si>
  <si>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</si>
  <si>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</si>
  <si>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</si>
  <si>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</si>
  <si>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</si>
  <si>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</si>
  <si>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</si>
  <si>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</si>
  <si>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</si>
  <si>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</si>
  <si>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</si>
  <si>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</si>
  <si>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</si>
  <si>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</si>
  <si>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</si>
  <si>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</si>
  <si>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</si>
  <si>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</si>
  <si>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</si>
  <si>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</si>
  <si>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</si>
  <si>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</si>
  <si>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</si>
  <si>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</si>
  <si>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</si>
  <si>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</si>
  <si>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</si>
  <si>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</si>
  <si>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</si>
  <si>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</si>
  <si>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</si>
  <si>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</si>
  <si>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</si>
  <si>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</si>
  <si>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</si>
  <si>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</si>
  <si>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</si>
  <si>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</si>
  <si>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</si>
  <si>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</si>
  <si>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</si>
  <si>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</si>
  <si>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</si>
  <si>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</si>
  <si>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</si>
  <si>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</si>
  <si>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</si>
  <si>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</si>
  <si>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</si>
  <si>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</si>
  <si>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</si>
  <si>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</si>
  <si>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</si>
  <si>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</si>
  <si>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</si>
  <si>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</si>
  <si>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</si>
  <si>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</si>
  <si>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</si>
  <si>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</si>
  <si>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</si>
  <si>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</si>
  <si>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</si>
  <si>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</si>
  <si>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</si>
  <si>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</si>
  <si>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</si>
  <si>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</si>
  <si>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</si>
  <si>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</si>
  <si>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</si>
  <si>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</si>
  <si>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</si>
  <si>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</si>
  <si>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</si>
  <si>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</si>
  <si>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</si>
  <si>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</si>
  <si>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</si>
  <si>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</si>
  <si>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</si>
  <si>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</si>
  <si>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</si>
  <si>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</si>
  <si>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</si>
  <si>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</si>
  <si>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</si>
  <si>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</si>
  <si>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</si>
  <si>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</si>
  <si>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</si>
  <si>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</si>
  <si>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</si>
  <si>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</si>
  <si>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</si>
  <si>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</si>
  <si>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</si>
  <si>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</si>
  <si>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</si>
  <si>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</si>
  <si>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</si>
  <si>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</si>
  <si>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</si>
  <si>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</si>
  <si>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</si>
  <si>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</si>
  <si>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</si>
  <si>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</si>
  <si>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</si>
  <si>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</si>
  <si>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</si>
  <si>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</si>
  <si>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</si>
  <si>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</si>
  <si>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</si>
  <si>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</si>
  <si>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</si>
  <si>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</si>
  <si>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</si>
  <si>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</si>
  <si>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</si>
  <si>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</si>
  <si>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</si>
  <si>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</si>
  <si>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</si>
  <si>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</si>
  <si>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</si>
  <si>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</si>
  <si>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</si>
  <si>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</si>
  <si>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</si>
  <si>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</si>
  <si>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</si>
  <si>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</si>
  <si>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</si>
  <si>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</si>
  <si>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</si>
  <si>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</si>
  <si>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</si>
  <si>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</si>
  <si>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</si>
  <si>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</si>
  <si>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</si>
  <si>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</si>
  <si>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</si>
  <si>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</si>
  <si>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</si>
  <si>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</si>
  <si>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</si>
  <si>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</si>
  <si>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</si>
  <si>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</si>
  <si>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</si>
  <si>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</si>
  <si>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</si>
  <si>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</si>
  <si>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</si>
  <si>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</si>
  <si>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</si>
  <si>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</si>
  <si>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</si>
  <si>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</si>
  <si>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</si>
  <si>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</si>
  <si>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</si>
  <si>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</si>
  <si>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</si>
  <si>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</si>
  <si>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</si>
  <si>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</si>
  <si>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</si>
  <si>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</si>
  <si>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</si>
  <si>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</si>
  <si>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</si>
  <si>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</si>
  <si>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</si>
  <si>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</si>
  <si>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</si>
  <si>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</si>
  <si>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</si>
  <si>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</si>
  <si>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</si>
  <si>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</si>
  <si>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</si>
  <si>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</si>
  <si>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</si>
  <si>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</si>
  <si>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</si>
  <si>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</si>
  <si>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</si>
  <si>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</si>
  <si>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</si>
  <si>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</si>
  <si>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</si>
  <si>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</si>
  <si>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</si>
  <si>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</si>
  <si>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</si>
  <si>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</si>
  <si>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</si>
  <si>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</si>
  <si>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</si>
  <si>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</si>
  <si>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</si>
  <si>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</si>
  <si>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</si>
  <si>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</si>
  <si>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</si>
  <si>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</si>
  <si>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</si>
  <si>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</si>
  <si>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</si>
  <si>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</si>
  <si>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</si>
  <si>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</si>
  <si>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</si>
  <si>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</si>
  <si>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</si>
  <si>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</si>
  <si>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</si>
  <si>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</si>
  <si>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</si>
  <si>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</si>
  <si>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</si>
  <si>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</si>
  <si>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</si>
  <si>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</si>
  <si>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</si>
  <si>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</si>
  <si>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</si>
  <si>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</si>
  <si>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</si>
  <si>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</si>
  <si>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</si>
  <si>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</si>
  <si>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</si>
  <si>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</si>
  <si>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</si>
  <si>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</si>
  <si>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</si>
  <si>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</si>
  <si>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</si>
  <si>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</si>
  <si>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</si>
  <si>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</si>
  <si>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</si>
  <si>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</si>
  <si>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</si>
  <si>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</si>
  <si>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</si>
  <si>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</si>
  <si>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</si>
  <si>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</si>
  <si>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</si>
  <si>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</si>
  <si>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</si>
  <si>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</si>
  <si>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</si>
  <si>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</si>
  <si>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</si>
  <si>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</si>
  <si>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</si>
  <si>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</si>
  <si>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</si>
  <si>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</si>
  <si>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</si>
  <si>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</si>
  <si>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</si>
  <si>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</si>
  <si>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</si>
  <si>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</si>
  <si>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</si>
  <si>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</si>
  <si>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</si>
  <si>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</si>
  <si>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</si>
  <si>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</si>
  <si>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</si>
  <si>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</si>
  <si>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</si>
  <si>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</si>
  <si>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</si>
  <si>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</si>
  <si>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</si>
  <si>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</si>
  <si>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</si>
  <si>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</si>
  <si>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</si>
  <si>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</si>
  <si>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</si>
  <si>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</si>
  <si>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</si>
  <si>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</si>
  <si>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</si>
  <si>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</si>
  <si>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</si>
  <si>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</si>
  <si>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</si>
  <si>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</si>
  <si>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</si>
  <si>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</si>
  <si>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</si>
  <si>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</si>
  <si>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</si>
  <si>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</si>
  <si>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BRIDGEPORT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</si>
  <si>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</si>
  <si>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</si>
  <si>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</si>
  <si>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</si>
  <si>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</si>
  <si>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</si>
  <si>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</si>
  <si>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</si>
  <si>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</si>
  <si>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</si>
  <si>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</si>
  <si>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</si>
  <si>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</si>
  <si>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</si>
  <si>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</si>
  <si>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</si>
  <si>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</si>
  <si>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</si>
  <si>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</si>
  <si>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</si>
  <si>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</si>
  <si>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</si>
  <si>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</si>
  <si>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</si>
  <si>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</si>
  <si>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</si>
  <si>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</si>
  <si>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</si>
  <si>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</si>
  <si>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</si>
  <si>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</si>
  <si>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</si>
  <si>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</si>
  <si>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</si>
  <si>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</si>
  <si>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</si>
  <si>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</si>
  <si>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</si>
  <si>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</si>
  <si>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</si>
  <si>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</si>
  <si>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</si>
  <si>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</si>
  <si>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</si>
  <si>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</si>
  <si>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</si>
  <si>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</si>
  <si>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</si>
  <si>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</si>
  <si>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</si>
  <si>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</si>
  <si>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</si>
  <si>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</si>
  <si>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</si>
  <si>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</si>
  <si>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</si>
  <si>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</si>
  <si>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</si>
  <si>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</si>
  <si>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</si>
  <si>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</si>
  <si>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</si>
  <si>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</si>
  <si>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</si>
  <si>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</si>
  <si>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</si>
  <si>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</si>
  <si>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</si>
  <si>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</si>
  <si>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</si>
  <si>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</si>
  <si>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</si>
  <si>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</si>
  <si>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</si>
  <si>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</si>
  <si>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</si>
  <si>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</si>
  <si>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</si>
  <si>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</si>
  <si>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</si>
  <si>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</si>
  <si>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</si>
  <si>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</si>
  <si>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</si>
  <si>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</si>
  <si>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</si>
  <si>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</si>
  <si>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</si>
  <si>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</si>
  <si>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</si>
  <si>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</si>
  <si>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</si>
  <si>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</si>
  <si>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</si>
  <si>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</si>
  <si>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</si>
  <si>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</si>
  <si>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</si>
  <si>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</si>
  <si>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</si>
  <si>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</si>
  <si>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</si>
  <si>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</si>
  <si>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</si>
  <si>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</si>
  <si>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</si>
  <si>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</si>
  <si>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</si>
  <si>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</si>
  <si>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</si>
  <si>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</si>
  <si>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</si>
  <si>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</si>
  <si>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</si>
  <si>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</si>
  <si>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</si>
  <si>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</si>
  <si>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</si>
  <si>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</si>
  <si>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</si>
  <si>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</si>
  <si>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</si>
  <si>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</si>
  <si>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</si>
  <si>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</si>
  <si>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</si>
  <si>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</si>
  <si>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</si>
  <si>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</si>
  <si>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</si>
  <si>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</si>
  <si>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</si>
  <si>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</si>
  <si>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</si>
  <si>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</si>
  <si>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</si>
  <si>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</si>
  <si>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</si>
  <si>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</si>
  <si>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</si>
  <si>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</si>
  <si>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</si>
  <si>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</si>
  <si>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</si>
  <si>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</si>
  <si>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</si>
  <si>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</si>
  <si>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</si>
  <si>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</si>
  <si>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</si>
  <si>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</si>
  <si>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</si>
  <si>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</si>
  <si>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</si>
  <si>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</si>
  <si>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</si>
  <si>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</si>
  <si>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</si>
  <si>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</si>
  <si>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</si>
  <si>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</si>
  <si>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</si>
  <si>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</si>
  <si>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</si>
  <si>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</si>
  <si>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</si>
  <si>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</si>
  <si>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</si>
  <si>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</si>
  <si>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</si>
  <si>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</si>
  <si>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</si>
  <si>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</si>
  <si>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</si>
  <si>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</si>
  <si>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</si>
  <si>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</si>
  <si>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</si>
  <si>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</si>
  <si>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</si>
  <si>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</si>
  <si>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</si>
  <si>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</si>
  <si>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</si>
  <si>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</si>
  <si>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</si>
  <si>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</si>
  <si>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</si>
  <si>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</si>
  <si>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</si>
  <si>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</si>
  <si>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</si>
  <si>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</si>
  <si>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</si>
  <si>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</si>
  <si>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</si>
  <si>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</si>
  <si>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</si>
  <si>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</si>
  <si>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</si>
  <si>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</si>
  <si>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</si>
  <si>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</si>
  <si>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</si>
  <si>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</si>
  <si>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</si>
  <si>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</si>
  <si>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</si>
  <si>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</si>
  <si>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</si>
  <si>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</si>
  <si>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</si>
  <si>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</si>
  <si>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</si>
  <si>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</si>
  <si>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</si>
  <si>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</si>
  <si>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</si>
  <si>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</si>
  <si>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</si>
  <si>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</si>
  <si>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</si>
  <si>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</si>
  <si>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</si>
  <si>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</si>
  <si>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</si>
  <si>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</si>
  <si>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</si>
  <si>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</si>
  <si>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</si>
  <si>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</si>
  <si>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</si>
  <si>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</si>
  <si>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</si>
  <si>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</si>
  <si>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</si>
  <si>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</si>
  <si>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</si>
  <si>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</si>
  <si>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</si>
  <si>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</si>
  <si>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</si>
  <si>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</si>
  <si>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</si>
  <si>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</si>
  <si>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</si>
  <si>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</si>
  <si>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</si>
  <si>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</si>
  <si>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</si>
  <si>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</si>
  <si>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</si>
  <si>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</si>
  <si>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</si>
  <si>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</si>
  <si>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</si>
  <si>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</si>
  <si>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</si>
  <si>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</si>
  <si>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</si>
  <si>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</si>
  <si>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</si>
  <si>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</si>
  <si>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</si>
  <si>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</si>
  <si>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</si>
  <si>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</si>
  <si>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</si>
  <si>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</si>
  <si>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</si>
  <si>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</si>
  <si>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</si>
  <si>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</si>
  <si>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</si>
  <si>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</si>
  <si>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</si>
  <si>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</si>
  <si>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</si>
  <si>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</si>
  <si>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</si>
  <si>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</si>
  <si>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</si>
  <si>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</si>
  <si>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</si>
  <si>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</si>
  <si>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</si>
  <si>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</si>
  <si>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</si>
  <si>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</si>
  <si>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</si>
  <si>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</si>
  <si>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</si>
  <si>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</si>
  <si>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</si>
  <si>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</si>
  <si>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</si>
  <si>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</si>
  <si>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</si>
  <si>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</si>
  <si>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</si>
  <si>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</si>
  <si>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</si>
  <si>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</si>
  <si>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</si>
  <si>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</si>
  <si>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</si>
  <si>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</si>
  <si>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</si>
  <si>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</si>
  <si>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</si>
  <si>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</si>
  <si>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</si>
  <si>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</si>
  <si>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</si>
  <si>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</si>
  <si>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</si>
  <si>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</si>
  <si>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</si>
  <si>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</si>
  <si>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</si>
  <si>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</si>
  <si>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</si>
  <si>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</si>
  <si>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</si>
  <si>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</si>
  <si>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</si>
  <si>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</si>
  <si>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</si>
  <si>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</si>
  <si>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</si>
  <si>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</si>
  <si>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</si>
  <si>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</si>
  <si>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</si>
  <si>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</si>
  <si>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</si>
  <si>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</si>
  <si>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</si>
  <si>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</si>
  <si>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</si>
  <si>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</si>
  <si>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</si>
  <si>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</si>
  <si>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</si>
  <si>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</si>
  <si>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</si>
  <si>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</si>
  <si>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</si>
  <si>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</si>
  <si>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</si>
  <si>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</si>
  <si>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</si>
  <si>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</si>
  <si>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</si>
  <si>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</si>
  <si>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</si>
  <si>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</si>
  <si>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</si>
  <si>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</si>
  <si>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</si>
  <si>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</si>
  <si>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</si>
  <si>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</si>
  <si>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</si>
  <si>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</si>
  <si>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</si>
  <si>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</si>
  <si>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</si>
  <si>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</si>
  <si>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</si>
  <si>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</si>
  <si>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</si>
  <si>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</si>
  <si>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</si>
  <si>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</si>
  <si>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</si>
  <si>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</si>
  <si>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</si>
  <si>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</si>
  <si>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</si>
  <si>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</si>
  <si>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</si>
  <si>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</si>
  <si>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</si>
  <si>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</si>
  <si>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</si>
  <si>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</si>
  <si>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</si>
  <si>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</si>
  <si>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</si>
  <si>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</si>
  <si>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</si>
  <si>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</si>
  <si>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</si>
  <si>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</si>
  <si>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</si>
  <si>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</si>
  <si>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</si>
  <si>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</si>
  <si>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</si>
  <si>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</si>
  <si>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</si>
  <si>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</si>
  <si>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</si>
  <si>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</si>
  <si>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</si>
  <si>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</si>
  <si>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</si>
  <si>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</si>
  <si>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</si>
  <si>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</si>
  <si>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</si>
  <si>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</si>
  <si>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</si>
  <si>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</si>
  <si>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</si>
  <si>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</si>
  <si>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</si>
  <si>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</si>
  <si>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</si>
  <si>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</si>
  <si>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</si>
  <si>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</si>
  <si>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</si>
  <si>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</si>
  <si>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</si>
  <si>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</si>
  <si>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</si>
  <si>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</si>
  <si>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</si>
  <si>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</si>
  <si>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</si>
  <si>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</si>
  <si>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</si>
  <si>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</si>
  <si>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</si>
  <si>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</si>
  <si>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</si>
  <si>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</si>
  <si>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</si>
  <si>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</si>
  <si>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</si>
  <si>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</si>
  <si>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</si>
  <si>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</si>
  <si>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</si>
  <si>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</si>
  <si>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</si>
  <si>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</si>
  <si>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</si>
  <si>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</si>
  <si>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</si>
  <si>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</si>
  <si>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</si>
  <si>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</si>
  <si>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</si>
  <si>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</si>
  <si>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</si>
  <si>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</si>
  <si>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</si>
  <si>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</si>
  <si>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</si>
  <si>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</si>
  <si>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</si>
  <si>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</si>
  <si>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</si>
  <si>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</si>
  <si>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</si>
  <si>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</si>
  <si>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</si>
  <si>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</si>
  <si>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</si>
  <si>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</si>
  <si>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</si>
  <si>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</si>
  <si>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</si>
  <si>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</si>
  <si>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</si>
  <si>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BRIDGEPORT HOSPITAL &amp; HEALTHCARE SERVICES,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</si>
  <si>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</si>
  <si>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</si>
  <si>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</si>
  <si>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</si>
  <si>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</si>
  <si>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</si>
  <si>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</si>
  <si>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</si>
  <si>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</si>
  <si>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</si>
  <si>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</si>
  <si>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</si>
  <si>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</si>
  <si>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</si>
  <si>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</si>
  <si>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</si>
  <si>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</si>
  <si>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</si>
  <si>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</si>
  <si>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</si>
  <si>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</si>
  <si>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</si>
  <si>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</si>
  <si>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</si>
  <si>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</si>
  <si>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</si>
  <si>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</si>
  <si>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</si>
  <si>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</si>
  <si>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</si>
  <si>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</si>
  <si>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</si>
  <si>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</si>
  <si>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</si>
  <si>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</si>
  <si>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</si>
  <si>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</si>
  <si>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</si>
  <si>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</si>
  <si>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</si>
  <si>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</si>
  <si>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</si>
  <si>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</si>
  <si>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</si>
  <si>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</si>
  <si>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</si>
  <si>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</si>
  <si>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</si>
  <si>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</si>
  <si>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</si>
  <si>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</si>
  <si>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</si>
  <si>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</si>
  <si>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</si>
  <si>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</si>
  <si>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</si>
  <si>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</si>
  <si>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</si>
  <si>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</si>
  <si>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</si>
  <si>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</si>
  <si>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</si>
  <si>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</si>
  <si>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</si>
  <si>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</si>
  <si>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</si>
  <si>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</si>
  <si>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</si>
  <si>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</si>
  <si>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</si>
  <si>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</si>
  <si>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</si>
  <si>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</si>
  <si>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</si>
  <si>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</si>
  <si>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</si>
  <si>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</si>
  <si>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</si>
  <si>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</si>
  <si>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</si>
  <si>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</si>
  <si>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</si>
  <si>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</si>
  <si>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</si>
  <si>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</si>
  <si>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</si>
  <si>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</si>
  <si>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</si>
  <si>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</si>
  <si>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</si>
  <si>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</si>
  <si>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</si>
  <si>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</si>
  <si>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</si>
  <si>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</si>
  <si>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</si>
  <si>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</si>
  <si>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</si>
  <si>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</si>
  <si>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</si>
  <si>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</si>
  <si>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</si>
  <si>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</si>
  <si>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Bridgeport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</si>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</sst>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390</v>
      </c>
      <c r="C1" s="3"/>
      <c r="D1" s="3"/>
      <c r="E1" s="4"/>
      <c r="F1" s="5"/>
    </row>
    <row r="2" spans="1:6" ht="24" customHeight="1">
      <c r="A2" s="3"/>
      <c r="B2" s="3" t="s">
        <v>391</v>
      </c>
      <c r="C2" s="3"/>
      <c r="D2" s="3"/>
      <c r="E2" s="4"/>
      <c r="F2" s="5"/>
    </row>
    <row r="3" spans="1:6" ht="24" customHeight="1">
      <c r="A3" s="3"/>
      <c r="B3" s="3" t="s">
        <v>392</v>
      </c>
      <c r="C3" s="3"/>
      <c r="D3" s="3"/>
      <c r="E3" s="4"/>
      <c r="F3" s="5"/>
    </row>
    <row r="4" spans="1:6" ht="24" customHeight="1">
      <c r="A4" s="3"/>
      <c r="B4" s="3" t="s">
        <v>393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394</v>
      </c>
      <c r="D7" s="10" t="s">
        <v>395</v>
      </c>
      <c r="E7" s="11" t="s">
        <v>396</v>
      </c>
      <c r="F7" s="11" t="s">
        <v>397</v>
      </c>
      <c r="H7" s="12"/>
    </row>
    <row r="8" spans="1:6" s="6" customFormat="1" ht="15.75" customHeight="1">
      <c r="A8" s="13" t="s">
        <v>398</v>
      </c>
      <c r="B8" s="13" t="s">
        <v>399</v>
      </c>
      <c r="C8" s="14" t="s">
        <v>400</v>
      </c>
      <c r="D8" s="14" t="s">
        <v>400</v>
      </c>
      <c r="E8" s="15" t="s">
        <v>401</v>
      </c>
      <c r="F8" s="15" t="s">
        <v>401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402</v>
      </c>
      <c r="B10" s="16" t="s">
        <v>403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404</v>
      </c>
      <c r="B12" s="16" t="s">
        <v>405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406</v>
      </c>
      <c r="C13" s="23">
        <v>23495000</v>
      </c>
      <c r="D13" s="23">
        <v>32972000</v>
      </c>
      <c r="E13" s="23">
        <f aca="true" t="shared" si="0" ref="E13:E22">D13-C13</f>
        <v>9477000</v>
      </c>
      <c r="F13" s="24">
        <f aca="true" t="shared" si="1" ref="F13:F22">IF(C13=0,0,E13/C13)</f>
        <v>0.4033624175356459</v>
      </c>
    </row>
    <row r="14" spans="1:6" ht="24" customHeight="1">
      <c r="A14" s="21">
        <v>2</v>
      </c>
      <c r="B14" s="22" t="s">
        <v>407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29.25" customHeight="1">
      <c r="A15" s="21">
        <v>3</v>
      </c>
      <c r="B15" s="22" t="s">
        <v>408</v>
      </c>
      <c r="C15" s="23">
        <v>34402000</v>
      </c>
      <c r="D15" s="23">
        <v>33101000</v>
      </c>
      <c r="E15" s="23">
        <f t="shared" si="0"/>
        <v>-1301000</v>
      </c>
      <c r="F15" s="24">
        <f t="shared" si="1"/>
        <v>-0.03781756874600314</v>
      </c>
    </row>
    <row r="16" spans="1:6" ht="24" customHeight="1">
      <c r="A16" s="21">
        <v>4</v>
      </c>
      <c r="B16" s="22" t="s">
        <v>409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410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411</v>
      </c>
      <c r="C18" s="23">
        <v>4197000</v>
      </c>
      <c r="D18" s="23">
        <v>1517000</v>
      </c>
      <c r="E18" s="23">
        <f t="shared" si="0"/>
        <v>-2680000</v>
      </c>
      <c r="F18" s="24">
        <f t="shared" si="1"/>
        <v>-0.6385513461996665</v>
      </c>
    </row>
    <row r="19" spans="1:6" ht="24" customHeight="1">
      <c r="A19" s="21">
        <v>7</v>
      </c>
      <c r="B19" s="22" t="s">
        <v>412</v>
      </c>
      <c r="C19" s="23">
        <v>4075000</v>
      </c>
      <c r="D19" s="23">
        <v>3286000</v>
      </c>
      <c r="E19" s="23">
        <f t="shared" si="0"/>
        <v>-789000</v>
      </c>
      <c r="F19" s="24">
        <f t="shared" si="1"/>
        <v>-0.19361963190184048</v>
      </c>
    </row>
    <row r="20" spans="1:6" ht="24" customHeight="1">
      <c r="A20" s="21">
        <v>8</v>
      </c>
      <c r="B20" s="22" t="s">
        <v>413</v>
      </c>
      <c r="C20" s="23">
        <v>2629000</v>
      </c>
      <c r="D20" s="23">
        <v>1502000</v>
      </c>
      <c r="E20" s="23">
        <f t="shared" si="0"/>
        <v>-1127000</v>
      </c>
      <c r="F20" s="24">
        <f t="shared" si="1"/>
        <v>-0.42868010650437427</v>
      </c>
    </row>
    <row r="21" spans="1:6" ht="24" customHeight="1">
      <c r="A21" s="21">
        <v>9</v>
      </c>
      <c r="B21" s="22" t="s">
        <v>414</v>
      </c>
      <c r="C21" s="23">
        <v>3226000</v>
      </c>
      <c r="D21" s="23">
        <v>3342000</v>
      </c>
      <c r="E21" s="23">
        <f t="shared" si="0"/>
        <v>116000</v>
      </c>
      <c r="F21" s="24">
        <f t="shared" si="1"/>
        <v>0.03595784252944823</v>
      </c>
    </row>
    <row r="22" spans="1:6" ht="24" customHeight="1">
      <c r="A22" s="25"/>
      <c r="B22" s="26" t="s">
        <v>415</v>
      </c>
      <c r="C22" s="27">
        <f>SUM(C13:C21)</f>
        <v>72024000</v>
      </c>
      <c r="D22" s="27">
        <f>SUM(D13:D21)</f>
        <v>75720000</v>
      </c>
      <c r="E22" s="27">
        <f t="shared" si="0"/>
        <v>3696000</v>
      </c>
      <c r="F22" s="28">
        <f t="shared" si="1"/>
        <v>0.05131622792402533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416</v>
      </c>
      <c r="B24" s="30" t="s">
        <v>417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418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419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420</v>
      </c>
      <c r="C27" s="23">
        <v>5899000</v>
      </c>
      <c r="D27" s="23">
        <v>5845000</v>
      </c>
      <c r="E27" s="23">
        <f>D27-C27</f>
        <v>-54000</v>
      </c>
      <c r="F27" s="24">
        <f>IF(C27=0,0,E27/C27)</f>
        <v>-0.00915409391422275</v>
      </c>
    </row>
    <row r="28" spans="1:6" ht="24" customHeight="1">
      <c r="A28" s="21">
        <v>4</v>
      </c>
      <c r="B28" s="22" t="s">
        <v>421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24" customHeight="1">
      <c r="A29" s="25"/>
      <c r="B29" s="26" t="s">
        <v>422</v>
      </c>
      <c r="C29" s="27">
        <f>SUM(C25:C28)</f>
        <v>5899000</v>
      </c>
      <c r="D29" s="27">
        <f>SUM(D25:D28)</f>
        <v>5845000</v>
      </c>
      <c r="E29" s="27">
        <f>D29-C29</f>
        <v>-54000</v>
      </c>
      <c r="F29" s="28">
        <f>IF(C29=0,0,E29/C29)</f>
        <v>-0.00915409391422275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423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424</v>
      </c>
      <c r="C32" s="23">
        <v>28973000</v>
      </c>
      <c r="D32" s="23">
        <v>26174000</v>
      </c>
      <c r="E32" s="23">
        <f>D32-C32</f>
        <v>-2799000</v>
      </c>
      <c r="F32" s="24">
        <f>IF(C32=0,0,E32/C32)</f>
        <v>-0.09660718600075932</v>
      </c>
    </row>
    <row r="33" spans="1:6" ht="24" customHeight="1">
      <c r="A33" s="21">
        <v>7</v>
      </c>
      <c r="B33" s="22" t="s">
        <v>425</v>
      </c>
      <c r="C33" s="23">
        <v>58072000</v>
      </c>
      <c r="D33" s="23">
        <v>50935000</v>
      </c>
      <c r="E33" s="23">
        <f>D33-C33</f>
        <v>-7137000</v>
      </c>
      <c r="F33" s="24">
        <f>IF(C33=0,0,E33/C33)</f>
        <v>-0.12289915966386554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426</v>
      </c>
      <c r="B35" s="30" t="s">
        <v>427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428</v>
      </c>
      <c r="C36" s="23">
        <v>343279000</v>
      </c>
      <c r="D36" s="23">
        <v>366772000</v>
      </c>
      <c r="E36" s="23">
        <f>D36-C36</f>
        <v>23493000</v>
      </c>
      <c r="F36" s="24">
        <f>IF(C36=0,0,E36/C36)</f>
        <v>0.06843704392054277</v>
      </c>
    </row>
    <row r="37" spans="1:6" ht="24" customHeight="1">
      <c r="A37" s="21">
        <v>2</v>
      </c>
      <c r="B37" s="22" t="s">
        <v>429</v>
      </c>
      <c r="C37" s="23">
        <v>242387000</v>
      </c>
      <c r="D37" s="23">
        <v>260098000</v>
      </c>
      <c r="E37" s="23">
        <f>D37-C37</f>
        <v>17711000</v>
      </c>
      <c r="F37" s="24">
        <f>IF(C37=0,0,E37/C37)</f>
        <v>0.07306910024052445</v>
      </c>
    </row>
    <row r="38" spans="1:6" ht="24" customHeight="1">
      <c r="A38" s="25"/>
      <c r="B38" s="26" t="s">
        <v>430</v>
      </c>
      <c r="C38" s="27">
        <f>C36-C37</f>
        <v>100892000</v>
      </c>
      <c r="D38" s="27">
        <f>D36-D37</f>
        <v>106674000</v>
      </c>
      <c r="E38" s="27">
        <f>D38-C38</f>
        <v>5782000</v>
      </c>
      <c r="F38" s="28">
        <f>IF(C38=0,0,E38/C38)</f>
        <v>0.05730880545533838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431</v>
      </c>
      <c r="C40" s="23">
        <v>22622000</v>
      </c>
      <c r="D40" s="23">
        <v>12497000</v>
      </c>
      <c r="E40" s="23">
        <f>D40-C40</f>
        <v>-10125000</v>
      </c>
      <c r="F40" s="24">
        <f>IF(C40=0,0,E40/C40)</f>
        <v>-0.44757315887189464</v>
      </c>
    </row>
    <row r="41" spans="1:6" ht="24" customHeight="1">
      <c r="A41" s="25"/>
      <c r="B41" s="26" t="s">
        <v>432</v>
      </c>
      <c r="C41" s="27">
        <f>+C38+C40</f>
        <v>123514000</v>
      </c>
      <c r="D41" s="27">
        <f>+D38+D40</f>
        <v>119171000</v>
      </c>
      <c r="E41" s="27">
        <f>D41-C41</f>
        <v>-4343000</v>
      </c>
      <c r="F41" s="28">
        <f>IF(C41=0,0,E41/C41)</f>
        <v>-0.03516200592645368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433</v>
      </c>
      <c r="C43" s="27">
        <f>C22+C29+C31+C32+C33+C41</f>
        <v>288482000</v>
      </c>
      <c r="D43" s="27">
        <f>D22+D29+D31+D32+D33+D41</f>
        <v>277845000</v>
      </c>
      <c r="E43" s="27">
        <f>D43-C43</f>
        <v>-10637000</v>
      </c>
      <c r="F43" s="28">
        <f>IF(C43=0,0,E43/C43)</f>
        <v>-0.036872317856920016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434</v>
      </c>
      <c r="B46" s="16" t="s">
        <v>435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404</v>
      </c>
      <c r="B48" s="41" t="s">
        <v>436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437</v>
      </c>
      <c r="C49" s="23">
        <v>15752000</v>
      </c>
      <c r="D49" s="23">
        <v>8362000</v>
      </c>
      <c r="E49" s="23">
        <f aca="true" t="shared" si="2" ref="E49:E56">D49-C49</f>
        <v>-7390000</v>
      </c>
      <c r="F49" s="24">
        <f aca="true" t="shared" si="3" ref="F49:F56">IF(C49=0,0,E49/C49)</f>
        <v>-0.4691467750126968</v>
      </c>
    </row>
    <row r="50" spans="1:6" ht="24" customHeight="1">
      <c r="A50" s="21">
        <f aca="true" t="shared" si="4" ref="A50:A55">1+A49</f>
        <v>2</v>
      </c>
      <c r="B50" s="22" t="s">
        <v>438</v>
      </c>
      <c r="C50" s="23">
        <v>29992000</v>
      </c>
      <c r="D50" s="23">
        <v>35311000</v>
      </c>
      <c r="E50" s="23">
        <f t="shared" si="2"/>
        <v>5319000</v>
      </c>
      <c r="F50" s="24">
        <f t="shared" si="3"/>
        <v>0.17734729261136303</v>
      </c>
    </row>
    <row r="51" spans="1:6" ht="24" customHeight="1">
      <c r="A51" s="21">
        <f t="shared" si="4"/>
        <v>3</v>
      </c>
      <c r="B51" s="22" t="s">
        <v>439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440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441</v>
      </c>
      <c r="C53" s="23">
        <v>2795000</v>
      </c>
      <c r="D53" s="23">
        <v>2785000</v>
      </c>
      <c r="E53" s="23">
        <f t="shared" si="2"/>
        <v>-10000</v>
      </c>
      <c r="F53" s="24">
        <f t="shared" si="3"/>
        <v>-0.0035778175313059034</v>
      </c>
    </row>
    <row r="54" spans="1:6" ht="24" customHeight="1">
      <c r="A54" s="21">
        <f t="shared" si="4"/>
        <v>6</v>
      </c>
      <c r="B54" s="22" t="s">
        <v>442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443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444</v>
      </c>
      <c r="C56" s="27">
        <f>SUM(C49:C55)</f>
        <v>48539000</v>
      </c>
      <c r="D56" s="27">
        <f>SUM(D49:D55)</f>
        <v>46458000</v>
      </c>
      <c r="E56" s="27">
        <f t="shared" si="2"/>
        <v>-2081000</v>
      </c>
      <c r="F56" s="28">
        <f t="shared" si="3"/>
        <v>-0.042872741506829556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416</v>
      </c>
      <c r="B58" s="41" t="s">
        <v>445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446</v>
      </c>
      <c r="C59" s="23">
        <v>52720000</v>
      </c>
      <c r="D59" s="23">
        <v>50090000</v>
      </c>
      <c r="E59" s="23">
        <f>D59-C59</f>
        <v>-2630000</v>
      </c>
      <c r="F59" s="24">
        <f>IF(C59=0,0,E59/C59)</f>
        <v>-0.04988619119878604</v>
      </c>
    </row>
    <row r="60" spans="1:6" ht="24" customHeight="1">
      <c r="A60" s="21">
        <v>2</v>
      </c>
      <c r="B60" s="22" t="s">
        <v>447</v>
      </c>
      <c r="C60" s="23">
        <v>155000</v>
      </c>
      <c r="D60" s="23">
        <v>0</v>
      </c>
      <c r="E60" s="23">
        <f>D60-C60</f>
        <v>-155000</v>
      </c>
      <c r="F60" s="24">
        <f>IF(C60=0,0,E60/C60)</f>
        <v>-1</v>
      </c>
    </row>
    <row r="61" spans="1:6" ht="24" customHeight="1">
      <c r="A61" s="25"/>
      <c r="B61" s="26" t="s">
        <v>448</v>
      </c>
      <c r="C61" s="27">
        <f>SUM(C59:C60)</f>
        <v>52875000</v>
      </c>
      <c r="D61" s="27">
        <f>SUM(D59:D60)</f>
        <v>50090000</v>
      </c>
      <c r="E61" s="27">
        <f>D61-C61</f>
        <v>-2785000</v>
      </c>
      <c r="F61" s="28">
        <f>IF(C61=0,0,E61/C61)</f>
        <v>-0.052671394799054375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449</v>
      </c>
      <c r="C63" s="23">
        <v>0</v>
      </c>
      <c r="D63" s="23">
        <v>48492000</v>
      </c>
      <c r="E63" s="23">
        <f>D63-C63</f>
        <v>48492000</v>
      </c>
      <c r="F63" s="24">
        <f>IF(C63=0,0,E63/C63)</f>
        <v>0</v>
      </c>
    </row>
    <row r="64" spans="1:6" ht="24" customHeight="1">
      <c r="A64" s="21">
        <v>4</v>
      </c>
      <c r="B64" s="22" t="s">
        <v>450</v>
      </c>
      <c r="C64" s="23">
        <v>38471000</v>
      </c>
      <c r="D64" s="23">
        <v>43953000</v>
      </c>
      <c r="E64" s="23">
        <f>D64-C64</f>
        <v>5482000</v>
      </c>
      <c r="F64" s="24">
        <f>IF(C64=0,0,E64/C64)</f>
        <v>0.14249694575134517</v>
      </c>
    </row>
    <row r="65" spans="1:6" ht="24" customHeight="1">
      <c r="A65" s="25"/>
      <c r="B65" s="26" t="s">
        <v>451</v>
      </c>
      <c r="C65" s="27">
        <f>SUM(C61:C64)</f>
        <v>91346000</v>
      </c>
      <c r="D65" s="27">
        <f>SUM(D61:D64)</f>
        <v>142535000</v>
      </c>
      <c r="E65" s="27">
        <f>D65-C65</f>
        <v>51189000</v>
      </c>
      <c r="F65" s="28">
        <f>IF(C65=0,0,E65/C65)</f>
        <v>0.5603857859129026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452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426</v>
      </c>
      <c r="B69" s="41" t="s">
        <v>453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454</v>
      </c>
      <c r="C70" s="23">
        <v>108789000</v>
      </c>
      <c r="D70" s="23">
        <v>49998000</v>
      </c>
      <c r="E70" s="23">
        <f>D70-C70</f>
        <v>-58791000</v>
      </c>
      <c r="F70" s="24">
        <f>IF(C70=0,0,E70/C70)</f>
        <v>-0.5404130932355293</v>
      </c>
    </row>
    <row r="71" spans="1:6" ht="24" customHeight="1">
      <c r="A71" s="21">
        <v>2</v>
      </c>
      <c r="B71" s="22" t="s">
        <v>455</v>
      </c>
      <c r="C71" s="23">
        <v>29127000</v>
      </c>
      <c r="D71" s="23">
        <v>26622000</v>
      </c>
      <c r="E71" s="23">
        <f>D71-C71</f>
        <v>-2505000</v>
      </c>
      <c r="F71" s="24">
        <f>IF(C71=0,0,E71/C71)</f>
        <v>-0.08600267792769595</v>
      </c>
    </row>
    <row r="72" spans="1:6" ht="24" customHeight="1">
      <c r="A72" s="21">
        <v>3</v>
      </c>
      <c r="B72" s="22" t="s">
        <v>456</v>
      </c>
      <c r="C72" s="23">
        <v>10681000</v>
      </c>
      <c r="D72" s="23">
        <v>12232000</v>
      </c>
      <c r="E72" s="23">
        <f>D72-C72</f>
        <v>1551000</v>
      </c>
      <c r="F72" s="24">
        <f>IF(C72=0,0,E72/C72)</f>
        <v>0.14521112255406798</v>
      </c>
    </row>
    <row r="73" spans="1:6" ht="24" customHeight="1">
      <c r="A73" s="21"/>
      <c r="B73" s="26" t="s">
        <v>457</v>
      </c>
      <c r="C73" s="27">
        <f>SUM(C70:C72)</f>
        <v>148597000</v>
      </c>
      <c r="D73" s="27">
        <f>SUM(D70:D72)</f>
        <v>88852000</v>
      </c>
      <c r="E73" s="27">
        <f>D73-C73</f>
        <v>-59745000</v>
      </c>
      <c r="F73" s="28">
        <f>IF(C73=0,0,E73/C73)</f>
        <v>-0.4020606068763165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458</v>
      </c>
      <c r="C75" s="27">
        <f>C56+C65+C67+C73</f>
        <v>288482000</v>
      </c>
      <c r="D75" s="27">
        <f>D56+D65+D67+D73</f>
        <v>277845000</v>
      </c>
      <c r="E75" s="27">
        <f>D75-C75</f>
        <v>-10637000</v>
      </c>
      <c r="F75" s="28">
        <f>IF(C75=0,0,E75/C75)</f>
        <v>-0.036872317856920016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869</v>
      </c>
      <c r="B1" s="696"/>
      <c r="C1" s="696"/>
      <c r="D1" s="696"/>
      <c r="E1" s="697"/>
    </row>
    <row r="2" spans="1:5" ht="24" customHeight="1">
      <c r="A2" s="695" t="s">
        <v>391</v>
      </c>
      <c r="B2" s="696"/>
      <c r="C2" s="696"/>
      <c r="D2" s="696"/>
      <c r="E2" s="697"/>
    </row>
    <row r="3" spans="1:5" ht="24" customHeight="1">
      <c r="A3" s="695" t="s">
        <v>392</v>
      </c>
      <c r="B3" s="696"/>
      <c r="C3" s="696"/>
      <c r="D3" s="696"/>
      <c r="E3" s="697"/>
    </row>
    <row r="4" spans="1:5" ht="24" customHeight="1">
      <c r="A4" s="695" t="s">
        <v>872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400</v>
      </c>
      <c r="D7" s="59" t="s">
        <v>400</v>
      </c>
      <c r="E7" s="59" t="s">
        <v>400</v>
      </c>
      <c r="F7" s="59"/>
    </row>
    <row r="8" spans="1:6" ht="24" customHeight="1">
      <c r="A8" s="61" t="s">
        <v>398</v>
      </c>
      <c r="B8" s="62" t="s">
        <v>399</v>
      </c>
      <c r="C8" s="264" t="s">
        <v>697</v>
      </c>
      <c r="D8" s="264" t="s">
        <v>394</v>
      </c>
      <c r="E8" s="264" t="s">
        <v>395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404</v>
      </c>
      <c r="B10" s="187" t="s">
        <v>873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874</v>
      </c>
      <c r="C11" s="51">
        <v>312970000</v>
      </c>
      <c r="D11" s="51">
        <v>344957000</v>
      </c>
      <c r="E11" s="51">
        <v>371280000</v>
      </c>
      <c r="F11" s="28"/>
    </row>
    <row r="12" spans="1:6" ht="24" customHeight="1">
      <c r="A12" s="44">
        <v>2</v>
      </c>
      <c r="B12" s="48" t="s">
        <v>466</v>
      </c>
      <c r="C12" s="49">
        <v>11552000</v>
      </c>
      <c r="D12" s="49">
        <v>13675000</v>
      </c>
      <c r="E12" s="49">
        <v>9708000</v>
      </c>
      <c r="F12" s="28"/>
    </row>
    <row r="13" spans="1:6" s="56" customFormat="1" ht="24" customHeight="1">
      <c r="A13" s="44">
        <v>3</v>
      </c>
      <c r="B13" s="48" t="s">
        <v>468</v>
      </c>
      <c r="C13" s="51">
        <f>+C11+C12</f>
        <v>324522000</v>
      </c>
      <c r="D13" s="51">
        <f>+D11+D12</f>
        <v>358632000</v>
      </c>
      <c r="E13" s="51">
        <f>+E11+E12</f>
        <v>380988000</v>
      </c>
      <c r="F13" s="70"/>
    </row>
    <row r="14" spans="1:6" s="56" customFormat="1" ht="24" customHeight="1">
      <c r="A14" s="44">
        <v>4</v>
      </c>
      <c r="B14" s="48" t="s">
        <v>479</v>
      </c>
      <c r="C14" s="49">
        <v>322180000</v>
      </c>
      <c r="D14" s="49">
        <v>355079000</v>
      </c>
      <c r="E14" s="49">
        <v>377600000</v>
      </c>
      <c r="F14" s="70"/>
    </row>
    <row r="15" spans="1:6" s="56" customFormat="1" ht="24" customHeight="1">
      <c r="A15" s="44">
        <v>5</v>
      </c>
      <c r="B15" s="48" t="s">
        <v>480</v>
      </c>
      <c r="C15" s="51">
        <f>+C13-C14</f>
        <v>2342000</v>
      </c>
      <c r="D15" s="51">
        <f>+D13-D14</f>
        <v>3553000</v>
      </c>
      <c r="E15" s="51">
        <f>+E13-E14</f>
        <v>3388000</v>
      </c>
      <c r="F15" s="70"/>
    </row>
    <row r="16" spans="1:6" s="56" customFormat="1" ht="24" customHeight="1">
      <c r="A16" s="44">
        <v>6</v>
      </c>
      <c r="B16" s="48" t="s">
        <v>485</v>
      </c>
      <c r="C16" s="49">
        <v>5178000</v>
      </c>
      <c r="D16" s="49">
        <v>-5514000</v>
      </c>
      <c r="E16" s="49">
        <v>-3545000</v>
      </c>
      <c r="F16" s="70"/>
    </row>
    <row r="17" spans="1:6" s="56" customFormat="1" ht="24" customHeight="1">
      <c r="A17" s="44">
        <v>7</v>
      </c>
      <c r="B17" s="45" t="s">
        <v>700</v>
      </c>
      <c r="C17" s="51">
        <f>C15+C16</f>
        <v>7520000</v>
      </c>
      <c r="D17" s="51">
        <f>D15+D16</f>
        <v>-1961000</v>
      </c>
      <c r="E17" s="51">
        <f>E15+E16</f>
        <v>-157000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416</v>
      </c>
      <c r="B19" s="30" t="s">
        <v>875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876</v>
      </c>
      <c r="C20" s="169">
        <f>IF(+C27=0,0,+C24/+C27)</f>
        <v>0.007103427358204429</v>
      </c>
      <c r="D20" s="169">
        <f>IF(+D27=0,0,+D24/+D27)</f>
        <v>0.010061792375353281</v>
      </c>
      <c r="E20" s="169">
        <f>IF(+E27=0,0,+E24/+E27)</f>
        <v>0.008976189782298255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877</v>
      </c>
      <c r="C21" s="169">
        <f>IF(+C27=0,0,+C26/+C27)</f>
        <v>0.015705186533212012</v>
      </c>
      <c r="D21" s="169">
        <f>IF(+D27=0,0,+D26/+D27)</f>
        <v>-0.015615176796424992</v>
      </c>
      <c r="E21" s="169">
        <f>IF(+E27=0,0,+E26/+E27)</f>
        <v>-0.009392146628762489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878</v>
      </c>
      <c r="C22" s="169">
        <f>IF(+C27=0,0,+C28/+C27)</f>
        <v>0.02280861389141644</v>
      </c>
      <c r="D22" s="169">
        <f>IF(+D27=0,0,+D28/+D27)</f>
        <v>-0.005553384421071709</v>
      </c>
      <c r="E22" s="169">
        <f>IF(+E27=0,0,+E28/+E27)</f>
        <v>-0.00041595684646423436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480</v>
      </c>
      <c r="C24" s="51">
        <f>+C15</f>
        <v>2342000</v>
      </c>
      <c r="D24" s="51">
        <f>+D15</f>
        <v>3553000</v>
      </c>
      <c r="E24" s="51">
        <f>+E15</f>
        <v>3388000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468</v>
      </c>
      <c r="C25" s="51">
        <f>+C13</f>
        <v>324522000</v>
      </c>
      <c r="D25" s="51">
        <f>+D13</f>
        <v>358632000</v>
      </c>
      <c r="E25" s="51">
        <f>+E13</f>
        <v>380988000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485</v>
      </c>
      <c r="C26" s="51">
        <f>+C16</f>
        <v>5178000</v>
      </c>
      <c r="D26" s="51">
        <f>+D16</f>
        <v>-5514000</v>
      </c>
      <c r="E26" s="51">
        <f>+E16</f>
        <v>-3545000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705</v>
      </c>
      <c r="C27" s="51">
        <f>SUM(C25:C26)</f>
        <v>329700000</v>
      </c>
      <c r="D27" s="51">
        <f>SUM(D25:D26)</f>
        <v>353118000</v>
      </c>
      <c r="E27" s="51">
        <f>SUM(E25:E26)</f>
        <v>377443000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700</v>
      </c>
      <c r="C28" s="51">
        <f>+C17</f>
        <v>7520000</v>
      </c>
      <c r="D28" s="51">
        <f>+D17</f>
        <v>-1961000</v>
      </c>
      <c r="E28" s="51">
        <f>+E17</f>
        <v>-157000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426</v>
      </c>
      <c r="B30" s="41" t="s">
        <v>879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880</v>
      </c>
      <c r="C31" s="51">
        <v>102787000</v>
      </c>
      <c r="D31" s="51">
        <v>110103000</v>
      </c>
      <c r="E31" s="52">
        <v>47837000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881</v>
      </c>
      <c r="C32" s="51">
        <v>148877000</v>
      </c>
      <c r="D32" s="51">
        <v>149911000</v>
      </c>
      <c r="E32" s="51">
        <v>86691000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882</v>
      </c>
      <c r="C33" s="51">
        <v>148877000</v>
      </c>
      <c r="D33" s="51">
        <f>+D32-C32</f>
        <v>1034000</v>
      </c>
      <c r="E33" s="51">
        <f>+E32-D32</f>
        <v>-63220000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883</v>
      </c>
      <c r="C34" s="171">
        <v>0</v>
      </c>
      <c r="D34" s="171">
        <f>IF(C32=0,0,+D33/C32)</f>
        <v>0.006945330709243201</v>
      </c>
      <c r="E34" s="171">
        <f>IF(D32=0,0,+E33/D32)</f>
        <v>-0.4217168853519755</v>
      </c>
      <c r="F34" s="28"/>
    </row>
    <row r="35" spans="5:6" ht="24" customHeight="1">
      <c r="E35" s="55"/>
      <c r="F35" s="28"/>
    </row>
    <row r="36" spans="1:6" ht="15.75" customHeight="1">
      <c r="A36" s="20" t="s">
        <v>711</v>
      </c>
      <c r="B36" s="16" t="s">
        <v>733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734</v>
      </c>
      <c r="C38" s="269">
        <f>IF(+C40=0,0,+C39/+C40)</f>
        <v>1.5802221195750408</v>
      </c>
      <c r="D38" s="269">
        <f>IF(+D40=0,0,+D39/+D40)</f>
        <v>1.5460635867250125</v>
      </c>
      <c r="E38" s="269">
        <f>IF(+E40=0,0,+E39/+E40)</f>
        <v>1.624462863776144</v>
      </c>
      <c r="F38" s="28"/>
    </row>
    <row r="39" spans="1:6" ht="24" customHeight="1">
      <c r="A39" s="17">
        <v>2</v>
      </c>
      <c r="B39" s="45" t="s">
        <v>415</v>
      </c>
      <c r="C39" s="270">
        <v>78684000</v>
      </c>
      <c r="D39" s="270">
        <v>79848000</v>
      </c>
      <c r="E39" s="270">
        <v>79766000</v>
      </c>
      <c r="F39" s="28"/>
    </row>
    <row r="40" spans="1:5" ht="24" customHeight="1">
      <c r="A40" s="17">
        <v>3</v>
      </c>
      <c r="B40" s="45" t="s">
        <v>444</v>
      </c>
      <c r="C40" s="270">
        <v>49793000</v>
      </c>
      <c r="D40" s="270">
        <v>51646000</v>
      </c>
      <c r="E40" s="270">
        <v>49103000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735</v>
      </c>
      <c r="C42" s="271">
        <f>IF((C48/365)=0,0,+C45/(C48/365))</f>
        <v>44.34176121507014</v>
      </c>
      <c r="D42" s="271">
        <f>IF((D48/365)=0,0,+D45/(D48/365))</f>
        <v>31.994412878507493</v>
      </c>
      <c r="E42" s="271">
        <f>IF((E48/365)=0,0,+E45/(E48/365))</f>
        <v>35.76089263176706</v>
      </c>
    </row>
    <row r="43" spans="1:5" ht="24" customHeight="1">
      <c r="A43" s="17">
        <v>5</v>
      </c>
      <c r="B43" s="188" t="s">
        <v>406</v>
      </c>
      <c r="C43" s="272">
        <v>37401000</v>
      </c>
      <c r="D43" s="272">
        <v>29605000</v>
      </c>
      <c r="E43" s="272">
        <v>35088000</v>
      </c>
    </row>
    <row r="44" spans="1:5" ht="24" customHeight="1">
      <c r="A44" s="17">
        <v>6</v>
      </c>
      <c r="B44" s="273" t="s">
        <v>407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736</v>
      </c>
      <c r="C45" s="270">
        <f>+C43+C44</f>
        <v>37401000</v>
      </c>
      <c r="D45" s="270">
        <f>+D43+D44</f>
        <v>29605000</v>
      </c>
      <c r="E45" s="270">
        <f>+E43+E44</f>
        <v>35088000</v>
      </c>
    </row>
    <row r="46" spans="1:5" ht="24" customHeight="1">
      <c r="A46" s="17">
        <v>8</v>
      </c>
      <c r="B46" s="45" t="s">
        <v>714</v>
      </c>
      <c r="C46" s="270">
        <f>+C14</f>
        <v>322180000</v>
      </c>
      <c r="D46" s="270">
        <f>+D14</f>
        <v>355079000</v>
      </c>
      <c r="E46" s="270">
        <f>+E14</f>
        <v>377600000</v>
      </c>
    </row>
    <row r="47" spans="1:5" ht="24" customHeight="1">
      <c r="A47" s="17">
        <v>9</v>
      </c>
      <c r="B47" s="45" t="s">
        <v>737</v>
      </c>
      <c r="C47" s="270">
        <v>14313000</v>
      </c>
      <c r="D47" s="270">
        <v>17338000</v>
      </c>
      <c r="E47" s="270">
        <v>19468000</v>
      </c>
    </row>
    <row r="48" spans="1:5" ht="24" customHeight="1">
      <c r="A48" s="17">
        <v>10</v>
      </c>
      <c r="B48" s="45" t="s">
        <v>738</v>
      </c>
      <c r="C48" s="270">
        <f>+C46-C47</f>
        <v>307867000</v>
      </c>
      <c r="D48" s="270">
        <f>+D46-D47</f>
        <v>337741000</v>
      </c>
      <c r="E48" s="270">
        <f>+E46-E47</f>
        <v>358132000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739</v>
      </c>
      <c r="C50" s="278">
        <f>IF((C55/365)=0,0,+C54/(C55/365))</f>
        <v>36.416030290443175</v>
      </c>
      <c r="D50" s="278">
        <f>IF((D55/365)=0,0,+D54/(D55/365))</f>
        <v>38.26946546960926</v>
      </c>
      <c r="E50" s="278">
        <f>IF((E55/365)=0,0,+E54/(E55/365))</f>
        <v>34.2457848524025</v>
      </c>
    </row>
    <row r="51" spans="1:5" ht="24" customHeight="1">
      <c r="A51" s="17">
        <v>12</v>
      </c>
      <c r="B51" s="188" t="s">
        <v>740</v>
      </c>
      <c r="C51" s="279">
        <v>31486000</v>
      </c>
      <c r="D51" s="279">
        <v>36168000</v>
      </c>
      <c r="E51" s="279">
        <v>34835000</v>
      </c>
    </row>
    <row r="52" spans="1:5" ht="24" customHeight="1">
      <c r="A52" s="17">
        <v>13</v>
      </c>
      <c r="B52" s="188" t="s">
        <v>411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439</v>
      </c>
      <c r="C53" s="270">
        <v>261000</v>
      </c>
      <c r="D53" s="270">
        <v>0</v>
      </c>
      <c r="E53" s="270">
        <v>0</v>
      </c>
    </row>
    <row r="54" spans="1:5" ht="32.25" customHeight="1">
      <c r="A54" s="17">
        <v>15</v>
      </c>
      <c r="B54" s="45" t="s">
        <v>741</v>
      </c>
      <c r="C54" s="280">
        <f>+C51+C52-C53</f>
        <v>31225000</v>
      </c>
      <c r="D54" s="280">
        <f>+D51+D52-D53</f>
        <v>36168000</v>
      </c>
      <c r="E54" s="280">
        <f>+E51+E52-E53</f>
        <v>34835000</v>
      </c>
    </row>
    <row r="55" spans="1:5" ht="24" customHeight="1">
      <c r="A55" s="17">
        <v>16</v>
      </c>
      <c r="B55" s="45" t="s">
        <v>465</v>
      </c>
      <c r="C55" s="270">
        <f>+C11</f>
        <v>312970000</v>
      </c>
      <c r="D55" s="270">
        <f>+D11</f>
        <v>344957000</v>
      </c>
      <c r="E55" s="270">
        <f>+E11</f>
        <v>371280000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742</v>
      </c>
      <c r="C57" s="283">
        <f>IF((C61/365)=0,0,+C58/(C61/365))</f>
        <v>59.03343002010608</v>
      </c>
      <c r="D57" s="283">
        <f>IF((D61/365)=0,0,+D58/(D61/365))</f>
        <v>55.81433702156386</v>
      </c>
      <c r="E57" s="283">
        <f>IF((E61/365)=0,0,+E58/(E61/365))</f>
        <v>50.044662303284824</v>
      </c>
    </row>
    <row r="58" spans="1:5" ht="24" customHeight="1">
      <c r="A58" s="17">
        <v>18</v>
      </c>
      <c r="B58" s="45" t="s">
        <v>444</v>
      </c>
      <c r="C58" s="281">
        <f>+C40</f>
        <v>49793000</v>
      </c>
      <c r="D58" s="281">
        <f>+D40</f>
        <v>51646000</v>
      </c>
      <c r="E58" s="281">
        <f>+E40</f>
        <v>49103000</v>
      </c>
    </row>
    <row r="59" spans="1:5" ht="24" customHeight="1">
      <c r="A59" s="17">
        <v>19</v>
      </c>
      <c r="B59" s="45" t="s">
        <v>714</v>
      </c>
      <c r="C59" s="281">
        <f aca="true" t="shared" si="0" ref="C59:E60">+C46</f>
        <v>322180000</v>
      </c>
      <c r="D59" s="281">
        <f t="shared" si="0"/>
        <v>355079000</v>
      </c>
      <c r="E59" s="281">
        <f t="shared" si="0"/>
        <v>377600000</v>
      </c>
    </row>
    <row r="60" spans="1:5" ht="24" customHeight="1">
      <c r="A60" s="17">
        <v>20</v>
      </c>
      <c r="B60" s="45" t="s">
        <v>737</v>
      </c>
      <c r="C60" s="176">
        <f t="shared" si="0"/>
        <v>14313000</v>
      </c>
      <c r="D60" s="176">
        <f t="shared" si="0"/>
        <v>17338000</v>
      </c>
      <c r="E60" s="176">
        <f t="shared" si="0"/>
        <v>19468000</v>
      </c>
    </row>
    <row r="61" spans="1:5" ht="24" customHeight="1">
      <c r="A61" s="17">
        <v>21</v>
      </c>
      <c r="B61" s="45" t="s">
        <v>743</v>
      </c>
      <c r="C61" s="281">
        <f>+C59-C60</f>
        <v>307867000</v>
      </c>
      <c r="D61" s="281">
        <f>+D59-D60</f>
        <v>337741000</v>
      </c>
      <c r="E61" s="281">
        <f>+E59-E60</f>
        <v>358132000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732</v>
      </c>
      <c r="B63" s="16" t="s">
        <v>745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746</v>
      </c>
      <c r="C65" s="284">
        <f>IF(C67=0,0,(C66/C67)*100)</f>
        <v>50.72038156886125</v>
      </c>
      <c r="D65" s="284">
        <f>IF(D67=0,0,(D66/D67)*100)</f>
        <v>50.68910483996403</v>
      </c>
      <c r="E65" s="284">
        <f>IF(E67=0,0,(E66/E67)*100)</f>
        <v>30.4228050843294</v>
      </c>
    </row>
    <row r="66" spans="1:5" ht="24" customHeight="1">
      <c r="A66" s="17">
        <v>2</v>
      </c>
      <c r="B66" s="45" t="s">
        <v>457</v>
      </c>
      <c r="C66" s="281">
        <f>+C32</f>
        <v>148877000</v>
      </c>
      <c r="D66" s="281">
        <f>+D32</f>
        <v>149911000</v>
      </c>
      <c r="E66" s="281">
        <f>+E32</f>
        <v>86691000</v>
      </c>
    </row>
    <row r="67" spans="1:5" ht="24" customHeight="1">
      <c r="A67" s="17">
        <v>3</v>
      </c>
      <c r="B67" s="45" t="s">
        <v>433</v>
      </c>
      <c r="C67" s="281">
        <v>293525000</v>
      </c>
      <c r="D67" s="281">
        <v>295746000</v>
      </c>
      <c r="E67" s="281">
        <v>284954000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747</v>
      </c>
      <c r="C69" s="284">
        <f>IF(C75=0,0,(C72/C75)*100)</f>
        <v>20.702047163460172</v>
      </c>
      <c r="D69" s="284">
        <f>IF(D75=0,0,(D72/D75)*100)</f>
        <v>14.711876082318387</v>
      </c>
      <c r="E69" s="284">
        <f>IF(E75=0,0,(E72/E75)*100)</f>
        <v>19.4681076285625</v>
      </c>
    </row>
    <row r="70" spans="1:5" ht="24" customHeight="1">
      <c r="A70" s="17">
        <v>5</v>
      </c>
      <c r="B70" s="45" t="s">
        <v>748</v>
      </c>
      <c r="C70" s="281">
        <f>+C28</f>
        <v>7520000</v>
      </c>
      <c r="D70" s="281">
        <f>+D28</f>
        <v>-1961000</v>
      </c>
      <c r="E70" s="281">
        <f>+E28</f>
        <v>-157000</v>
      </c>
    </row>
    <row r="71" spans="1:5" ht="24" customHeight="1">
      <c r="A71" s="17">
        <v>6</v>
      </c>
      <c r="B71" s="45" t="s">
        <v>737</v>
      </c>
      <c r="C71" s="176">
        <f>+C47</f>
        <v>14313000</v>
      </c>
      <c r="D71" s="176">
        <f>+D47</f>
        <v>17338000</v>
      </c>
      <c r="E71" s="176">
        <f>+E47</f>
        <v>19468000</v>
      </c>
    </row>
    <row r="72" spans="1:5" ht="24" customHeight="1">
      <c r="A72" s="17">
        <v>7</v>
      </c>
      <c r="B72" s="45" t="s">
        <v>749</v>
      </c>
      <c r="C72" s="281">
        <f>+C70+C71</f>
        <v>21833000</v>
      </c>
      <c r="D72" s="281">
        <f>+D70+D71</f>
        <v>15377000</v>
      </c>
      <c r="E72" s="281">
        <f>+E70+E71</f>
        <v>19311000</v>
      </c>
    </row>
    <row r="73" spans="1:5" ht="24" customHeight="1">
      <c r="A73" s="17">
        <v>8</v>
      </c>
      <c r="B73" s="45" t="s">
        <v>444</v>
      </c>
      <c r="C73" s="270">
        <f>+C40</f>
        <v>49793000</v>
      </c>
      <c r="D73" s="270">
        <f>+D40</f>
        <v>51646000</v>
      </c>
      <c r="E73" s="270">
        <f>+E40</f>
        <v>49103000</v>
      </c>
    </row>
    <row r="74" spans="1:5" ht="24" customHeight="1">
      <c r="A74" s="17">
        <v>9</v>
      </c>
      <c r="B74" s="45" t="s">
        <v>448</v>
      </c>
      <c r="C74" s="281">
        <v>55670000</v>
      </c>
      <c r="D74" s="281">
        <v>52875000</v>
      </c>
      <c r="E74" s="281">
        <v>50090000</v>
      </c>
    </row>
    <row r="75" spans="1:5" ht="24" customHeight="1">
      <c r="A75" s="17">
        <v>10</v>
      </c>
      <c r="B75" s="285" t="s">
        <v>750</v>
      </c>
      <c r="C75" s="270">
        <f>+C73+C74</f>
        <v>105463000</v>
      </c>
      <c r="D75" s="270">
        <f>+D73+D74</f>
        <v>104521000</v>
      </c>
      <c r="E75" s="270">
        <f>+E73+E74</f>
        <v>99193000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751</v>
      </c>
      <c r="C77" s="286">
        <f>IF(C80=0,0,(C78/C80)*100)</f>
        <v>27.216238810640096</v>
      </c>
      <c r="D77" s="286">
        <f>IF(D80=0,0,(D78/D80)*100)</f>
        <v>26.07428520706558</v>
      </c>
      <c r="E77" s="286">
        <f>IF(E80=0,0,(E78/E80)*100)</f>
        <v>36.62058326814397</v>
      </c>
    </row>
    <row r="78" spans="1:5" ht="24" customHeight="1">
      <c r="A78" s="17">
        <v>12</v>
      </c>
      <c r="B78" s="45" t="s">
        <v>448</v>
      </c>
      <c r="C78" s="270">
        <f>+C74</f>
        <v>55670000</v>
      </c>
      <c r="D78" s="270">
        <f>+D74</f>
        <v>52875000</v>
      </c>
      <c r="E78" s="270">
        <f>+E74</f>
        <v>50090000</v>
      </c>
    </row>
    <row r="79" spans="1:5" ht="24" customHeight="1">
      <c r="A79" s="17">
        <v>13</v>
      </c>
      <c r="B79" s="45" t="s">
        <v>457</v>
      </c>
      <c r="C79" s="270">
        <f>+C32</f>
        <v>148877000</v>
      </c>
      <c r="D79" s="270">
        <f>+D32</f>
        <v>149911000</v>
      </c>
      <c r="E79" s="270">
        <f>+E32</f>
        <v>86691000</v>
      </c>
    </row>
    <row r="80" spans="1:5" ht="24" customHeight="1">
      <c r="A80" s="17">
        <v>14</v>
      </c>
      <c r="B80" s="45" t="s">
        <v>752</v>
      </c>
      <c r="C80" s="270">
        <f>+C78+C79</f>
        <v>204547000</v>
      </c>
      <c r="D80" s="270">
        <f>+D78+D79</f>
        <v>202786000</v>
      </c>
      <c r="E80" s="270">
        <f>+E78+E79</f>
        <v>136781000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&amp;L&amp;8OFFICE OF HEALTH CARE ACCESS&amp;C&amp;8TWELVE MONTHS ACTUAL FILING&amp;R&amp;8BRIDGEPORT HOSPITAL &amp;AMP; HEALTHCARE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390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391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392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884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885</v>
      </c>
      <c r="G7" s="126" t="s">
        <v>885</v>
      </c>
      <c r="H7" s="125"/>
      <c r="I7" s="289"/>
    </row>
    <row r="8" spans="1:9" ht="15.75" customHeight="1">
      <c r="A8" s="287"/>
      <c r="B8" s="126"/>
      <c r="C8" s="126" t="s">
        <v>886</v>
      </c>
      <c r="D8" s="126" t="s">
        <v>887</v>
      </c>
      <c r="E8" s="126" t="s">
        <v>888</v>
      </c>
      <c r="F8" s="126" t="s">
        <v>889</v>
      </c>
      <c r="G8" s="126" t="s">
        <v>890</v>
      </c>
      <c r="H8" s="125"/>
      <c r="I8" s="289"/>
    </row>
    <row r="9" spans="1:9" ht="15.75" customHeight="1">
      <c r="A9" s="290" t="s">
        <v>398</v>
      </c>
      <c r="B9" s="291" t="s">
        <v>399</v>
      </c>
      <c r="C9" s="292" t="s">
        <v>891</v>
      </c>
      <c r="D9" s="292" t="s">
        <v>892</v>
      </c>
      <c r="E9" s="292" t="s">
        <v>893</v>
      </c>
      <c r="F9" s="292" t="s">
        <v>892</v>
      </c>
      <c r="G9" s="292" t="s">
        <v>893</v>
      </c>
      <c r="H9" s="125"/>
      <c r="I9" s="56"/>
    </row>
    <row r="10" spans="1:9" ht="15.75" customHeight="1">
      <c r="A10" s="293" t="s">
        <v>894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895</v>
      </c>
      <c r="C11" s="296">
        <v>64218</v>
      </c>
      <c r="D11" s="297">
        <v>176</v>
      </c>
      <c r="E11" s="297">
        <v>199</v>
      </c>
      <c r="F11" s="298">
        <f>IF(D11=0,0,$C11/(D11*365))</f>
        <v>0.9996575342465753</v>
      </c>
      <c r="G11" s="298">
        <f>IF(E11=0,0,$C11/(E11*365))</f>
        <v>0.884119226268328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896</v>
      </c>
      <c r="C13" s="296">
        <v>7949</v>
      </c>
      <c r="D13" s="297">
        <v>22</v>
      </c>
      <c r="E13" s="297">
        <v>36</v>
      </c>
      <c r="F13" s="298">
        <f>IF(D13=0,0,$C13/(D13*365))</f>
        <v>0.9899128268991283</v>
      </c>
      <c r="G13" s="298">
        <f>IF(E13=0,0,$C13/(E13*365))</f>
        <v>0.6049467275494673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897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898</v>
      </c>
      <c r="C16" s="296">
        <v>5583</v>
      </c>
      <c r="D16" s="297">
        <v>16</v>
      </c>
      <c r="E16" s="297">
        <v>19</v>
      </c>
      <c r="F16" s="298">
        <f t="shared" si="0"/>
        <v>0.9559931506849315</v>
      </c>
      <c r="G16" s="298">
        <f t="shared" si="0"/>
        <v>0.8050468637346792</v>
      </c>
      <c r="H16" s="125"/>
      <c r="I16" s="299"/>
    </row>
    <row r="17" spans="1:9" ht="15.75" customHeight="1">
      <c r="A17" s="293"/>
      <c r="B17" s="135" t="s">
        <v>899</v>
      </c>
      <c r="C17" s="300">
        <f>SUM(C15:C16)</f>
        <v>5583</v>
      </c>
      <c r="D17" s="300">
        <f>SUM(D15:D16)</f>
        <v>16</v>
      </c>
      <c r="E17" s="300">
        <f>SUM(E15:E16)</f>
        <v>19</v>
      </c>
      <c r="F17" s="301">
        <f t="shared" si="0"/>
        <v>0.9559931506849315</v>
      </c>
      <c r="G17" s="301">
        <f t="shared" si="0"/>
        <v>0.8050468637346792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900</v>
      </c>
      <c r="C19" s="296">
        <v>5357</v>
      </c>
      <c r="D19" s="297">
        <v>15</v>
      </c>
      <c r="E19" s="297">
        <v>19</v>
      </c>
      <c r="F19" s="298">
        <f>IF(D19=0,0,$C19/(D19*365))</f>
        <v>0.9784474885844748</v>
      </c>
      <c r="G19" s="298">
        <f>IF(E19=0,0,$C19/(E19*365))</f>
        <v>0.7724585436193223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901</v>
      </c>
      <c r="C21" s="296">
        <v>7749</v>
      </c>
      <c r="D21" s="297">
        <v>22</v>
      </c>
      <c r="E21" s="297">
        <v>42</v>
      </c>
      <c r="F21" s="298">
        <f>IF(D21=0,0,$C21/(D21*365))</f>
        <v>0.9650062266500623</v>
      </c>
      <c r="G21" s="298">
        <f>IF(E21=0,0,$C21/(E21*365))</f>
        <v>0.5054794520547945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902</v>
      </c>
      <c r="C23" s="296">
        <v>5420</v>
      </c>
      <c r="D23" s="297">
        <v>15</v>
      </c>
      <c r="E23" s="297">
        <v>24</v>
      </c>
      <c r="F23" s="298">
        <f>IF(D23=0,0,$C23/(D23*365))</f>
        <v>0.9899543378995433</v>
      </c>
      <c r="G23" s="298">
        <f>IF(E23=0,0,$C23/(E23*365))</f>
        <v>0.6187214611872146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685</v>
      </c>
      <c r="C25" s="296">
        <v>4878</v>
      </c>
      <c r="D25" s="297">
        <v>15</v>
      </c>
      <c r="E25" s="297">
        <v>20</v>
      </c>
      <c r="F25" s="298">
        <f>IF(D25=0,0,$C25/(D25*365))</f>
        <v>0.890958904109589</v>
      </c>
      <c r="G25" s="298">
        <f>IF(E25=0,0,$C25/(E25*365))</f>
        <v>0.6682191780821918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903</v>
      </c>
      <c r="C27" s="296">
        <v>2447</v>
      </c>
      <c r="D27" s="297">
        <v>7</v>
      </c>
      <c r="E27" s="297">
        <v>18</v>
      </c>
      <c r="F27" s="298">
        <f>IF(D27=0,0,$C27/(D27*365))</f>
        <v>0.9577299412915852</v>
      </c>
      <c r="G27" s="298">
        <f>IF(E27=0,0,$C27/(E27*365))</f>
        <v>0.37245053272450535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904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905</v>
      </c>
      <c r="C31" s="300">
        <f>SUM(C10:C29)-C17-C23</f>
        <v>98181</v>
      </c>
      <c r="D31" s="300">
        <f>SUM(D10:D29)-D17-D23</f>
        <v>273</v>
      </c>
      <c r="E31" s="300">
        <f>SUM(E10:E29)-E17-E23</f>
        <v>353</v>
      </c>
      <c r="F31" s="301">
        <f>IF(D31=0,0,$C31/(D31*365))</f>
        <v>0.9853078428420894</v>
      </c>
      <c r="G31" s="301">
        <f>IF(E31=0,0,$C31/(E31*365))</f>
        <v>0.7620086150025224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906</v>
      </c>
      <c r="C33" s="300">
        <f>SUM(C10:C29)-C17</f>
        <v>103601</v>
      </c>
      <c r="D33" s="300">
        <f>SUM(D10:D29)-D17</f>
        <v>288</v>
      </c>
      <c r="E33" s="300">
        <f>SUM(E10:E29)-E17</f>
        <v>377</v>
      </c>
      <c r="F33" s="301">
        <f>IF(D33=0,0,$C33/(D33*365))</f>
        <v>0.9855498477929985</v>
      </c>
      <c r="G33" s="301">
        <f>IF(E33=0,0,$C33/(E33*365))</f>
        <v>0.7528868863776752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907</v>
      </c>
      <c r="C36" s="300">
        <f>+C33</f>
        <v>103601</v>
      </c>
      <c r="D36" s="300">
        <f>+D33</f>
        <v>288</v>
      </c>
      <c r="E36" s="300">
        <f>+E33</f>
        <v>377</v>
      </c>
      <c r="F36" s="301">
        <f>+F33</f>
        <v>0.9855498477929985</v>
      </c>
      <c r="G36" s="301">
        <f>+G33</f>
        <v>0.7528868863776752</v>
      </c>
      <c r="H36" s="125"/>
      <c r="I36" s="299"/>
    </row>
    <row r="37" spans="1:9" ht="15.75" customHeight="1">
      <c r="A37" s="293"/>
      <c r="B37" s="135" t="s">
        <v>908</v>
      </c>
      <c r="C37" s="300">
        <v>106845</v>
      </c>
      <c r="D37" s="302">
        <v>302</v>
      </c>
      <c r="E37" s="302">
        <v>389</v>
      </c>
      <c r="F37" s="301">
        <f>IF(D37=0,0,$C37/(D37*365))</f>
        <v>0.9692914814478817</v>
      </c>
      <c r="G37" s="301">
        <f>IF(E37=0,0,$C37/(E37*365))</f>
        <v>0.752509067859281</v>
      </c>
      <c r="H37" s="125"/>
      <c r="I37" s="299"/>
    </row>
    <row r="38" spans="1:9" ht="15.75" customHeight="1">
      <c r="A38" s="293"/>
      <c r="B38" s="135" t="s">
        <v>909</v>
      </c>
      <c r="C38" s="300">
        <f>+C36-C37</f>
        <v>-3244</v>
      </c>
      <c r="D38" s="300">
        <f>+D36-D37</f>
        <v>-14</v>
      </c>
      <c r="E38" s="300">
        <f>+E36-E37</f>
        <v>-12</v>
      </c>
      <c r="F38" s="301">
        <f>+F36-F37</f>
        <v>0.016258366345116793</v>
      </c>
      <c r="G38" s="301">
        <f>+G36-G37</f>
        <v>0.0003778185183942462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910</v>
      </c>
      <c r="C40" s="148">
        <f>IF(C37=0,0,C38/C37)</f>
        <v>-0.030361738967663438</v>
      </c>
      <c r="D40" s="148">
        <f>IF(D37=0,0,D38/D37)</f>
        <v>-0.046357615894039736</v>
      </c>
      <c r="E40" s="148">
        <f>IF(E37=0,0,E38/E37)</f>
        <v>-0.030848329048843187</v>
      </c>
      <c r="F40" s="148">
        <f>IF(F37=0,0,F38/F37)</f>
        <v>0.016773454276964053</v>
      </c>
      <c r="G40" s="148">
        <f>IF(G37=0,0,G38/G37)</f>
        <v>0.0005020783596256918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911</v>
      </c>
      <c r="C42" s="295">
        <v>425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912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894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FILING&amp;RBRIDGEPORT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390</v>
      </c>
      <c r="B1" s="698"/>
      <c r="C1" s="698"/>
      <c r="D1" s="698"/>
      <c r="E1" s="698"/>
      <c r="F1" s="698"/>
    </row>
    <row r="2" spans="1:6" ht="15.75" customHeight="1">
      <c r="A2" s="698" t="s">
        <v>391</v>
      </c>
      <c r="B2" s="698"/>
      <c r="C2" s="698"/>
      <c r="D2" s="698"/>
      <c r="E2" s="698"/>
      <c r="F2" s="698"/>
    </row>
    <row r="3" spans="1:6" ht="15.75" customHeight="1">
      <c r="A3" s="698" t="s">
        <v>392</v>
      </c>
      <c r="B3" s="698"/>
      <c r="C3" s="698"/>
      <c r="D3" s="698"/>
      <c r="E3" s="698"/>
      <c r="F3" s="698"/>
    </row>
    <row r="4" spans="1:6" ht="15.75" customHeight="1">
      <c r="A4" s="698" t="s">
        <v>913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400</v>
      </c>
      <c r="D8" s="312" t="s">
        <v>400</v>
      </c>
      <c r="E8" s="126" t="s">
        <v>396</v>
      </c>
      <c r="F8" s="126" t="s">
        <v>397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398</v>
      </c>
      <c r="B9" s="291" t="s">
        <v>399</v>
      </c>
      <c r="C9" s="292" t="s">
        <v>394</v>
      </c>
      <c r="D9" s="292" t="s">
        <v>395</v>
      </c>
      <c r="E9" s="315" t="s">
        <v>401</v>
      </c>
      <c r="F9" s="315" t="s">
        <v>401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404</v>
      </c>
      <c r="B11" s="291" t="s">
        <v>914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915</v>
      </c>
      <c r="C12" s="296">
        <v>11207</v>
      </c>
      <c r="D12" s="296">
        <v>11136</v>
      </c>
      <c r="E12" s="296">
        <f>+D12-C12</f>
        <v>-71</v>
      </c>
      <c r="F12" s="316">
        <f>IF(C12=0,0,+E12/C12)</f>
        <v>-0.006335326135451057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916</v>
      </c>
      <c r="C13" s="296">
        <v>2121</v>
      </c>
      <c r="D13" s="296">
        <v>2292</v>
      </c>
      <c r="E13" s="296">
        <f>+D13-C13</f>
        <v>171</v>
      </c>
      <c r="F13" s="316">
        <f>IF(C13=0,0,+E13/C13)</f>
        <v>0.08062234794908062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917</v>
      </c>
      <c r="C14" s="296">
        <v>9336</v>
      </c>
      <c r="D14" s="296">
        <v>9454</v>
      </c>
      <c r="E14" s="296">
        <f>+D14-C14</f>
        <v>118</v>
      </c>
      <c r="F14" s="316">
        <f>IF(C14=0,0,+E14/C14)</f>
        <v>0.012639245929734361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918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919</v>
      </c>
      <c r="C16" s="300">
        <f>SUM(C12:C15)</f>
        <v>22664</v>
      </c>
      <c r="D16" s="300">
        <f>SUM(D12:D15)</f>
        <v>22882</v>
      </c>
      <c r="E16" s="300">
        <f>+D16-C16</f>
        <v>218</v>
      </c>
      <c r="F16" s="309">
        <f>IF(C16=0,0,+E16/C16)</f>
        <v>0.009618778679844687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416</v>
      </c>
      <c r="B18" s="291" t="s">
        <v>920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915</v>
      </c>
      <c r="C19" s="296">
        <v>1321</v>
      </c>
      <c r="D19" s="296">
        <v>1089</v>
      </c>
      <c r="E19" s="296">
        <f>+D19-C19</f>
        <v>-232</v>
      </c>
      <c r="F19" s="316">
        <f>IF(C19=0,0,+E19/C19)</f>
        <v>-0.17562452687358063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916</v>
      </c>
      <c r="C20" s="296">
        <v>0</v>
      </c>
      <c r="D20" s="296">
        <v>0</v>
      </c>
      <c r="E20" s="296">
        <f>+D20-C20</f>
        <v>0</v>
      </c>
      <c r="F20" s="316">
        <f>IF(C20=0,0,+E20/C20)</f>
        <v>0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917</v>
      </c>
      <c r="C21" s="296">
        <v>244</v>
      </c>
      <c r="D21" s="296">
        <v>212</v>
      </c>
      <c r="E21" s="296">
        <f>+D21-C21</f>
        <v>-32</v>
      </c>
      <c r="F21" s="316">
        <f>IF(C21=0,0,+E21/C21)</f>
        <v>-0.13114754098360656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918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921</v>
      </c>
      <c r="C23" s="300">
        <f>SUM(C19:C22)</f>
        <v>1565</v>
      </c>
      <c r="D23" s="300">
        <f>SUM(D19:D22)</f>
        <v>1301</v>
      </c>
      <c r="E23" s="300">
        <f>+D23-C23</f>
        <v>-264</v>
      </c>
      <c r="F23" s="309">
        <f>IF(C23=0,0,+E23/C23)</f>
        <v>-0.16869009584664538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426</v>
      </c>
      <c r="B25" s="291" t="s">
        <v>922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915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916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917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918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923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711</v>
      </c>
      <c r="B32" s="291" t="s">
        <v>924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915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916</v>
      </c>
      <c r="C34" s="296">
        <v>177</v>
      </c>
      <c r="D34" s="296">
        <v>138</v>
      </c>
      <c r="E34" s="296">
        <f>+D34-C34</f>
        <v>-39</v>
      </c>
      <c r="F34" s="316">
        <f>IF(C34=0,0,+E34/C34)</f>
        <v>-0.22033898305084745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917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918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925</v>
      </c>
      <c r="C37" s="300">
        <f>SUM(C33:C36)</f>
        <v>177</v>
      </c>
      <c r="D37" s="300">
        <f>SUM(D33:D36)</f>
        <v>138</v>
      </c>
      <c r="E37" s="300">
        <f>+D37-C37</f>
        <v>-39</v>
      </c>
      <c r="F37" s="309">
        <f>IF(C37=0,0,+E37/C37)</f>
        <v>-0.22033898305084745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926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927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732</v>
      </c>
      <c r="B42" s="291" t="s">
        <v>928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929</v>
      </c>
      <c r="C43" s="296">
        <v>485</v>
      </c>
      <c r="D43" s="296">
        <v>421</v>
      </c>
      <c r="E43" s="296">
        <f>+D43-C43</f>
        <v>-64</v>
      </c>
      <c r="F43" s="316">
        <f>IF(C43=0,0,+E43/C43)</f>
        <v>-0.13195876288659794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930</v>
      </c>
      <c r="C44" s="296">
        <v>8037</v>
      </c>
      <c r="D44" s="296">
        <v>7448</v>
      </c>
      <c r="E44" s="296">
        <f>+D44-C44</f>
        <v>-589</v>
      </c>
      <c r="F44" s="316">
        <f>IF(C44=0,0,+E44/C44)</f>
        <v>-0.07328605200945626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931</v>
      </c>
      <c r="C45" s="300">
        <f>SUM(C43:C44)</f>
        <v>8522</v>
      </c>
      <c r="D45" s="300">
        <f>SUM(D43:D44)</f>
        <v>7869</v>
      </c>
      <c r="E45" s="300">
        <f>+D45-C45</f>
        <v>-653</v>
      </c>
      <c r="F45" s="309">
        <f>IF(C45=0,0,+E45/C45)</f>
        <v>-0.07662520535085661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744</v>
      </c>
      <c r="B47" s="291" t="s">
        <v>932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929</v>
      </c>
      <c r="C48" s="296">
        <v>817</v>
      </c>
      <c r="D48" s="296">
        <v>629</v>
      </c>
      <c r="E48" s="296">
        <f>+D48-C48</f>
        <v>-188</v>
      </c>
      <c r="F48" s="316">
        <f>IF(C48=0,0,+E48/C48)</f>
        <v>-0.23011015911872704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930</v>
      </c>
      <c r="C49" s="296">
        <v>265</v>
      </c>
      <c r="D49" s="296">
        <v>373</v>
      </c>
      <c r="E49" s="296">
        <f>+D49-C49</f>
        <v>108</v>
      </c>
      <c r="F49" s="316">
        <f>IF(C49=0,0,+E49/C49)</f>
        <v>0.4075471698113208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933</v>
      </c>
      <c r="C50" s="300">
        <f>SUM(C48:C49)</f>
        <v>1082</v>
      </c>
      <c r="D50" s="300">
        <f>SUM(D48:D49)</f>
        <v>1002</v>
      </c>
      <c r="E50" s="300">
        <f>+D50-C50</f>
        <v>-80</v>
      </c>
      <c r="F50" s="309">
        <f>IF(C50=0,0,+E50/C50)</f>
        <v>-0.07393715341959335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756</v>
      </c>
      <c r="B52" s="291" t="s">
        <v>934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935</v>
      </c>
      <c r="C53" s="296">
        <v>221</v>
      </c>
      <c r="D53" s="296">
        <v>200</v>
      </c>
      <c r="E53" s="296">
        <f>+D53-C53</f>
        <v>-21</v>
      </c>
      <c r="F53" s="316">
        <f>IF(C53=0,0,+E53/C53)</f>
        <v>-0.09502262443438914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936</v>
      </c>
      <c r="C54" s="296">
        <v>40</v>
      </c>
      <c r="D54" s="296">
        <v>333</v>
      </c>
      <c r="E54" s="296">
        <f>+D54-C54</f>
        <v>293</v>
      </c>
      <c r="F54" s="316">
        <f>IF(C54=0,0,+E54/C54)</f>
        <v>7.325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937</v>
      </c>
      <c r="C55" s="300">
        <f>SUM(C53:C54)</f>
        <v>261</v>
      </c>
      <c r="D55" s="300">
        <f>SUM(D53:D54)</f>
        <v>533</v>
      </c>
      <c r="E55" s="300">
        <f>+D55-C55</f>
        <v>272</v>
      </c>
      <c r="F55" s="309">
        <f>IF(C55=0,0,+E55/C55)</f>
        <v>1.0421455938697317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760</v>
      </c>
      <c r="B57" s="291" t="s">
        <v>938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939</v>
      </c>
      <c r="C58" s="296">
        <v>25</v>
      </c>
      <c r="D58" s="296">
        <v>11</v>
      </c>
      <c r="E58" s="296">
        <f>+D58-C58</f>
        <v>-14</v>
      </c>
      <c r="F58" s="316">
        <f>IF(C58=0,0,+E58/C58)</f>
        <v>-0.56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940</v>
      </c>
      <c r="C59" s="296">
        <v>47</v>
      </c>
      <c r="D59" s="296">
        <v>60</v>
      </c>
      <c r="E59" s="296">
        <f>+D59-C59</f>
        <v>13</v>
      </c>
      <c r="F59" s="316">
        <f>IF(C59=0,0,+E59/C59)</f>
        <v>0.2765957446808511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941</v>
      </c>
      <c r="C60" s="300">
        <f>SUM(C58:C59)</f>
        <v>72</v>
      </c>
      <c r="D60" s="300">
        <f>SUM(D58:D59)</f>
        <v>71</v>
      </c>
      <c r="E60" s="300">
        <f>SUM(E58:E59)</f>
        <v>-1</v>
      </c>
      <c r="F60" s="309">
        <f>IF(C60=0,0,+E60/C60)</f>
        <v>-0.013888888888888888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402</v>
      </c>
      <c r="B62" s="291" t="s">
        <v>942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943</v>
      </c>
      <c r="C63" s="296">
        <v>4539</v>
      </c>
      <c r="D63" s="296">
        <v>4520</v>
      </c>
      <c r="E63" s="296">
        <f>+D63-C63</f>
        <v>-19</v>
      </c>
      <c r="F63" s="316">
        <f>IF(C63=0,0,+E63/C63)</f>
        <v>-0.004185944040537563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944</v>
      </c>
      <c r="C64" s="296">
        <v>7232</v>
      </c>
      <c r="D64" s="296">
        <v>7430</v>
      </c>
      <c r="E64" s="296">
        <f>+D64-C64</f>
        <v>198</v>
      </c>
      <c r="F64" s="316">
        <f>IF(C64=0,0,+E64/C64)</f>
        <v>0.027378318584070797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945</v>
      </c>
      <c r="C65" s="300">
        <f>SUM(C63:C64)</f>
        <v>11771</v>
      </c>
      <c r="D65" s="300">
        <f>SUM(D63:D64)</f>
        <v>11950</v>
      </c>
      <c r="E65" s="300">
        <f>+D65-C65</f>
        <v>179</v>
      </c>
      <c r="F65" s="309">
        <f>IF(C65=0,0,+E65/C65)</f>
        <v>0.015206864327584743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786</v>
      </c>
      <c r="B67" s="291" t="s">
        <v>946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947</v>
      </c>
      <c r="C68" s="296">
        <v>1394</v>
      </c>
      <c r="D68" s="296">
        <v>1208</v>
      </c>
      <c r="E68" s="296">
        <f>+D68-C68</f>
        <v>-186</v>
      </c>
      <c r="F68" s="316">
        <f>IF(C68=0,0,+E68/C68)</f>
        <v>-0.133428981348637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948</v>
      </c>
      <c r="C69" s="296">
        <v>5866</v>
      </c>
      <c r="D69" s="296">
        <v>5871</v>
      </c>
      <c r="E69" s="296">
        <f>+D69-C69</f>
        <v>5</v>
      </c>
      <c r="F69" s="318">
        <f>IF(C69=0,0,+E69/C69)</f>
        <v>0.0008523695874531196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949</v>
      </c>
      <c r="C70" s="300">
        <f>SUM(C68:C69)</f>
        <v>7260</v>
      </c>
      <c r="D70" s="300">
        <f>SUM(D68:D69)</f>
        <v>7079</v>
      </c>
      <c r="E70" s="300">
        <f>+D70-C70</f>
        <v>-181</v>
      </c>
      <c r="F70" s="309">
        <f>IF(C70=0,0,+E70/C70)</f>
        <v>-0.024931129476584022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802</v>
      </c>
      <c r="B72" s="291" t="s">
        <v>950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951</v>
      </c>
      <c r="C73" s="319">
        <v>10058</v>
      </c>
      <c r="D73" s="319">
        <v>10610</v>
      </c>
      <c r="E73" s="296">
        <f>+D73-C73</f>
        <v>552</v>
      </c>
      <c r="F73" s="316">
        <f>IF(C73=0,0,+E73/C73)</f>
        <v>0.05488168621992444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952</v>
      </c>
      <c r="C74" s="319">
        <v>56580</v>
      </c>
      <c r="D74" s="319">
        <v>66812</v>
      </c>
      <c r="E74" s="296">
        <f>+D74-C74</f>
        <v>10232</v>
      </c>
      <c r="F74" s="316">
        <f>IF(C74=0,0,+E74/C74)</f>
        <v>0.1808412866737363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818</v>
      </c>
      <c r="C75" s="300">
        <f>SUM(C73:C74)</f>
        <v>66638</v>
      </c>
      <c r="D75" s="300">
        <f>SUM(D73:D74)</f>
        <v>77422</v>
      </c>
      <c r="E75" s="300">
        <f>SUM(E73:E74)</f>
        <v>10784</v>
      </c>
      <c r="F75" s="309">
        <f>IF(C75=0,0,+E75/C75)</f>
        <v>0.16182958672229059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811</v>
      </c>
      <c r="B78" s="291" t="s">
        <v>953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954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955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956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957</v>
      </c>
      <c r="C82" s="319">
        <v>24874</v>
      </c>
      <c r="D82" s="319">
        <v>27088</v>
      </c>
      <c r="E82" s="296">
        <f t="shared" si="0"/>
        <v>2214</v>
      </c>
      <c r="F82" s="316">
        <f t="shared" si="1"/>
        <v>0.08900860336093913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958</v>
      </c>
      <c r="C83" s="319">
        <v>9088</v>
      </c>
      <c r="D83" s="319">
        <v>7932</v>
      </c>
      <c r="E83" s="296">
        <f t="shared" si="0"/>
        <v>-1156</v>
      </c>
      <c r="F83" s="316">
        <f t="shared" si="1"/>
        <v>-0.12720070422535212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959</v>
      </c>
      <c r="C84" s="320">
        <f>SUM(C79:C83)</f>
        <v>33962</v>
      </c>
      <c r="D84" s="320">
        <f>SUM(D79:D83)</f>
        <v>35020</v>
      </c>
      <c r="E84" s="300">
        <f t="shared" si="0"/>
        <v>1058</v>
      </c>
      <c r="F84" s="309">
        <f t="shared" si="1"/>
        <v>0.031152464519168484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814</v>
      </c>
      <c r="B86" s="291" t="s">
        <v>960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961</v>
      </c>
      <c r="C87" s="322">
        <v>38145</v>
      </c>
      <c r="D87" s="322">
        <v>39375</v>
      </c>
      <c r="E87" s="323">
        <f aca="true" t="shared" si="2" ref="E87:E92">+D87-C87</f>
        <v>1230</v>
      </c>
      <c r="F87" s="318">
        <f aca="true" t="shared" si="3" ref="F87:F92">IF(C87=0,0,+E87/C87)</f>
        <v>0.03224537947306331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653</v>
      </c>
      <c r="C88" s="322">
        <v>3223</v>
      </c>
      <c r="D88" s="322">
        <v>4069</v>
      </c>
      <c r="E88" s="296">
        <f t="shared" si="2"/>
        <v>846</v>
      </c>
      <c r="F88" s="316">
        <f t="shared" si="3"/>
        <v>0.26248836487744337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962</v>
      </c>
      <c r="C89" s="322">
        <v>819</v>
      </c>
      <c r="D89" s="322">
        <v>734</v>
      </c>
      <c r="E89" s="296">
        <f t="shared" si="2"/>
        <v>-85</v>
      </c>
      <c r="F89" s="316">
        <f t="shared" si="3"/>
        <v>-0.10378510378510379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963</v>
      </c>
      <c r="C90" s="322">
        <v>5866</v>
      </c>
      <c r="D90" s="322">
        <v>5871</v>
      </c>
      <c r="E90" s="296">
        <f t="shared" si="2"/>
        <v>5</v>
      </c>
      <c r="F90" s="316">
        <f t="shared" si="3"/>
        <v>0.0008523695874531196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964</v>
      </c>
      <c r="C91" s="322">
        <v>71671</v>
      </c>
      <c r="D91" s="322">
        <v>79356</v>
      </c>
      <c r="E91" s="296">
        <f t="shared" si="2"/>
        <v>7685</v>
      </c>
      <c r="F91" s="316">
        <f t="shared" si="3"/>
        <v>0.10722607470245984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965</v>
      </c>
      <c r="C92" s="320">
        <f>SUM(C87:C91)</f>
        <v>119724</v>
      </c>
      <c r="D92" s="320">
        <f>SUM(D87:D91)</f>
        <v>129405</v>
      </c>
      <c r="E92" s="300">
        <f t="shared" si="2"/>
        <v>9681</v>
      </c>
      <c r="F92" s="309">
        <f t="shared" si="3"/>
        <v>0.08086098025458555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966</v>
      </c>
      <c r="B95" s="291" t="s">
        <v>967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968</v>
      </c>
      <c r="C96" s="325">
        <v>557.2</v>
      </c>
      <c r="D96" s="325">
        <v>566.6</v>
      </c>
      <c r="E96" s="326">
        <f>+D96-C96</f>
        <v>9.399999999999977</v>
      </c>
      <c r="F96" s="316">
        <f>IF(C96=0,0,+E96/C96)</f>
        <v>0.016870064608758034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969</v>
      </c>
      <c r="C97" s="325">
        <v>129</v>
      </c>
      <c r="D97" s="325">
        <v>129.7</v>
      </c>
      <c r="E97" s="326">
        <f>+D97-C97</f>
        <v>0.6999999999999886</v>
      </c>
      <c r="F97" s="316">
        <f>IF(C97=0,0,+E97/C97)</f>
        <v>0.005426356589147198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970</v>
      </c>
      <c r="C98" s="325">
        <v>1393.6</v>
      </c>
      <c r="D98" s="325">
        <v>1343.2</v>
      </c>
      <c r="E98" s="326">
        <f>+D98-C98</f>
        <v>-50.399999999999864</v>
      </c>
      <c r="F98" s="316">
        <f>IF(C98=0,0,+E98/C98)</f>
        <v>-0.03616532721010323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971</v>
      </c>
      <c r="C99" s="327">
        <f>SUM(C96:C98)</f>
        <v>2079.8</v>
      </c>
      <c r="D99" s="327">
        <f>SUM(D96:D98)</f>
        <v>2039.5</v>
      </c>
      <c r="E99" s="327">
        <f>+D99-C99</f>
        <v>-40.30000000000018</v>
      </c>
      <c r="F99" s="309">
        <f>IF(C99=0,0,+E99/C99)</f>
        <v>-0.019376863159919308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FILING&amp;RBRIDGEPORT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390</v>
      </c>
      <c r="B1" s="698"/>
      <c r="C1" s="698"/>
      <c r="D1" s="698"/>
      <c r="E1" s="698"/>
      <c r="F1" s="698"/>
    </row>
    <row r="2" spans="1:6" ht="15.75" customHeight="1">
      <c r="A2" s="698" t="s">
        <v>391</v>
      </c>
      <c r="B2" s="698"/>
      <c r="C2" s="698"/>
      <c r="D2" s="698"/>
      <c r="E2" s="698"/>
      <c r="F2" s="698"/>
    </row>
    <row r="3" spans="1:6" ht="15.75" customHeight="1">
      <c r="A3" s="698" t="s">
        <v>392</v>
      </c>
      <c r="B3" s="698"/>
      <c r="C3" s="698"/>
      <c r="D3" s="698"/>
      <c r="E3" s="698"/>
      <c r="F3" s="698"/>
    </row>
    <row r="4" spans="1:6" ht="15.75" customHeight="1">
      <c r="A4" s="698" t="s">
        <v>972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400</v>
      </c>
      <c r="D8" s="312" t="s">
        <v>400</v>
      </c>
      <c r="E8" s="126" t="s">
        <v>396</v>
      </c>
      <c r="F8" s="126" t="s">
        <v>397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398</v>
      </c>
      <c r="B9" s="291" t="s">
        <v>399</v>
      </c>
      <c r="C9" s="292" t="s">
        <v>394</v>
      </c>
      <c r="D9" s="292" t="s">
        <v>395</v>
      </c>
      <c r="E9" s="315" t="s">
        <v>401</v>
      </c>
      <c r="F9" s="315" t="s">
        <v>401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500</v>
      </c>
      <c r="B11" s="291" t="s">
        <v>944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973</v>
      </c>
      <c r="C12" s="296">
        <v>7232</v>
      </c>
      <c r="D12" s="296">
        <v>7430</v>
      </c>
      <c r="E12" s="296">
        <f>+D12-C12</f>
        <v>198</v>
      </c>
      <c r="F12" s="316">
        <f>IF(C12=0,0,+E12/C12)</f>
        <v>0.027378318584070797</v>
      </c>
    </row>
    <row r="13" spans="1:6" ht="15.75" customHeight="1">
      <c r="A13" s="294"/>
      <c r="B13" s="135" t="s">
        <v>974</v>
      </c>
      <c r="C13" s="300">
        <f>SUM(C11:C12)</f>
        <v>7232</v>
      </c>
      <c r="D13" s="300">
        <f>SUM(D11:D12)</f>
        <v>7430</v>
      </c>
      <c r="E13" s="300">
        <f>+D13-C13</f>
        <v>198</v>
      </c>
      <c r="F13" s="309">
        <f>IF(C13=0,0,+E13/C13)</f>
        <v>0.027378318584070797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514</v>
      </c>
      <c r="B15" s="291" t="s">
        <v>948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973</v>
      </c>
      <c r="C16" s="296">
        <v>5866</v>
      </c>
      <c r="D16" s="296">
        <v>5871</v>
      </c>
      <c r="E16" s="296">
        <f>+D16-C16</f>
        <v>5</v>
      </c>
      <c r="F16" s="316">
        <f>IF(C16=0,0,+E16/C16)</f>
        <v>0.0008523695874531196</v>
      </c>
    </row>
    <row r="17" spans="1:6" ht="15.75" customHeight="1">
      <c r="A17" s="294"/>
      <c r="B17" s="135" t="s">
        <v>975</v>
      </c>
      <c r="C17" s="300">
        <f>SUM(C15:C16)</f>
        <v>5866</v>
      </c>
      <c r="D17" s="300">
        <f>SUM(D15:D16)</f>
        <v>5871</v>
      </c>
      <c r="E17" s="300">
        <f>+D17-C17</f>
        <v>5</v>
      </c>
      <c r="F17" s="309">
        <f>IF(C17=0,0,+E17/C17)</f>
        <v>0.0008523695874531196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531</v>
      </c>
      <c r="B19" s="291" t="s">
        <v>976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973</v>
      </c>
      <c r="C20" s="296">
        <v>56580</v>
      </c>
      <c r="D20" s="296">
        <v>66812</v>
      </c>
      <c r="E20" s="296">
        <f>+D20-C20</f>
        <v>10232</v>
      </c>
      <c r="F20" s="316">
        <f>IF(C20=0,0,+E20/C20)</f>
        <v>0.1808412866737363</v>
      </c>
    </row>
    <row r="21" spans="1:6" ht="15.75" customHeight="1">
      <c r="A21" s="294"/>
      <c r="B21" s="135" t="s">
        <v>977</v>
      </c>
      <c r="C21" s="300">
        <f>SUM(C19:C20)</f>
        <v>56580</v>
      </c>
      <c r="D21" s="300">
        <f>SUM(D19:D20)</f>
        <v>66812</v>
      </c>
      <c r="E21" s="300">
        <f>+D21-C21</f>
        <v>10232</v>
      </c>
      <c r="F21" s="309">
        <f>IF(C21=0,0,+E21/C21)</f>
        <v>0.1808412866737363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0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1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2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FILING&amp;RBRIDGEPORT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390</v>
      </c>
      <c r="B1" s="705"/>
      <c r="C1" s="705"/>
      <c r="D1" s="705"/>
      <c r="E1" s="705"/>
      <c r="F1" s="705"/>
    </row>
    <row r="2" spans="1:6" ht="15.75" customHeight="1">
      <c r="A2" s="706" t="s">
        <v>3</v>
      </c>
      <c r="B2" s="707"/>
      <c r="C2" s="707"/>
      <c r="D2" s="707"/>
      <c r="E2" s="707"/>
      <c r="F2" s="708"/>
    </row>
    <row r="3" spans="1:6" ht="15.75" customHeight="1">
      <c r="A3" s="706" t="s">
        <v>4</v>
      </c>
      <c r="B3" s="707"/>
      <c r="C3" s="707"/>
      <c r="D3" s="707"/>
      <c r="E3" s="707"/>
      <c r="F3" s="708"/>
    </row>
    <row r="4" spans="1:6" ht="15.75" customHeight="1">
      <c r="A4" s="702" t="s">
        <v>5</v>
      </c>
      <c r="B4" s="703"/>
      <c r="C4" s="703"/>
      <c r="D4" s="703"/>
      <c r="E4" s="703"/>
      <c r="F4" s="704"/>
    </row>
    <row r="5" spans="1:6" ht="15.75" customHeight="1">
      <c r="A5" s="702" t="s">
        <v>6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</v>
      </c>
      <c r="D7" s="341" t="s">
        <v>7</v>
      </c>
      <c r="E7" s="341" t="s">
        <v>8</v>
      </c>
      <c r="F7" s="341" t="s">
        <v>397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398</v>
      </c>
      <c r="B8" s="343" t="s">
        <v>399</v>
      </c>
      <c r="C8" s="344" t="s">
        <v>9</v>
      </c>
      <c r="D8" s="344" t="s">
        <v>10</v>
      </c>
      <c r="E8" s="344" t="s">
        <v>401</v>
      </c>
      <c r="F8" s="344" t="s">
        <v>401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402</v>
      </c>
      <c r="B10" s="349" t="s">
        <v>11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404</v>
      </c>
      <c r="B12" s="356" t="s">
        <v>12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13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14</v>
      </c>
      <c r="C15" s="361">
        <v>319173272</v>
      </c>
      <c r="D15" s="361">
        <v>324822789</v>
      </c>
      <c r="E15" s="361">
        <f aca="true" t="shared" si="0" ref="E15:E24">D15-C15</f>
        <v>5649517</v>
      </c>
      <c r="F15" s="362">
        <f aca="true" t="shared" si="1" ref="F15:F24">IF(C15=0,0,E15/C15)</f>
        <v>0.01770047023235705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15</v>
      </c>
      <c r="C16" s="361">
        <v>115945117</v>
      </c>
      <c r="D16" s="361">
        <v>115290249</v>
      </c>
      <c r="E16" s="361">
        <f t="shared" si="0"/>
        <v>-654868</v>
      </c>
      <c r="F16" s="362">
        <f t="shared" si="1"/>
        <v>-0.00564808606816965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16</v>
      </c>
      <c r="C17" s="366">
        <f>IF(C15=0,0,C16/C15)</f>
        <v>0.36326700000117806</v>
      </c>
      <c r="D17" s="366">
        <f>IF(LN_IA1=0,0,LN_IA2/LN_IA1)</f>
        <v>0.35493275996715856</v>
      </c>
      <c r="E17" s="367">
        <f t="shared" si="0"/>
        <v>-0.008334240034019502</v>
      </c>
      <c r="F17" s="362">
        <f t="shared" si="1"/>
        <v>-0.022942463901186934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527</v>
      </c>
      <c r="C18" s="369">
        <v>7096</v>
      </c>
      <c r="D18" s="369">
        <v>7107</v>
      </c>
      <c r="E18" s="369">
        <f t="shared" si="0"/>
        <v>11</v>
      </c>
      <c r="F18" s="362">
        <f t="shared" si="1"/>
        <v>0.0015501691093573844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17</v>
      </c>
      <c r="C19" s="372">
        <v>1.61224</v>
      </c>
      <c r="D19" s="372">
        <v>1.64252</v>
      </c>
      <c r="E19" s="373">
        <f t="shared" si="0"/>
        <v>0.030280000000000085</v>
      </c>
      <c r="F19" s="362">
        <f t="shared" si="1"/>
        <v>0.018781322879968296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18</v>
      </c>
      <c r="C20" s="376">
        <f>C18*C19</f>
        <v>11440.455039999999</v>
      </c>
      <c r="D20" s="376">
        <f>LN_IA4*LN_IA5</f>
        <v>11673.38964</v>
      </c>
      <c r="E20" s="376">
        <f t="shared" si="0"/>
        <v>232.9346000000005</v>
      </c>
      <c r="F20" s="362">
        <f t="shared" si="1"/>
        <v>0.02036060621588707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19</v>
      </c>
      <c r="C21" s="378">
        <f>IF(C20=0,0,C16/C20)</f>
        <v>10134.659556338767</v>
      </c>
      <c r="D21" s="378">
        <f>IF(LN_IA6=0,0,LN_IA2/LN_IA6)</f>
        <v>9876.3300596895</v>
      </c>
      <c r="E21" s="378">
        <f t="shared" si="0"/>
        <v>-258.32949664926673</v>
      </c>
      <c r="F21" s="362">
        <f t="shared" si="1"/>
        <v>-0.025489706409298516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529</v>
      </c>
      <c r="C22" s="369">
        <v>50126</v>
      </c>
      <c r="D22" s="369">
        <v>49724</v>
      </c>
      <c r="E22" s="369">
        <f t="shared" si="0"/>
        <v>-402</v>
      </c>
      <c r="F22" s="362">
        <f t="shared" si="1"/>
        <v>-0.008019790128875234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20</v>
      </c>
      <c r="C23" s="378">
        <f>IF(C22=0,0,C16/C22)</f>
        <v>2313.073395044488</v>
      </c>
      <c r="D23" s="378">
        <f>IF(LN_IA8=0,0,LN_IA2/LN_IA8)</f>
        <v>2318.6036722709355</v>
      </c>
      <c r="E23" s="378">
        <f t="shared" si="0"/>
        <v>5.530277226447652</v>
      </c>
      <c r="F23" s="362">
        <f t="shared" si="1"/>
        <v>0.002390878403727127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21</v>
      </c>
      <c r="C24" s="379">
        <f>IF(C18=0,0,C22/C18)</f>
        <v>7.063979706877114</v>
      </c>
      <c r="D24" s="379">
        <f>IF(LN_IA4=0,0,LN_IA8/LN_IA4)</f>
        <v>6.9964823413535955</v>
      </c>
      <c r="E24" s="379">
        <f t="shared" si="0"/>
        <v>-0.06749736552351848</v>
      </c>
      <c r="F24" s="362">
        <f t="shared" si="1"/>
        <v>-0.009555147144294122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22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23</v>
      </c>
      <c r="C27" s="361">
        <v>90521538</v>
      </c>
      <c r="D27" s="361">
        <v>98628801</v>
      </c>
      <c r="E27" s="361">
        <f aca="true" t="shared" si="2" ref="E27:E32">D27-C27</f>
        <v>8107263</v>
      </c>
      <c r="F27" s="362">
        <f aca="true" t="shared" si="3" ref="F27:F32">IF(C27=0,0,E27/C27)</f>
        <v>0.08956170187917045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24</v>
      </c>
      <c r="C28" s="361">
        <v>19334744</v>
      </c>
      <c r="D28" s="361">
        <v>21525380</v>
      </c>
      <c r="E28" s="361">
        <f t="shared" si="2"/>
        <v>2190636</v>
      </c>
      <c r="F28" s="362">
        <f t="shared" si="3"/>
        <v>0.11330049159171696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25</v>
      </c>
      <c r="C29" s="366">
        <f>IF(C27=0,0,C28/C27)</f>
        <v>0.21359274739675765</v>
      </c>
      <c r="D29" s="366">
        <f>IF(LN_IA11=0,0,LN_IA12/LN_IA11)</f>
        <v>0.21824639234943147</v>
      </c>
      <c r="E29" s="367">
        <f t="shared" si="2"/>
        <v>0.004653644952673813</v>
      </c>
      <c r="F29" s="362">
        <f t="shared" si="3"/>
        <v>0.02178746708112457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26</v>
      </c>
      <c r="C30" s="366">
        <f>IF(C15=0,0,C27/C15)</f>
        <v>0.2836125263020144</v>
      </c>
      <c r="D30" s="366">
        <f>IF(LN_IA1=0,0,LN_IA11/LN_IA1)</f>
        <v>0.3036387973382003</v>
      </c>
      <c r="E30" s="367">
        <f t="shared" si="2"/>
        <v>0.020026271036185928</v>
      </c>
      <c r="F30" s="362">
        <f t="shared" si="3"/>
        <v>0.07061137706893904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27</v>
      </c>
      <c r="C31" s="376">
        <f>C30*C18</f>
        <v>2012.514486639094</v>
      </c>
      <c r="D31" s="376">
        <f>LN_IA14*LN_IA4</f>
        <v>2157.96093268259</v>
      </c>
      <c r="E31" s="376">
        <f t="shared" si="2"/>
        <v>145.44644604349583</v>
      </c>
      <c r="F31" s="362">
        <f t="shared" si="3"/>
        <v>0.07227100575379802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28</v>
      </c>
      <c r="C32" s="378">
        <f>IF(C31=0,0,C28/C31)</f>
        <v>9607.257054973596</v>
      </c>
      <c r="D32" s="378">
        <f>IF(LN_IA15=0,0,LN_IA12/LN_IA15)</f>
        <v>9974.87010723661</v>
      </c>
      <c r="E32" s="378">
        <f t="shared" si="2"/>
        <v>367.61305226301374</v>
      </c>
      <c r="F32" s="362">
        <f t="shared" si="3"/>
        <v>0.038264100789590465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29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30</v>
      </c>
      <c r="C35" s="361">
        <f>C15+C27</f>
        <v>409694810</v>
      </c>
      <c r="D35" s="361">
        <f>LN_IA1+LN_IA11</f>
        <v>423451590</v>
      </c>
      <c r="E35" s="361">
        <f>D35-C35</f>
        <v>13756780</v>
      </c>
      <c r="F35" s="362">
        <f>IF(C35=0,0,E35/C35)</f>
        <v>0.03357811635446395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31</v>
      </c>
      <c r="C36" s="361">
        <f>C16+C28</f>
        <v>135279861</v>
      </c>
      <c r="D36" s="361">
        <f>LN_IA2+LN_IA12</f>
        <v>136815629</v>
      </c>
      <c r="E36" s="361">
        <f>D36-C36</f>
        <v>1535768</v>
      </c>
      <c r="F36" s="362">
        <f>IF(C36=0,0,E36/C36)</f>
        <v>0.011352524970438874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32</v>
      </c>
      <c r="C37" s="361">
        <f>C35-C36</f>
        <v>274414949</v>
      </c>
      <c r="D37" s="361">
        <f>LN_IA17-LN_IA18</f>
        <v>286635961</v>
      </c>
      <c r="E37" s="361">
        <f>D37-C37</f>
        <v>12221012</v>
      </c>
      <c r="F37" s="362">
        <f>IF(C37=0,0,E37/C37)</f>
        <v>0.04453478953874339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416</v>
      </c>
      <c r="B39" s="356" t="s">
        <v>33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34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14</v>
      </c>
      <c r="C42" s="361">
        <v>214611262</v>
      </c>
      <c r="D42" s="361">
        <v>205433168</v>
      </c>
      <c r="E42" s="361">
        <f aca="true" t="shared" si="4" ref="E42:E53">D42-C42</f>
        <v>-9178094</v>
      </c>
      <c r="F42" s="362">
        <f aca="true" t="shared" si="5" ref="F42:F53">IF(C42=0,0,E42/C42)</f>
        <v>-0.042766134053114135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15</v>
      </c>
      <c r="C43" s="361">
        <v>79626394</v>
      </c>
      <c r="D43" s="361">
        <v>81155490</v>
      </c>
      <c r="E43" s="361">
        <f t="shared" si="4"/>
        <v>1529096</v>
      </c>
      <c r="F43" s="362">
        <f t="shared" si="5"/>
        <v>0.019203381230600496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16</v>
      </c>
      <c r="C44" s="366">
        <f>IF(C42=0,0,C43/C42)</f>
        <v>0.3710261673033729</v>
      </c>
      <c r="D44" s="366">
        <f>IF(LN_IB1=0,0,LN_IB2/LN_IB1)</f>
        <v>0.3950457016755931</v>
      </c>
      <c r="E44" s="367">
        <f t="shared" si="4"/>
        <v>0.024019534372220208</v>
      </c>
      <c r="F44" s="362">
        <f t="shared" si="5"/>
        <v>0.0647381141518798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527</v>
      </c>
      <c r="C45" s="369">
        <v>7478</v>
      </c>
      <c r="D45" s="369">
        <v>7016</v>
      </c>
      <c r="E45" s="369">
        <f t="shared" si="4"/>
        <v>-462</v>
      </c>
      <c r="F45" s="362">
        <f t="shared" si="5"/>
        <v>-0.061781224926450926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17</v>
      </c>
      <c r="C46" s="372">
        <v>1.16977</v>
      </c>
      <c r="D46" s="372">
        <v>1.13717</v>
      </c>
      <c r="E46" s="373">
        <f t="shared" si="4"/>
        <v>-0.03259999999999996</v>
      </c>
      <c r="F46" s="362">
        <f t="shared" si="5"/>
        <v>-0.027868726330817137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18</v>
      </c>
      <c r="C47" s="376">
        <f>C45*C46</f>
        <v>8747.54006</v>
      </c>
      <c r="D47" s="376">
        <f>LN_IB4*LN_IB5</f>
        <v>7978.38472</v>
      </c>
      <c r="E47" s="376">
        <f t="shared" si="4"/>
        <v>-769.1553399999993</v>
      </c>
      <c r="F47" s="362">
        <f t="shared" si="5"/>
        <v>-0.08792818720741011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19</v>
      </c>
      <c r="C48" s="378">
        <f>IF(C47=0,0,C43/C47)</f>
        <v>9102.718416130352</v>
      </c>
      <c r="D48" s="378">
        <f>IF(LN_IB6=0,0,LN_IB2/LN_IB6)</f>
        <v>10171.919861994322</v>
      </c>
      <c r="E48" s="378">
        <f t="shared" si="4"/>
        <v>1069.2014458639696</v>
      </c>
      <c r="F48" s="362">
        <f t="shared" si="5"/>
        <v>0.11745957602833296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35</v>
      </c>
      <c r="C49" s="378">
        <f>C21-C48</f>
        <v>1031.9411402084152</v>
      </c>
      <c r="D49" s="378">
        <f>LN_IA7-LN_IB7</f>
        <v>-295.5898023048212</v>
      </c>
      <c r="E49" s="378">
        <f t="shared" si="4"/>
        <v>-1327.5309425132364</v>
      </c>
      <c r="F49" s="362">
        <f t="shared" si="5"/>
        <v>-1.2864405640859735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36</v>
      </c>
      <c r="C50" s="391">
        <f>C49*C47</f>
        <v>9026946.463535188</v>
      </c>
      <c r="D50" s="391">
        <f>LN_IB8*LN_IB6</f>
        <v>-2358329.162096606</v>
      </c>
      <c r="E50" s="391">
        <f t="shared" si="4"/>
        <v>-11385275.625631794</v>
      </c>
      <c r="F50" s="362">
        <f t="shared" si="5"/>
        <v>-1.261254364543226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529</v>
      </c>
      <c r="C51" s="369">
        <v>29819</v>
      </c>
      <c r="D51" s="369">
        <v>27131</v>
      </c>
      <c r="E51" s="369">
        <f t="shared" si="4"/>
        <v>-2688</v>
      </c>
      <c r="F51" s="362">
        <f t="shared" si="5"/>
        <v>-0.09014386800362185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20</v>
      </c>
      <c r="C52" s="378">
        <f>IF(C51=0,0,C43/C51)</f>
        <v>2670.324088668299</v>
      </c>
      <c r="D52" s="378">
        <f>IF(LN_IB10=0,0,LN_IB2/LN_IB10)</f>
        <v>2991.245807379013</v>
      </c>
      <c r="E52" s="378">
        <f t="shared" si="4"/>
        <v>320.92171871071423</v>
      </c>
      <c r="F52" s="362">
        <f t="shared" si="5"/>
        <v>0.12018081253603909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21</v>
      </c>
      <c r="C53" s="379">
        <f>IF(C45=0,0,C51/C45)</f>
        <v>3.9875635196576624</v>
      </c>
      <c r="D53" s="379">
        <f>IF(LN_IB4=0,0,LN_IB10/LN_IB4)</f>
        <v>3.867018244013683</v>
      </c>
      <c r="E53" s="379">
        <f t="shared" si="4"/>
        <v>-0.12054527564397954</v>
      </c>
      <c r="F53" s="362">
        <f t="shared" si="5"/>
        <v>-0.030230308570565044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37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23</v>
      </c>
      <c r="C56" s="361">
        <v>174168846</v>
      </c>
      <c r="D56" s="361">
        <v>196750213</v>
      </c>
      <c r="E56" s="361">
        <f aca="true" t="shared" si="6" ref="E56:E63">D56-C56</f>
        <v>22581367</v>
      </c>
      <c r="F56" s="362">
        <f aca="true" t="shared" si="7" ref="F56:F63">IF(C56=0,0,E56/C56)</f>
        <v>0.12965215949125597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24</v>
      </c>
      <c r="C57" s="361">
        <v>53687301</v>
      </c>
      <c r="D57" s="361">
        <v>59371699</v>
      </c>
      <c r="E57" s="361">
        <f t="shared" si="6"/>
        <v>5684398</v>
      </c>
      <c r="F57" s="362">
        <f t="shared" si="7"/>
        <v>0.10587974984996917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25</v>
      </c>
      <c r="C58" s="366">
        <f>IF(C56=0,0,C57/C56)</f>
        <v>0.308248588843495</v>
      </c>
      <c r="D58" s="366">
        <f>IF(LN_IB13=0,0,LN_IB14/LN_IB13)</f>
        <v>0.30176180292114857</v>
      </c>
      <c r="E58" s="367">
        <f t="shared" si="6"/>
        <v>-0.006486785922346416</v>
      </c>
      <c r="F58" s="362">
        <f t="shared" si="7"/>
        <v>-0.02104400849549358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26</v>
      </c>
      <c r="C59" s="366">
        <f>IF(C42=0,0,C56/C42)</f>
        <v>0.8115550152256222</v>
      </c>
      <c r="D59" s="366">
        <f>IF(LN_IB1=0,0,LN_IB13/LN_IB1)</f>
        <v>0.9577334318283015</v>
      </c>
      <c r="E59" s="367">
        <f t="shared" si="6"/>
        <v>0.14617841660267927</v>
      </c>
      <c r="F59" s="362">
        <f t="shared" si="7"/>
        <v>0.18012138901272132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27</v>
      </c>
      <c r="C60" s="376">
        <f>C59*C45</f>
        <v>6068.808403857203</v>
      </c>
      <c r="D60" s="376">
        <f>LN_IB16*LN_IB4</f>
        <v>6719.457757707363</v>
      </c>
      <c r="E60" s="376">
        <f t="shared" si="6"/>
        <v>650.64935385016</v>
      </c>
      <c r="F60" s="362">
        <f t="shared" si="7"/>
        <v>0.10721204403761063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28</v>
      </c>
      <c r="C61" s="378">
        <f>IF(C60=0,0,C57/C60)</f>
        <v>8846.4320221211</v>
      </c>
      <c r="D61" s="378">
        <f>IF(LN_IB17=0,0,LN_IB14/LN_IB17)</f>
        <v>8835.787222845382</v>
      </c>
      <c r="E61" s="378">
        <f t="shared" si="6"/>
        <v>-10.64479927571847</v>
      </c>
      <c r="F61" s="362">
        <f t="shared" si="7"/>
        <v>-0.0012032872969690413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38</v>
      </c>
      <c r="C62" s="378">
        <f>C32-C61</f>
        <v>760.8250328524955</v>
      </c>
      <c r="D62" s="378">
        <f>LN_IA16-LN_IB18</f>
        <v>1139.0828843912277</v>
      </c>
      <c r="E62" s="378">
        <f t="shared" si="6"/>
        <v>378.2578515387322</v>
      </c>
      <c r="F62" s="362">
        <f t="shared" si="7"/>
        <v>0.4971679889666127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39</v>
      </c>
      <c r="C63" s="361">
        <f>C62*C60</f>
        <v>4617301.3532401575</v>
      </c>
      <c r="D63" s="361">
        <f>LN_IB19*LN_IB17</f>
        <v>7654019.324194315</v>
      </c>
      <c r="E63" s="361">
        <f t="shared" si="6"/>
        <v>3036717.9709541574</v>
      </c>
      <c r="F63" s="362">
        <f t="shared" si="7"/>
        <v>0.6576824293314022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40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30</v>
      </c>
      <c r="C66" s="361">
        <f>C42+C56</f>
        <v>388780108</v>
      </c>
      <c r="D66" s="361">
        <f>LN_IB1+LN_IB13</f>
        <v>402183381</v>
      </c>
      <c r="E66" s="361">
        <f>D66-C66</f>
        <v>13403273</v>
      </c>
      <c r="F66" s="362">
        <f>IF(C66=0,0,E66/C66)</f>
        <v>0.03447520262533597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31</v>
      </c>
      <c r="C67" s="361">
        <f>C43+C57</f>
        <v>133313695</v>
      </c>
      <c r="D67" s="361">
        <f>LN_IB2+LN_IB14</f>
        <v>140527189</v>
      </c>
      <c r="E67" s="361">
        <f>D67-C67</f>
        <v>7213494</v>
      </c>
      <c r="F67" s="362">
        <f>IF(C67=0,0,E67/C67)</f>
        <v>0.05410917460505464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32</v>
      </c>
      <c r="C68" s="361">
        <f>C66-C67</f>
        <v>255466413</v>
      </c>
      <c r="D68" s="361">
        <f>LN_IB21-LN_IB22</f>
        <v>261656192</v>
      </c>
      <c r="E68" s="361">
        <f>D68-C68</f>
        <v>6189779</v>
      </c>
      <c r="F68" s="362">
        <f>IF(C68=0,0,E68/C68)</f>
        <v>0.02422932598971435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41</v>
      </c>
      <c r="C70" s="353">
        <f>C50+C63</f>
        <v>13644247.816775344</v>
      </c>
      <c r="D70" s="353">
        <f>LN_IB9+LN_IB20</f>
        <v>5295690.162097709</v>
      </c>
      <c r="E70" s="361">
        <f>D70-C70</f>
        <v>-8348557.654677635</v>
      </c>
      <c r="F70" s="362">
        <f>IF(C70=0,0,E70/C70)</f>
        <v>-0.611873792296065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42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43</v>
      </c>
      <c r="C73" s="400">
        <v>331733199</v>
      </c>
      <c r="D73" s="400">
        <v>340205958</v>
      </c>
      <c r="E73" s="400">
        <f>D73-C73</f>
        <v>8472759</v>
      </c>
      <c r="F73" s="401">
        <f>IF(C73=0,0,E73/C73)</f>
        <v>0.02554088353393897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44</v>
      </c>
      <c r="C74" s="400">
        <v>121113486</v>
      </c>
      <c r="D74" s="400">
        <v>137366697</v>
      </c>
      <c r="E74" s="400">
        <f>D74-C74</f>
        <v>16253211</v>
      </c>
      <c r="F74" s="401">
        <f>IF(C74=0,0,E74/C74)</f>
        <v>0.13419819325487833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45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46</v>
      </c>
      <c r="C76" s="353">
        <f>C73-C74</f>
        <v>210619713</v>
      </c>
      <c r="D76" s="353">
        <f>LN_IB32-LN_IB33</f>
        <v>202839261</v>
      </c>
      <c r="E76" s="400">
        <f>D76-C76</f>
        <v>-7780452</v>
      </c>
      <c r="F76" s="401">
        <f>IF(C76=0,0,E76/C76)</f>
        <v>-0.0369407587218581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47</v>
      </c>
      <c r="C77" s="366">
        <f>IF(C73=0,0,C76/C73)</f>
        <v>0.6349069482189511</v>
      </c>
      <c r="D77" s="366">
        <f>IF(LN_IB1=0,0,LN_IB34/LN_IB32)</f>
        <v>0.5962248932747968</v>
      </c>
      <c r="E77" s="405">
        <f>D77-C77</f>
        <v>-0.03868205494415433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426</v>
      </c>
      <c r="B79" s="356" t="s">
        <v>48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49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14</v>
      </c>
      <c r="C83" s="361">
        <v>14399365</v>
      </c>
      <c r="D83" s="361">
        <v>13809812</v>
      </c>
      <c r="E83" s="361">
        <f aca="true" t="shared" si="8" ref="E83:E95">D83-C83</f>
        <v>-589553</v>
      </c>
      <c r="F83" s="362">
        <f aca="true" t="shared" si="9" ref="F83:F95">IF(C83=0,0,E83/C83)</f>
        <v>-0.04094298602750885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15</v>
      </c>
      <c r="C84" s="361">
        <v>2733608</v>
      </c>
      <c r="D84" s="361">
        <v>1020113</v>
      </c>
      <c r="E84" s="361">
        <f t="shared" si="8"/>
        <v>-1713495</v>
      </c>
      <c r="F84" s="362">
        <f t="shared" si="9"/>
        <v>-0.6268254263230134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16</v>
      </c>
      <c r="C85" s="366">
        <f>IF(C83=0,0,C84/C83)</f>
        <v>0.18984226040523314</v>
      </c>
      <c r="D85" s="366">
        <f>IF(LN_IC1=0,0,LN_IC2/LN_IC1)</f>
        <v>0.07386871016057278</v>
      </c>
      <c r="E85" s="367">
        <f t="shared" si="8"/>
        <v>-0.11597355024466036</v>
      </c>
      <c r="F85" s="362">
        <f t="shared" si="9"/>
        <v>-0.6108942761064147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527</v>
      </c>
      <c r="C86" s="369">
        <v>375</v>
      </c>
      <c r="D86" s="369">
        <v>398</v>
      </c>
      <c r="E86" s="369">
        <f t="shared" si="8"/>
        <v>23</v>
      </c>
      <c r="F86" s="362">
        <f t="shared" si="9"/>
        <v>0.06133333333333333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17</v>
      </c>
      <c r="C87" s="372">
        <v>1.27433</v>
      </c>
      <c r="D87" s="372">
        <v>1.21574</v>
      </c>
      <c r="E87" s="373">
        <f t="shared" si="8"/>
        <v>-0.05858999999999992</v>
      </c>
      <c r="F87" s="362">
        <f t="shared" si="9"/>
        <v>-0.04597710169265412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18</v>
      </c>
      <c r="C88" s="376">
        <f>C86*C87</f>
        <v>477.87375</v>
      </c>
      <c r="D88" s="376">
        <f>LN_IC4*LN_IC5</f>
        <v>483.86452</v>
      </c>
      <c r="E88" s="376">
        <f t="shared" si="8"/>
        <v>5.9907700000000546</v>
      </c>
      <c r="F88" s="362">
        <f t="shared" si="9"/>
        <v>0.012536302736863146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19</v>
      </c>
      <c r="C89" s="378">
        <f>IF(C88=0,0,C84/C88)</f>
        <v>5720.356056385186</v>
      </c>
      <c r="D89" s="378">
        <f>IF(LN_IC6=0,0,LN_IC2/LN_IC6)</f>
        <v>2108.2616266222617</v>
      </c>
      <c r="E89" s="378">
        <f t="shared" si="8"/>
        <v>-3612.0944297629244</v>
      </c>
      <c r="F89" s="362">
        <f t="shared" si="9"/>
        <v>-0.6314457341743659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50</v>
      </c>
      <c r="C90" s="378">
        <f>C48-C89</f>
        <v>3382.362359745166</v>
      </c>
      <c r="D90" s="378">
        <f>LN_IB7-LN_IC7</f>
        <v>8063.6582353720605</v>
      </c>
      <c r="E90" s="378">
        <f t="shared" si="8"/>
        <v>4681.2958756268945</v>
      </c>
      <c r="F90" s="362">
        <f t="shared" si="9"/>
        <v>1.384031448357175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51</v>
      </c>
      <c r="C91" s="378">
        <f>C21-C89</f>
        <v>4414.303499953581</v>
      </c>
      <c r="D91" s="378">
        <f>LN_IA7-LN_IC7</f>
        <v>7768.068433067239</v>
      </c>
      <c r="E91" s="378">
        <f t="shared" si="8"/>
        <v>3353.764933113658</v>
      </c>
      <c r="F91" s="362">
        <f t="shared" si="9"/>
        <v>0.7597495127258297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36</v>
      </c>
      <c r="C92" s="353">
        <f>C91*C88</f>
        <v>2109479.767160943</v>
      </c>
      <c r="D92" s="353">
        <f>LN_IC9*LN_IC6</f>
        <v>3758692.703693232</v>
      </c>
      <c r="E92" s="353">
        <f t="shared" si="8"/>
        <v>1649212.9365322893</v>
      </c>
      <c r="F92" s="362">
        <f t="shared" si="9"/>
        <v>0.7818102653584079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529</v>
      </c>
      <c r="C93" s="369">
        <v>1939</v>
      </c>
      <c r="D93" s="369">
        <v>1724</v>
      </c>
      <c r="E93" s="369">
        <f t="shared" si="8"/>
        <v>-215</v>
      </c>
      <c r="F93" s="362">
        <f t="shared" si="9"/>
        <v>-0.110881897885508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20</v>
      </c>
      <c r="C94" s="411">
        <f>IF(C93=0,0,C84/C93)</f>
        <v>1409.8029912325942</v>
      </c>
      <c r="D94" s="411">
        <f>IF(LN_IC11=0,0,LN_IC2/LN_IC11)</f>
        <v>591.7128770301624</v>
      </c>
      <c r="E94" s="411">
        <f t="shared" si="8"/>
        <v>-818.0901142024318</v>
      </c>
      <c r="F94" s="362">
        <f t="shared" si="9"/>
        <v>-0.5802868338980992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21</v>
      </c>
      <c r="C95" s="379">
        <f>IF(C86=0,0,C93/C86)</f>
        <v>5.1706666666666665</v>
      </c>
      <c r="D95" s="379">
        <f>IF(LN_IC4=0,0,LN_IC11/LN_IC4)</f>
        <v>4.331658291457287</v>
      </c>
      <c r="E95" s="379">
        <f t="shared" si="8"/>
        <v>-0.8390083752093798</v>
      </c>
      <c r="F95" s="362">
        <f t="shared" si="9"/>
        <v>-0.16226309474137052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52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23</v>
      </c>
      <c r="C98" s="361">
        <v>27594113</v>
      </c>
      <c r="D98" s="361">
        <v>30854209</v>
      </c>
      <c r="E98" s="361">
        <f aca="true" t="shared" si="10" ref="E98:E106">D98-C98</f>
        <v>3260096</v>
      </c>
      <c r="F98" s="362">
        <f aca="true" t="shared" si="11" ref="F98:F106">IF(C98=0,0,E98/C98)</f>
        <v>0.11814462019489447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24</v>
      </c>
      <c r="C99" s="361">
        <v>1268636</v>
      </c>
      <c r="D99" s="361">
        <v>1755156</v>
      </c>
      <c r="E99" s="361">
        <f t="shared" si="10"/>
        <v>486520</v>
      </c>
      <c r="F99" s="362">
        <f t="shared" si="11"/>
        <v>0.38349849759899607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25</v>
      </c>
      <c r="C100" s="366">
        <f>IF(C98=0,0,C99/C98)</f>
        <v>0.045974878772149695</v>
      </c>
      <c r="D100" s="366">
        <f>IF(LN_IC14=0,0,LN_IC15/LN_IC14)</f>
        <v>0.05688546415174669</v>
      </c>
      <c r="E100" s="367">
        <f t="shared" si="10"/>
        <v>0.010910585379596993</v>
      </c>
      <c r="F100" s="362">
        <f t="shared" si="11"/>
        <v>0.23731624032484286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26</v>
      </c>
      <c r="C101" s="366">
        <f>IF(C83=0,0,C98/C83)</f>
        <v>1.9163423525967986</v>
      </c>
      <c r="D101" s="366">
        <f>IF(LN_IC1=0,0,LN_IC14/LN_IC1)</f>
        <v>2.234223680959596</v>
      </c>
      <c r="E101" s="367">
        <f t="shared" si="10"/>
        <v>0.31788132836279726</v>
      </c>
      <c r="F101" s="362">
        <f t="shared" si="11"/>
        <v>0.16587919581907815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27</v>
      </c>
      <c r="C102" s="376">
        <f>C101*C86</f>
        <v>718.6283822237995</v>
      </c>
      <c r="D102" s="376">
        <f>LN_IC17*LN_IC4</f>
        <v>889.2210250219192</v>
      </c>
      <c r="E102" s="376">
        <f t="shared" si="10"/>
        <v>170.59264279811975</v>
      </c>
      <c r="F102" s="362">
        <f t="shared" si="11"/>
        <v>0.2373864531626484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28</v>
      </c>
      <c r="C103" s="378">
        <f>IF(C102=0,0,C99/C102)</f>
        <v>1765.3574940558276</v>
      </c>
      <c r="D103" s="378">
        <f>IF(LN_IC18=0,0,LN_IC15/LN_IC18)</f>
        <v>1973.8129785637216</v>
      </c>
      <c r="E103" s="378">
        <f t="shared" si="10"/>
        <v>208.45548450789397</v>
      </c>
      <c r="F103" s="362">
        <f t="shared" si="11"/>
        <v>0.11808117347890658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53</v>
      </c>
      <c r="C104" s="378">
        <f>C61-C103</f>
        <v>7081.074528065273</v>
      </c>
      <c r="D104" s="378">
        <f>LN_IB18-LN_IC19</f>
        <v>6861.9742442816605</v>
      </c>
      <c r="E104" s="378">
        <f t="shared" si="10"/>
        <v>-219.1002837836122</v>
      </c>
      <c r="F104" s="362">
        <f t="shared" si="11"/>
        <v>-0.0309416717639711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54</v>
      </c>
      <c r="C105" s="378">
        <f>C32-C103</f>
        <v>7841.899560917768</v>
      </c>
      <c r="D105" s="378">
        <f>LN_IA16-LN_IC19</f>
        <v>8001.057128672888</v>
      </c>
      <c r="E105" s="378">
        <f t="shared" si="10"/>
        <v>159.15756775512</v>
      </c>
      <c r="F105" s="362">
        <f t="shared" si="11"/>
        <v>0.020295792686293113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39</v>
      </c>
      <c r="C106" s="361">
        <f>C105*C102</f>
        <v>5635411.595023859</v>
      </c>
      <c r="D106" s="361">
        <f>LN_IC21*LN_IC18</f>
        <v>7114708.2212174395</v>
      </c>
      <c r="E106" s="361">
        <f t="shared" si="10"/>
        <v>1479296.6261935802</v>
      </c>
      <c r="F106" s="362">
        <f t="shared" si="11"/>
        <v>0.262500192088865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55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30</v>
      </c>
      <c r="C109" s="361">
        <f>C83+C98</f>
        <v>41993478</v>
      </c>
      <c r="D109" s="361">
        <f>LN_IC1+LN_IC14</f>
        <v>44664021</v>
      </c>
      <c r="E109" s="361">
        <f>D109-C109</f>
        <v>2670543</v>
      </c>
      <c r="F109" s="362">
        <f>IF(C109=0,0,E109/C109)</f>
        <v>0.06359423241866273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31</v>
      </c>
      <c r="C110" s="361">
        <f>C84+C99</f>
        <v>4002244</v>
      </c>
      <c r="D110" s="361">
        <f>LN_IC2+LN_IC15</f>
        <v>2775269</v>
      </c>
      <c r="E110" s="361">
        <f>D110-C110</f>
        <v>-1226975</v>
      </c>
      <c r="F110" s="362">
        <f>IF(C110=0,0,E110/C110)</f>
        <v>-0.3065717632408219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32</v>
      </c>
      <c r="C111" s="361">
        <f>C109-C110</f>
        <v>37991234</v>
      </c>
      <c r="D111" s="361">
        <f>LN_IC23-LN_IC24</f>
        <v>41888752</v>
      </c>
      <c r="E111" s="361">
        <f>D111-C111</f>
        <v>3897518</v>
      </c>
      <c r="F111" s="362">
        <f>IF(C111=0,0,E111/C111)</f>
        <v>0.10258992903468206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41</v>
      </c>
      <c r="C113" s="361">
        <f>C92+C106</f>
        <v>7744891.362184802</v>
      </c>
      <c r="D113" s="361">
        <f>LN_IC10+LN_IC22</f>
        <v>10873400.924910672</v>
      </c>
      <c r="E113" s="361">
        <f>D113-C113</f>
        <v>3128509.56272587</v>
      </c>
      <c r="F113" s="362">
        <f>IF(C113=0,0,E113/C113)</f>
        <v>0.4039449252963221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711</v>
      </c>
      <c r="B115" s="356" t="s">
        <v>56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57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14</v>
      </c>
      <c r="C118" s="361">
        <v>119211551</v>
      </c>
      <c r="D118" s="361">
        <v>129054841</v>
      </c>
      <c r="E118" s="361">
        <f aca="true" t="shared" si="12" ref="E118:E130">D118-C118</f>
        <v>9843290</v>
      </c>
      <c r="F118" s="362">
        <f aca="true" t="shared" si="13" ref="F118:F130">IF(C118=0,0,E118/C118)</f>
        <v>0.0825699348547189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15</v>
      </c>
      <c r="C119" s="361">
        <v>33232383</v>
      </c>
      <c r="D119" s="361">
        <v>33865096</v>
      </c>
      <c r="E119" s="361">
        <f t="shared" si="12"/>
        <v>632713</v>
      </c>
      <c r="F119" s="362">
        <f t="shared" si="13"/>
        <v>0.019039049953173685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16</v>
      </c>
      <c r="C120" s="366">
        <f>IF(C118=0,0,C119/C118)</f>
        <v>0.27876814554656704</v>
      </c>
      <c r="D120" s="366">
        <f>IF(LN_ID1=0,0,LN_1D2/LN_ID1)</f>
        <v>0.2624085678428754</v>
      </c>
      <c r="E120" s="367">
        <f t="shared" si="12"/>
        <v>-0.01635957770369162</v>
      </c>
      <c r="F120" s="362">
        <f t="shared" si="13"/>
        <v>-0.05868524781271618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527</v>
      </c>
      <c r="C121" s="369">
        <v>4759</v>
      </c>
      <c r="D121" s="369">
        <v>4962</v>
      </c>
      <c r="E121" s="369">
        <f t="shared" si="12"/>
        <v>203</v>
      </c>
      <c r="F121" s="362">
        <f t="shared" si="13"/>
        <v>0.042656020172305104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17</v>
      </c>
      <c r="C122" s="372">
        <v>0.92829</v>
      </c>
      <c r="D122" s="372">
        <v>0.96157</v>
      </c>
      <c r="E122" s="373">
        <f t="shared" si="12"/>
        <v>0.03328000000000009</v>
      </c>
      <c r="F122" s="362">
        <f t="shared" si="13"/>
        <v>0.0358508655700267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18</v>
      </c>
      <c r="C123" s="376">
        <f>C121*C122</f>
        <v>4417.73211</v>
      </c>
      <c r="D123" s="376">
        <f>LN_ID4*LN_ID5</f>
        <v>4771.31034</v>
      </c>
      <c r="E123" s="376">
        <f t="shared" si="12"/>
        <v>353.5782300000001</v>
      </c>
      <c r="F123" s="362">
        <f t="shared" si="13"/>
        <v>0.08003614098728139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19</v>
      </c>
      <c r="C124" s="378">
        <f>IF(C123=0,0,C119/C123)</f>
        <v>7522.498461320236</v>
      </c>
      <c r="D124" s="378">
        <f>IF(LN_ID6=0,0,LN_1D2/LN_ID6)</f>
        <v>7097.65108257452</v>
      </c>
      <c r="E124" s="378">
        <f t="shared" si="12"/>
        <v>-424.847378745716</v>
      </c>
      <c r="F124" s="362">
        <f t="shared" si="13"/>
        <v>-0.05647689805856779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58</v>
      </c>
      <c r="C125" s="378">
        <f>C48-C124</f>
        <v>1580.2199548101162</v>
      </c>
      <c r="D125" s="378">
        <f>LN_IB7-LN_ID7</f>
        <v>3074.268779419802</v>
      </c>
      <c r="E125" s="378">
        <f t="shared" si="12"/>
        <v>1494.0488246096857</v>
      </c>
      <c r="F125" s="362">
        <f t="shared" si="13"/>
        <v>0.9454689013778559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59</v>
      </c>
      <c r="C126" s="378">
        <f>C21-C124</f>
        <v>2612.1610950185313</v>
      </c>
      <c r="D126" s="378">
        <f>LN_IA7-LN_ID7</f>
        <v>2778.6789771149806</v>
      </c>
      <c r="E126" s="378">
        <f t="shared" si="12"/>
        <v>166.51788209644928</v>
      </c>
      <c r="F126" s="362">
        <f t="shared" si="13"/>
        <v>0.06374717180115876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36</v>
      </c>
      <c r="C127" s="391">
        <f>C126*C123</f>
        <v>11539827.945956126</v>
      </c>
      <c r="D127" s="391">
        <f>LN_ID9*LN_ID6</f>
        <v>13257939.73504933</v>
      </c>
      <c r="E127" s="391">
        <f t="shared" si="12"/>
        <v>1718111.7890932038</v>
      </c>
      <c r="F127" s="362">
        <f t="shared" si="13"/>
        <v>0.14888539041825816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529</v>
      </c>
      <c r="C128" s="369">
        <v>23151</v>
      </c>
      <c r="D128" s="369">
        <v>22491</v>
      </c>
      <c r="E128" s="369">
        <f t="shared" si="12"/>
        <v>-660</v>
      </c>
      <c r="F128" s="362">
        <f t="shared" si="13"/>
        <v>-0.02850848775430867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20</v>
      </c>
      <c r="C129" s="378">
        <f>IF(C128=0,0,C119/C128)</f>
        <v>1435.4620966696903</v>
      </c>
      <c r="D129" s="378">
        <f>IF(LN_ID11=0,0,LN_1D2/LN_ID11)</f>
        <v>1505.7176648437153</v>
      </c>
      <c r="E129" s="378">
        <f t="shared" si="12"/>
        <v>70.25556817402503</v>
      </c>
      <c r="F129" s="362">
        <f t="shared" si="13"/>
        <v>0.048942823594590054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21</v>
      </c>
      <c r="C130" s="379">
        <f>IF(C121=0,0,C128/C121)</f>
        <v>4.864677453246481</v>
      </c>
      <c r="D130" s="379">
        <f>IF(LN_ID4=0,0,LN_ID11/LN_ID4)</f>
        <v>4.532648125755744</v>
      </c>
      <c r="E130" s="379">
        <f t="shared" si="12"/>
        <v>-0.3320293274907371</v>
      </c>
      <c r="F130" s="362">
        <f t="shared" si="13"/>
        <v>-0.06825310222143396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60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23</v>
      </c>
      <c r="C133" s="361">
        <v>81792183</v>
      </c>
      <c r="D133" s="361">
        <v>99793585</v>
      </c>
      <c r="E133" s="361">
        <f aca="true" t="shared" si="14" ref="E133:E141">D133-C133</f>
        <v>18001402</v>
      </c>
      <c r="F133" s="362">
        <f aca="true" t="shared" si="15" ref="F133:F141">IF(C133=0,0,E133/C133)</f>
        <v>0.22008707115690995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24</v>
      </c>
      <c r="C134" s="361">
        <v>18293881</v>
      </c>
      <c r="D134" s="361">
        <v>21995843</v>
      </c>
      <c r="E134" s="361">
        <f t="shared" si="14"/>
        <v>3701962</v>
      </c>
      <c r="F134" s="362">
        <f t="shared" si="15"/>
        <v>0.20236066912209608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25</v>
      </c>
      <c r="C135" s="366">
        <f>IF(C133=0,0,C134/C133)</f>
        <v>0.2236629507736699</v>
      </c>
      <c r="D135" s="366">
        <f>IF(LN_ID14=0,0,LN_ID15/LN_ID14)</f>
        <v>0.2204133963119974</v>
      </c>
      <c r="E135" s="367">
        <f t="shared" si="14"/>
        <v>-0.0032495544616724936</v>
      </c>
      <c r="F135" s="362">
        <f t="shared" si="15"/>
        <v>-0.014528800815834709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26</v>
      </c>
      <c r="C136" s="366">
        <f>IF(C118=0,0,C133/C118)</f>
        <v>0.6861095448712012</v>
      </c>
      <c r="D136" s="366">
        <f>IF(LN_ID1=0,0,LN_ID14/LN_ID1)</f>
        <v>0.7732649486585319</v>
      </c>
      <c r="E136" s="367">
        <f t="shared" si="14"/>
        <v>0.08715540378733067</v>
      </c>
      <c r="F136" s="362">
        <f t="shared" si="15"/>
        <v>0.12702840885808078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27</v>
      </c>
      <c r="C137" s="376">
        <f>C136*C121</f>
        <v>3265.1953240420466</v>
      </c>
      <c r="D137" s="376">
        <f>LN_ID17*LN_ID4</f>
        <v>3836.9406752436353</v>
      </c>
      <c r="E137" s="376">
        <f t="shared" si="14"/>
        <v>571.7453512015886</v>
      </c>
      <c r="F137" s="362">
        <f t="shared" si="15"/>
        <v>0.175102955401092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28</v>
      </c>
      <c r="C138" s="378">
        <f>IF(C137=0,0,C134/C137)</f>
        <v>5602.691166834596</v>
      </c>
      <c r="D138" s="378">
        <f>IF(LN_ID18=0,0,LN_ID15/LN_ID18)</f>
        <v>5732.651313042083</v>
      </c>
      <c r="E138" s="378">
        <f t="shared" si="14"/>
        <v>129.960146207487</v>
      </c>
      <c r="F138" s="362">
        <f t="shared" si="15"/>
        <v>0.023196021757685387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61</v>
      </c>
      <c r="C139" s="378">
        <f>C61-C138</f>
        <v>3243.7408552865045</v>
      </c>
      <c r="D139" s="378">
        <f>LN_IB18-LN_ID19</f>
        <v>3103.135909803299</v>
      </c>
      <c r="E139" s="378">
        <f t="shared" si="14"/>
        <v>-140.60494548320548</v>
      </c>
      <c r="F139" s="362">
        <f t="shared" si="15"/>
        <v>-0.04334654084775416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62</v>
      </c>
      <c r="C140" s="378">
        <f>C32-C138</f>
        <v>4004.565888139</v>
      </c>
      <c r="D140" s="378">
        <f>LN_IA16-LN_ID19</f>
        <v>4242.218794194527</v>
      </c>
      <c r="E140" s="378">
        <f t="shared" si="14"/>
        <v>237.65290605552673</v>
      </c>
      <c r="F140" s="362">
        <f t="shared" si="15"/>
        <v>0.05934548530202076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39</v>
      </c>
      <c r="C141" s="353">
        <f>C140*C137</f>
        <v>13075689.812769748</v>
      </c>
      <c r="D141" s="353">
        <f>LN_ID21*LN_ID18</f>
        <v>16277141.844727987</v>
      </c>
      <c r="E141" s="353">
        <f t="shared" si="14"/>
        <v>3201452.031958239</v>
      </c>
      <c r="F141" s="362">
        <f t="shared" si="15"/>
        <v>0.24484001056920865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63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30</v>
      </c>
      <c r="C144" s="361">
        <f>C118+C133</f>
        <v>201003734</v>
      </c>
      <c r="D144" s="361">
        <f>LN_ID1+LN_ID14</f>
        <v>228848426</v>
      </c>
      <c r="E144" s="361">
        <f>D144-C144</f>
        <v>27844692</v>
      </c>
      <c r="F144" s="362">
        <f>IF(C144=0,0,E144/C144)</f>
        <v>0.1385282325153223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31</v>
      </c>
      <c r="C145" s="361">
        <f>C119+C134</f>
        <v>51526264</v>
      </c>
      <c r="D145" s="361">
        <f>LN_1D2+LN_ID15</f>
        <v>55860939</v>
      </c>
      <c r="E145" s="361">
        <f>D145-C145</f>
        <v>4334675</v>
      </c>
      <c r="F145" s="362">
        <f>IF(C145=0,0,E145/C145)</f>
        <v>0.08412554420790143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32</v>
      </c>
      <c r="C146" s="361">
        <f>C144-C145</f>
        <v>149477470</v>
      </c>
      <c r="D146" s="361">
        <f>LN_ID23-LN_ID24</f>
        <v>172987487</v>
      </c>
      <c r="E146" s="361">
        <f>D146-C146</f>
        <v>23510017</v>
      </c>
      <c r="F146" s="362">
        <f>IF(C146=0,0,E146/C146)</f>
        <v>0.1572813414623622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41</v>
      </c>
      <c r="C148" s="361">
        <f>C127+C141</f>
        <v>24615517.758725874</v>
      </c>
      <c r="D148" s="361">
        <f>LN_ID10+LN_ID22</f>
        <v>29535081.579777315</v>
      </c>
      <c r="E148" s="361">
        <f>D148-C148</f>
        <v>4919563.821051441</v>
      </c>
      <c r="F148" s="415">
        <f>IF(C148=0,0,E148/C148)</f>
        <v>0.19985619921837805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732</v>
      </c>
      <c r="B150" s="356" t="s">
        <v>64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65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14</v>
      </c>
      <c r="C153" s="361">
        <v>20437449</v>
      </c>
      <c r="D153" s="361">
        <v>25590134</v>
      </c>
      <c r="E153" s="361">
        <f aca="true" t="shared" si="16" ref="E153:E165">D153-C153</f>
        <v>5152685</v>
      </c>
      <c r="F153" s="362">
        <f aca="true" t="shared" si="17" ref="F153:F165">IF(C153=0,0,E153/C153)</f>
        <v>0.2521197728738063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15</v>
      </c>
      <c r="C154" s="361">
        <v>2655597</v>
      </c>
      <c r="D154" s="361">
        <v>3255582</v>
      </c>
      <c r="E154" s="361">
        <f t="shared" si="16"/>
        <v>599985</v>
      </c>
      <c r="F154" s="362">
        <f t="shared" si="17"/>
        <v>0.22593224800299141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16</v>
      </c>
      <c r="C155" s="366">
        <f>IF(C153=0,0,C154/C153)</f>
        <v>0.1299377921383437</v>
      </c>
      <c r="D155" s="366">
        <f>IF(LN_IE1=0,0,LN_IE2/LN_IE1)</f>
        <v>0.1272202013479101</v>
      </c>
      <c r="E155" s="367">
        <f t="shared" si="16"/>
        <v>-0.0027175907904335994</v>
      </c>
      <c r="F155" s="362">
        <f t="shared" si="17"/>
        <v>-0.020914552615610114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527</v>
      </c>
      <c r="C156" s="419">
        <v>656</v>
      </c>
      <c r="D156" s="419">
        <v>700</v>
      </c>
      <c r="E156" s="419">
        <f t="shared" si="16"/>
        <v>44</v>
      </c>
      <c r="F156" s="362">
        <f t="shared" si="17"/>
        <v>0.06707317073170732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17</v>
      </c>
      <c r="C157" s="372">
        <v>1.15986</v>
      </c>
      <c r="D157" s="372">
        <v>0.91473</v>
      </c>
      <c r="E157" s="373">
        <f t="shared" si="16"/>
        <v>-0.24512999999999985</v>
      </c>
      <c r="F157" s="362">
        <f t="shared" si="17"/>
        <v>-0.21134447260876302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18</v>
      </c>
      <c r="C158" s="376">
        <f>C156*C157</f>
        <v>760.8681599999999</v>
      </c>
      <c r="D158" s="376">
        <f>LN_IE4*LN_IE5</f>
        <v>640.311</v>
      </c>
      <c r="E158" s="376">
        <f t="shared" si="16"/>
        <v>-120.55715999999984</v>
      </c>
      <c r="F158" s="362">
        <f t="shared" si="17"/>
        <v>-0.15844684577154583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19</v>
      </c>
      <c r="C159" s="378">
        <f>IF(C158=0,0,C154/C158)</f>
        <v>3490.219645937084</v>
      </c>
      <c r="D159" s="378">
        <f>IF(LN_IE6=0,0,LN_IE2/LN_IE6)</f>
        <v>5084.376185947141</v>
      </c>
      <c r="E159" s="378">
        <f t="shared" si="16"/>
        <v>1594.1565400100567</v>
      </c>
      <c r="F159" s="362">
        <f t="shared" si="17"/>
        <v>0.4567496323235107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66</v>
      </c>
      <c r="C160" s="378">
        <f>C48-C159</f>
        <v>5612.498770193268</v>
      </c>
      <c r="D160" s="378">
        <f>LN_IB7-LN_IE7</f>
        <v>5087.543676047181</v>
      </c>
      <c r="E160" s="378">
        <f t="shared" si="16"/>
        <v>-524.9550941460866</v>
      </c>
      <c r="F160" s="362">
        <f t="shared" si="17"/>
        <v>-0.09353322212452078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67</v>
      </c>
      <c r="C161" s="378">
        <f>C21-C159</f>
        <v>6644.439910401683</v>
      </c>
      <c r="D161" s="378">
        <f>LN_IA7-LN_IE7</f>
        <v>4791.95387374236</v>
      </c>
      <c r="E161" s="378">
        <f t="shared" si="16"/>
        <v>-1852.486036659323</v>
      </c>
      <c r="F161" s="362">
        <f t="shared" si="17"/>
        <v>-0.27880243656945536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36</v>
      </c>
      <c r="C162" s="391">
        <f>C161*C158</f>
        <v>5055542.768857893</v>
      </c>
      <c r="D162" s="391">
        <f>LN_IE9*LN_IE6</f>
        <v>3068340.7768498445</v>
      </c>
      <c r="E162" s="391">
        <f t="shared" si="16"/>
        <v>-1987201.992008048</v>
      </c>
      <c r="F162" s="362">
        <f t="shared" si="17"/>
        <v>-0.39307391567314953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529</v>
      </c>
      <c r="C163" s="369">
        <v>3629</v>
      </c>
      <c r="D163" s="369">
        <v>4094</v>
      </c>
      <c r="E163" s="419">
        <f t="shared" si="16"/>
        <v>465</v>
      </c>
      <c r="F163" s="362">
        <f t="shared" si="17"/>
        <v>0.1281344723064205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20</v>
      </c>
      <c r="C164" s="378">
        <f>IF(C163=0,0,C154/C163)</f>
        <v>731.7710112978782</v>
      </c>
      <c r="D164" s="378">
        <f>IF(LN_IE11=0,0,LN_IE2/LN_IE11)</f>
        <v>795.2081094284318</v>
      </c>
      <c r="E164" s="378">
        <f t="shared" si="16"/>
        <v>63.437098130553636</v>
      </c>
      <c r="F164" s="362">
        <f t="shared" si="17"/>
        <v>0.08668982120245622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21</v>
      </c>
      <c r="C165" s="379">
        <f>IF(C156=0,0,C163/C156)</f>
        <v>5.532012195121951</v>
      </c>
      <c r="D165" s="379">
        <f>IF(LN_IE4=0,0,LN_IE11/LN_IE4)</f>
        <v>5.848571428571429</v>
      </c>
      <c r="E165" s="379">
        <f t="shared" si="16"/>
        <v>0.31655923344947734</v>
      </c>
      <c r="F165" s="362">
        <f t="shared" si="17"/>
        <v>0.05722316261858835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68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23</v>
      </c>
      <c r="C168" s="424">
        <v>18915610</v>
      </c>
      <c r="D168" s="424">
        <v>23768204</v>
      </c>
      <c r="E168" s="424">
        <f aca="true" t="shared" si="18" ref="E168:E176">D168-C168</f>
        <v>4852594</v>
      </c>
      <c r="F168" s="362">
        <f aca="true" t="shared" si="19" ref="F168:F176">IF(C168=0,0,E168/C168)</f>
        <v>0.2565391229783232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24</v>
      </c>
      <c r="C169" s="424">
        <v>2559567</v>
      </c>
      <c r="D169" s="424">
        <v>2985307</v>
      </c>
      <c r="E169" s="424">
        <f t="shared" si="18"/>
        <v>425740</v>
      </c>
      <c r="F169" s="362">
        <f t="shared" si="19"/>
        <v>0.16633282113732517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25</v>
      </c>
      <c r="C170" s="366">
        <f>IF(C168=0,0,C169/C168)</f>
        <v>0.1353150651763279</v>
      </c>
      <c r="D170" s="366">
        <f>IF(LN_IE14=0,0,LN_IE15/LN_IE14)</f>
        <v>0.1256008657616705</v>
      </c>
      <c r="E170" s="367">
        <f t="shared" si="18"/>
        <v>-0.009714199414657398</v>
      </c>
      <c r="F170" s="362">
        <f t="shared" si="19"/>
        <v>-0.0717894892338773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26</v>
      </c>
      <c r="C171" s="366">
        <f>IF(C153=0,0,C168/C153)</f>
        <v>0.9255367438470428</v>
      </c>
      <c r="D171" s="366">
        <f>IF(LN_IE1=0,0,LN_IE14/LN_IE1)</f>
        <v>0.9288034208808754</v>
      </c>
      <c r="E171" s="367">
        <f t="shared" si="18"/>
        <v>0.0032666770338326545</v>
      </c>
      <c r="F171" s="362">
        <f t="shared" si="19"/>
        <v>0.0035294947019116037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27</v>
      </c>
      <c r="C172" s="376">
        <f>C171*C156</f>
        <v>607.15210396366</v>
      </c>
      <c r="D172" s="376">
        <f>LN_IE17*LN_IE4</f>
        <v>650.1623946166128</v>
      </c>
      <c r="E172" s="376">
        <f t="shared" si="18"/>
        <v>43.01029065295279</v>
      </c>
      <c r="F172" s="362">
        <f t="shared" si="19"/>
        <v>0.07083939983435698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28</v>
      </c>
      <c r="C173" s="378">
        <f>IF(C172=0,0,C169/C172)</f>
        <v>4215.693206513533</v>
      </c>
      <c r="D173" s="378">
        <f>IF(LN_IE18=0,0,LN_IE15/LN_IE18)</f>
        <v>4591.632836224515</v>
      </c>
      <c r="E173" s="378">
        <f t="shared" si="18"/>
        <v>375.93962971098154</v>
      </c>
      <c r="F173" s="362">
        <f t="shared" si="19"/>
        <v>0.08917623064461361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69</v>
      </c>
      <c r="C174" s="378">
        <f>C61-C173</f>
        <v>4630.738815607567</v>
      </c>
      <c r="D174" s="378">
        <f>LN_IB18-LN_IE19</f>
        <v>4244.154386620867</v>
      </c>
      <c r="E174" s="378">
        <f t="shared" si="18"/>
        <v>-386.5844289867</v>
      </c>
      <c r="F174" s="362">
        <f t="shared" si="19"/>
        <v>-0.08348223563888886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70</v>
      </c>
      <c r="C175" s="378">
        <f>C32-C173</f>
        <v>5391.563848460062</v>
      </c>
      <c r="D175" s="378">
        <f>LN_IA16-LN_IE19</f>
        <v>5383.237271012094</v>
      </c>
      <c r="E175" s="378">
        <f t="shared" si="18"/>
        <v>-8.326577447967793</v>
      </c>
      <c r="F175" s="362">
        <f t="shared" si="19"/>
        <v>-0.0015443714814480085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39</v>
      </c>
      <c r="C176" s="353">
        <f>C175*C172</f>
        <v>3273499.3342469344</v>
      </c>
      <c r="D176" s="353">
        <f>LN_IE21*LN_IE18</f>
        <v>3499978.4349106234</v>
      </c>
      <c r="E176" s="353">
        <f t="shared" si="18"/>
        <v>226479.10066368897</v>
      </c>
      <c r="F176" s="362">
        <f t="shared" si="19"/>
        <v>0.06918562600404203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71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30</v>
      </c>
      <c r="C179" s="361">
        <f>C153+C168</f>
        <v>39353059</v>
      </c>
      <c r="D179" s="361">
        <f>LN_IE1+LN_IE14</f>
        <v>49358338</v>
      </c>
      <c r="E179" s="361">
        <f>D179-C179</f>
        <v>10005279</v>
      </c>
      <c r="F179" s="362">
        <f>IF(C179=0,0,E179/C179)</f>
        <v>0.2542439966356872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31</v>
      </c>
      <c r="C180" s="361">
        <f>C154+C169</f>
        <v>5215164</v>
      </c>
      <c r="D180" s="361">
        <f>LN_IE15+LN_IE2</f>
        <v>6240889</v>
      </c>
      <c r="E180" s="361">
        <f>D180-C180</f>
        <v>1025725</v>
      </c>
      <c r="F180" s="362">
        <f>IF(C180=0,0,E180/C180)</f>
        <v>0.19668125489438107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32</v>
      </c>
      <c r="C181" s="361">
        <f>C179-C180</f>
        <v>34137895</v>
      </c>
      <c r="D181" s="361">
        <f>LN_IE23-LN_IE24</f>
        <v>43117449</v>
      </c>
      <c r="E181" s="361">
        <f>D181-C181</f>
        <v>8979554</v>
      </c>
      <c r="F181" s="362">
        <f>IF(C181=0,0,E181/C181)</f>
        <v>0.263037718054965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72</v>
      </c>
      <c r="C183" s="361">
        <f>C162+C176</f>
        <v>8329042.103104827</v>
      </c>
      <c r="D183" s="361">
        <f>LN_IE10+LN_IE22</f>
        <v>6568319.211760468</v>
      </c>
      <c r="E183" s="353">
        <f>D183-C183</f>
        <v>-1760722.8913443591</v>
      </c>
      <c r="F183" s="362">
        <f>IF(C183=0,0,E183/C183)</f>
        <v>-0.21139560462637264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744</v>
      </c>
      <c r="B185" s="356" t="s">
        <v>73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74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14</v>
      </c>
      <c r="C188" s="361">
        <f>C118+C153</f>
        <v>139649000</v>
      </c>
      <c r="D188" s="361">
        <f>LN_ID1+LN_IE1</f>
        <v>154644975</v>
      </c>
      <c r="E188" s="361">
        <f aca="true" t="shared" si="20" ref="E188:E200">D188-C188</f>
        <v>14995975</v>
      </c>
      <c r="F188" s="362">
        <f aca="true" t="shared" si="21" ref="F188:F200">IF(C188=0,0,E188/C188)</f>
        <v>0.10738333249790546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15</v>
      </c>
      <c r="C189" s="361">
        <f>C119+C154</f>
        <v>35887980</v>
      </c>
      <c r="D189" s="361">
        <f>LN_1D2+LN_IE2</f>
        <v>37120678</v>
      </c>
      <c r="E189" s="361">
        <f t="shared" si="20"/>
        <v>1232698</v>
      </c>
      <c r="F189" s="362">
        <f t="shared" si="21"/>
        <v>0.03434849216924441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16</v>
      </c>
      <c r="C190" s="366">
        <f>IF(C188=0,0,C189/C188)</f>
        <v>0.25698701745089475</v>
      </c>
      <c r="D190" s="366">
        <f>IF(LN_IF1=0,0,LN_IF2/LN_IF1)</f>
        <v>0.24003804843965992</v>
      </c>
      <c r="E190" s="367">
        <f t="shared" si="20"/>
        <v>-0.016948969011234827</v>
      </c>
      <c r="F190" s="362">
        <f t="shared" si="21"/>
        <v>-0.06595262741034554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527</v>
      </c>
      <c r="C191" s="369">
        <f>C121+C156</f>
        <v>5415</v>
      </c>
      <c r="D191" s="369">
        <f>LN_ID4+LN_IE4</f>
        <v>5662</v>
      </c>
      <c r="E191" s="369">
        <f t="shared" si="20"/>
        <v>247</v>
      </c>
      <c r="F191" s="362">
        <f t="shared" si="21"/>
        <v>0.0456140350877193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17</v>
      </c>
      <c r="C192" s="372">
        <f>IF((C121+C156)=0,0,(C123+C158)/(C121+C156))</f>
        <v>0.9563435401662049</v>
      </c>
      <c r="D192" s="372">
        <f>IF((LN_ID4+LN_IE4)=0,0,(LN_ID6+LN_IE6)/(LN_ID4+LN_IE4))</f>
        <v>0.9557791133874955</v>
      </c>
      <c r="E192" s="373">
        <f t="shared" si="20"/>
        <v>-0.0005644267787093815</v>
      </c>
      <c r="F192" s="362">
        <f t="shared" si="21"/>
        <v>-0.0005901924936004572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18</v>
      </c>
      <c r="C193" s="376">
        <f>C123+C158</f>
        <v>5178.60027</v>
      </c>
      <c r="D193" s="376">
        <f>LN_IF4*LN_IF5</f>
        <v>5411.62134</v>
      </c>
      <c r="E193" s="376">
        <f t="shared" si="20"/>
        <v>233.02106999999978</v>
      </c>
      <c r="F193" s="362">
        <f t="shared" si="21"/>
        <v>0.044996921533007175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19</v>
      </c>
      <c r="C194" s="378">
        <f>IF(C193=0,0,C189/C193)</f>
        <v>6930.054093555284</v>
      </c>
      <c r="D194" s="378">
        <f>IF(LN_IF6=0,0,LN_IF2/LN_IF6)</f>
        <v>6859.437434327215</v>
      </c>
      <c r="E194" s="378">
        <f t="shared" si="20"/>
        <v>-70.6166592280697</v>
      </c>
      <c r="F194" s="362">
        <f t="shared" si="21"/>
        <v>-0.01018991457710854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75</v>
      </c>
      <c r="C195" s="378">
        <f>C48-C194</f>
        <v>2172.6643225750677</v>
      </c>
      <c r="D195" s="378">
        <f>LN_IB7-LN_IF7</f>
        <v>3312.482427667107</v>
      </c>
      <c r="E195" s="378">
        <f t="shared" si="20"/>
        <v>1139.8181050920393</v>
      </c>
      <c r="F195" s="362">
        <f t="shared" si="21"/>
        <v>0.5246176748284398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76</v>
      </c>
      <c r="C196" s="378">
        <f>C21-C194</f>
        <v>3204.605462783483</v>
      </c>
      <c r="D196" s="378">
        <f>LN_IA7-LN_IF7</f>
        <v>3016.892625362286</v>
      </c>
      <c r="E196" s="378">
        <f t="shared" si="20"/>
        <v>-187.71283742119704</v>
      </c>
      <c r="F196" s="362">
        <f t="shared" si="21"/>
        <v>-0.05857595875722931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36</v>
      </c>
      <c r="C197" s="391">
        <f>C127+C162</f>
        <v>16595370.714814018</v>
      </c>
      <c r="D197" s="391">
        <f>LN_IF9*LN_IF6</f>
        <v>16326280.51189917</v>
      </c>
      <c r="E197" s="391">
        <f t="shared" si="20"/>
        <v>-269090.2029148489</v>
      </c>
      <c r="F197" s="362">
        <f t="shared" si="21"/>
        <v>-0.016214775044141854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529</v>
      </c>
      <c r="C198" s="369">
        <f>C128+C163</f>
        <v>26780</v>
      </c>
      <c r="D198" s="369">
        <f>LN_ID11+LN_IE11</f>
        <v>26585</v>
      </c>
      <c r="E198" s="369">
        <f t="shared" si="20"/>
        <v>-195</v>
      </c>
      <c r="F198" s="362">
        <f t="shared" si="21"/>
        <v>-0.007281553398058253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20</v>
      </c>
      <c r="C199" s="432">
        <f>IF(C198=0,0,C189/C198)</f>
        <v>1340.1038088125467</v>
      </c>
      <c r="D199" s="432">
        <f>IF(LN_IF11=0,0,LN_IF2/LN_IF11)</f>
        <v>1396.301598645853</v>
      </c>
      <c r="E199" s="432">
        <f t="shared" si="20"/>
        <v>56.19778983330616</v>
      </c>
      <c r="F199" s="362">
        <f t="shared" si="21"/>
        <v>0.04193540042476447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21</v>
      </c>
      <c r="C200" s="379">
        <f>IF(C191=0,0,C198/C191)</f>
        <v>4.945521698984303</v>
      </c>
      <c r="D200" s="379">
        <f>IF(LN_IF4=0,0,LN_IF11/LN_IF4)</f>
        <v>4.695337336630166</v>
      </c>
      <c r="E200" s="379">
        <f t="shared" si="20"/>
        <v>-0.2501843623541369</v>
      </c>
      <c r="F200" s="362">
        <f t="shared" si="21"/>
        <v>-0.05058806281357921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77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23</v>
      </c>
      <c r="C203" s="361">
        <f>C133+C168</f>
        <v>100707793</v>
      </c>
      <c r="D203" s="361">
        <f>LN_ID14+LN_IE14</f>
        <v>123561789</v>
      </c>
      <c r="E203" s="361">
        <f aca="true" t="shared" si="22" ref="E203:E211">D203-C203</f>
        <v>22853996</v>
      </c>
      <c r="F203" s="362">
        <f aca="true" t="shared" si="23" ref="F203:F211">IF(C203=0,0,E203/C203)</f>
        <v>0.22693373888155804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24</v>
      </c>
      <c r="C204" s="361">
        <f>C134+C169</f>
        <v>20853448</v>
      </c>
      <c r="D204" s="361">
        <f>LN_ID15+LN_IE15</f>
        <v>24981150</v>
      </c>
      <c r="E204" s="361">
        <f t="shared" si="22"/>
        <v>4127702</v>
      </c>
      <c r="F204" s="362">
        <f t="shared" si="23"/>
        <v>0.1979385855039416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25</v>
      </c>
      <c r="C205" s="366">
        <f>IF(C203=0,0,C204/C203)</f>
        <v>0.2070688610959829</v>
      </c>
      <c r="D205" s="366">
        <f>IF(LN_IF14=0,0,LN_IF15/LN_IF14)</f>
        <v>0.20217536669042563</v>
      </c>
      <c r="E205" s="367">
        <f t="shared" si="22"/>
        <v>-0.0048934944055572804</v>
      </c>
      <c r="F205" s="362">
        <f t="shared" si="23"/>
        <v>-0.0236322080473944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26</v>
      </c>
      <c r="C206" s="366">
        <f>IF(C188=0,0,C203/C188)</f>
        <v>0.72114940314646</v>
      </c>
      <c r="D206" s="366">
        <f>IF(LN_IF1=0,0,LN_IF14/LN_IF1)</f>
        <v>0.7990029355949005</v>
      </c>
      <c r="E206" s="367">
        <f t="shared" si="22"/>
        <v>0.07785353244844051</v>
      </c>
      <c r="F206" s="362">
        <f t="shared" si="23"/>
        <v>0.10795756345184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27</v>
      </c>
      <c r="C207" s="376">
        <f>C137+C172</f>
        <v>3872.3474280057067</v>
      </c>
      <c r="D207" s="376">
        <f>LN_ID18+LN_IE18</f>
        <v>4487.103069860248</v>
      </c>
      <c r="E207" s="376">
        <f t="shared" si="22"/>
        <v>614.7556418545414</v>
      </c>
      <c r="F207" s="362">
        <f t="shared" si="23"/>
        <v>0.15875529075942083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28</v>
      </c>
      <c r="C208" s="378">
        <f>IF(C207=0,0,C204/C207)</f>
        <v>5385.221338659613</v>
      </c>
      <c r="D208" s="378">
        <f>IF(LN_IF18=0,0,LN_IF15/LN_IF18)</f>
        <v>5567.322526598</v>
      </c>
      <c r="E208" s="378">
        <f t="shared" si="22"/>
        <v>182.10118793838683</v>
      </c>
      <c r="F208" s="362">
        <f t="shared" si="23"/>
        <v>0.033814986699081895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</v>
      </c>
      <c r="C209" s="378">
        <f>C61-C208</f>
        <v>3461.210683461487</v>
      </c>
      <c r="D209" s="378">
        <f>LN_IB18-LN_IF19</f>
        <v>3268.4646962473817</v>
      </c>
      <c r="E209" s="378">
        <f t="shared" si="22"/>
        <v>-192.7459872141053</v>
      </c>
      <c r="F209" s="362">
        <f t="shared" si="23"/>
        <v>-0.055687447208889324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79</v>
      </c>
      <c r="C210" s="378">
        <f>C32-C208</f>
        <v>4222.035716313982</v>
      </c>
      <c r="D210" s="378">
        <f>LN_IA16-LN_IF19</f>
        <v>4407.547580638609</v>
      </c>
      <c r="E210" s="378">
        <f t="shared" si="22"/>
        <v>185.5118643246269</v>
      </c>
      <c r="F210" s="362">
        <f t="shared" si="23"/>
        <v>0.043938961389598734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39</v>
      </c>
      <c r="C211" s="391">
        <f>C141+C176</f>
        <v>16349189.147016682</v>
      </c>
      <c r="D211" s="353">
        <f>LN_IF21*LN_IF18</f>
        <v>19777120.279638615</v>
      </c>
      <c r="E211" s="353">
        <f t="shared" si="22"/>
        <v>3427931.132621933</v>
      </c>
      <c r="F211" s="362">
        <f t="shared" si="23"/>
        <v>0.2096697947400923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80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30</v>
      </c>
      <c r="C214" s="361">
        <f>C188+C203</f>
        <v>240356793</v>
      </c>
      <c r="D214" s="361">
        <f>LN_IF1+LN_IF14</f>
        <v>278206764</v>
      </c>
      <c r="E214" s="361">
        <f>D214-C214</f>
        <v>37849971</v>
      </c>
      <c r="F214" s="362">
        <f>IF(C214=0,0,E214/C214)</f>
        <v>0.1574741055893519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31</v>
      </c>
      <c r="C215" s="361">
        <f>C189+C204</f>
        <v>56741428</v>
      </c>
      <c r="D215" s="361">
        <f>LN_IF2+LN_IF15</f>
        <v>62101828</v>
      </c>
      <c r="E215" s="361">
        <f>D215-C215</f>
        <v>5360400</v>
      </c>
      <c r="F215" s="362">
        <f>IF(C215=0,0,E215/C215)</f>
        <v>0.09447065731232566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32</v>
      </c>
      <c r="C216" s="361">
        <f>C214-C215</f>
        <v>183615365</v>
      </c>
      <c r="D216" s="361">
        <f>LN_IF23-LN_IF24</f>
        <v>216104936</v>
      </c>
      <c r="E216" s="361">
        <f>D216-C216</f>
        <v>32489571</v>
      </c>
      <c r="F216" s="362">
        <f>IF(C216=0,0,E216/C216)</f>
        <v>0.17694363976565905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756</v>
      </c>
      <c r="B218" s="356" t="s">
        <v>81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82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14</v>
      </c>
      <c r="C221" s="361">
        <v>781871</v>
      </c>
      <c r="D221" s="361">
        <v>1196962</v>
      </c>
      <c r="E221" s="361">
        <f aca="true" t="shared" si="24" ref="E221:E230">D221-C221</f>
        <v>415091</v>
      </c>
      <c r="F221" s="362">
        <f aca="true" t="shared" si="25" ref="F221:F230">IF(C221=0,0,E221/C221)</f>
        <v>0.5308944825936759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15</v>
      </c>
      <c r="C222" s="361">
        <v>162671</v>
      </c>
      <c r="D222" s="361">
        <v>347123</v>
      </c>
      <c r="E222" s="361">
        <f t="shared" si="24"/>
        <v>184452</v>
      </c>
      <c r="F222" s="362">
        <f t="shared" si="25"/>
        <v>1.1338960232616755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16</v>
      </c>
      <c r="C223" s="366">
        <f>IF(C221=0,0,C222/C221)</f>
        <v>0.20805350243198686</v>
      </c>
      <c r="D223" s="366">
        <f>IF(LN_IG1=0,0,LN_IG2/LN_IG1)</f>
        <v>0.2900033585026091</v>
      </c>
      <c r="E223" s="367">
        <f t="shared" si="24"/>
        <v>0.08194985607062225</v>
      </c>
      <c r="F223" s="362">
        <f t="shared" si="25"/>
        <v>0.39388837540676264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527</v>
      </c>
      <c r="C224" s="369">
        <v>33</v>
      </c>
      <c r="D224" s="369">
        <v>23</v>
      </c>
      <c r="E224" s="369">
        <f t="shared" si="24"/>
        <v>-10</v>
      </c>
      <c r="F224" s="362">
        <f t="shared" si="25"/>
        <v>-0.30303030303030304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17</v>
      </c>
      <c r="C225" s="372">
        <v>1.11641</v>
      </c>
      <c r="D225" s="372">
        <v>1.42796</v>
      </c>
      <c r="E225" s="373">
        <f t="shared" si="24"/>
        <v>0.31155</v>
      </c>
      <c r="F225" s="362">
        <f t="shared" si="25"/>
        <v>0.27906414310154876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18</v>
      </c>
      <c r="C226" s="376">
        <f>C224*C225</f>
        <v>36.84153</v>
      </c>
      <c r="D226" s="376">
        <f>LN_IG3*LN_IG4</f>
        <v>32.84308</v>
      </c>
      <c r="E226" s="376">
        <f t="shared" si="24"/>
        <v>-3.9984499999999983</v>
      </c>
      <c r="F226" s="362">
        <f t="shared" si="25"/>
        <v>-0.10853105177770843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19</v>
      </c>
      <c r="C227" s="378">
        <f>IF(C226=0,0,C222/C226)</f>
        <v>4415.4246579878745</v>
      </c>
      <c r="D227" s="378">
        <f>IF(LN_IG5=0,0,LN_IG2/LN_IG5)</f>
        <v>10569.136633957594</v>
      </c>
      <c r="E227" s="378">
        <f t="shared" si="24"/>
        <v>6153.71197596972</v>
      </c>
      <c r="F227" s="362">
        <f t="shared" si="25"/>
        <v>1.3936851951118987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529</v>
      </c>
      <c r="C228" s="369">
        <v>120</v>
      </c>
      <c r="D228" s="369">
        <v>161</v>
      </c>
      <c r="E228" s="369">
        <f t="shared" si="24"/>
        <v>41</v>
      </c>
      <c r="F228" s="362">
        <f t="shared" si="25"/>
        <v>0.3416666666666667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20</v>
      </c>
      <c r="C229" s="378">
        <f>IF(C228=0,0,C222/C228)</f>
        <v>1355.5916666666667</v>
      </c>
      <c r="D229" s="378">
        <f>IF(LN_IG6=0,0,LN_IG2/LN_IG6)</f>
        <v>2156.0434782608695</v>
      </c>
      <c r="E229" s="378">
        <f t="shared" si="24"/>
        <v>800.4518115942028</v>
      </c>
      <c r="F229" s="362">
        <f t="shared" si="25"/>
        <v>0.5904815080211244</v>
      </c>
      <c r="Q229" s="330"/>
      <c r="U229" s="375"/>
    </row>
    <row r="230" spans="1:21" ht="11.25" customHeight="1">
      <c r="A230" s="364">
        <v>10</v>
      </c>
      <c r="B230" s="360" t="s">
        <v>21</v>
      </c>
      <c r="C230" s="379">
        <f>IF(C224=0,0,C228/C224)</f>
        <v>3.6363636363636362</v>
      </c>
      <c r="D230" s="379">
        <f>IF(LN_IG3=0,0,LN_IG6/LN_IG3)</f>
        <v>7</v>
      </c>
      <c r="E230" s="379">
        <f t="shared" si="24"/>
        <v>3.3636363636363638</v>
      </c>
      <c r="F230" s="362">
        <f t="shared" si="25"/>
        <v>0.925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83</v>
      </c>
      <c r="C232" s="330"/>
      <c r="Q232" s="330"/>
      <c r="U232" s="399"/>
    </row>
    <row r="233" spans="1:21" ht="11.25" customHeight="1">
      <c r="A233" s="364">
        <v>11</v>
      </c>
      <c r="B233" s="360" t="s">
        <v>23</v>
      </c>
      <c r="C233" s="361">
        <v>486906</v>
      </c>
      <c r="D233" s="361">
        <v>495806</v>
      </c>
      <c r="E233" s="361">
        <f>D233-C233</f>
        <v>8900</v>
      </c>
      <c r="F233" s="362">
        <f>IF(C233=0,0,E233/C233)</f>
        <v>0.01827868212755645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24</v>
      </c>
      <c r="C234" s="361">
        <v>149967</v>
      </c>
      <c r="D234" s="361">
        <v>131600</v>
      </c>
      <c r="E234" s="361">
        <f>D234-C234</f>
        <v>-18367</v>
      </c>
      <c r="F234" s="362">
        <f>IF(C234=0,0,E234/C234)</f>
        <v>-0.1224736108610561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84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30</v>
      </c>
      <c r="C237" s="361">
        <f>C221+C233</f>
        <v>1268777</v>
      </c>
      <c r="D237" s="361">
        <f>LN_IG1+LN_IG9</f>
        <v>1692768</v>
      </c>
      <c r="E237" s="361">
        <f>D237-C237</f>
        <v>423991</v>
      </c>
      <c r="F237" s="362">
        <f>IF(C237=0,0,E237/C237)</f>
        <v>0.33417298705761533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31</v>
      </c>
      <c r="C238" s="361">
        <f>C222+C234</f>
        <v>312638</v>
      </c>
      <c r="D238" s="361">
        <f>LN_IG2+LN_IG10</f>
        <v>478723</v>
      </c>
      <c r="E238" s="361">
        <f>D238-C238</f>
        <v>166085</v>
      </c>
      <c r="F238" s="362">
        <f>IF(C238=0,0,E238/C238)</f>
        <v>0.531237405561704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32</v>
      </c>
      <c r="C239" s="361">
        <f>C237-C238</f>
        <v>956139</v>
      </c>
      <c r="D239" s="361">
        <f>LN_IG13-LN_IG14</f>
        <v>1214045</v>
      </c>
      <c r="E239" s="361">
        <f>D239-C239</f>
        <v>257906</v>
      </c>
      <c r="F239" s="362">
        <f>IF(C239=0,0,E239/C239)</f>
        <v>0.26973693155493084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760</v>
      </c>
      <c r="B241" s="356" t="s">
        <v>85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86</v>
      </c>
      <c r="C243" s="361">
        <v>7318660</v>
      </c>
      <c r="D243" s="361">
        <v>6491465</v>
      </c>
      <c r="E243" s="353">
        <f>D243-C243</f>
        <v>-827195</v>
      </c>
      <c r="F243" s="415">
        <f>IF(C243=0,0,E243/C243)</f>
        <v>-0.11302547187599916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87</v>
      </c>
      <c r="C244" s="361">
        <v>333443334</v>
      </c>
      <c r="D244" s="361">
        <v>351055000</v>
      </c>
      <c r="E244" s="353">
        <f>D244-C244</f>
        <v>17611666</v>
      </c>
      <c r="F244" s="415">
        <f>IF(C244=0,0,E244/C244)</f>
        <v>0.05281756809689289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88</v>
      </c>
      <c r="C245" s="400">
        <v>3452370</v>
      </c>
      <c r="D245" s="400">
        <v>3383714</v>
      </c>
      <c r="E245" s="400">
        <f>D245-C245</f>
        <v>-68656</v>
      </c>
      <c r="F245" s="401">
        <f>IF(C245=0,0,E245/C245)</f>
        <v>-0.019886628605856268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89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90</v>
      </c>
      <c r="C248" s="353">
        <v>11818000</v>
      </c>
      <c r="D248" s="353">
        <v>15999852</v>
      </c>
      <c r="E248" s="353">
        <f>D248-C248</f>
        <v>4181852</v>
      </c>
      <c r="F248" s="362">
        <f>IF(C248=0,0,E248/C248)</f>
        <v>0.3538544592993738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91</v>
      </c>
      <c r="C249" s="353">
        <v>32166000</v>
      </c>
      <c r="D249" s="353">
        <v>32293223</v>
      </c>
      <c r="E249" s="353">
        <f>D249-C249</f>
        <v>127223</v>
      </c>
      <c r="F249" s="362">
        <f>IF(C249=0,0,E249/C249)</f>
        <v>0.003955201144065162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92</v>
      </c>
      <c r="C250" s="353">
        <f>C248+C249</f>
        <v>43984000</v>
      </c>
      <c r="D250" s="353">
        <f>LN_IH4+LN_IH5</f>
        <v>48293075</v>
      </c>
      <c r="E250" s="353">
        <f>D250-C250</f>
        <v>4309075</v>
      </c>
      <c r="F250" s="362">
        <f>IF(C250=0,0,E250/C250)</f>
        <v>0.09796914787195343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93</v>
      </c>
      <c r="C251" s="353">
        <f>C250*C313</f>
        <v>13917028.887508798</v>
      </c>
      <c r="D251" s="353">
        <f>LN_IH6*LN_III10</f>
        <v>15419996.591193657</v>
      </c>
      <c r="E251" s="353">
        <f>D251-C251</f>
        <v>1502967.703684859</v>
      </c>
      <c r="F251" s="362">
        <f>IF(C251=0,0,E251/C251)</f>
        <v>0.10799486843300618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94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30</v>
      </c>
      <c r="C254" s="353">
        <f>C188+C203</f>
        <v>240356793</v>
      </c>
      <c r="D254" s="353">
        <f>LN_IF23</f>
        <v>278206764</v>
      </c>
      <c r="E254" s="353">
        <f>D254-C254</f>
        <v>37849971</v>
      </c>
      <c r="F254" s="362">
        <f>IF(C254=0,0,E254/C254)</f>
        <v>0.1574741055893519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31</v>
      </c>
      <c r="C255" s="353">
        <f>C189+C204</f>
        <v>56741428</v>
      </c>
      <c r="D255" s="353">
        <f>LN_IF24</f>
        <v>62101828</v>
      </c>
      <c r="E255" s="353">
        <f>D255-C255</f>
        <v>5360400</v>
      </c>
      <c r="F255" s="362">
        <f>IF(C255=0,0,E255/C255)</f>
        <v>0.09447065731232566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95</v>
      </c>
      <c r="C256" s="353">
        <f>C254*C313</f>
        <v>76051574.01532313</v>
      </c>
      <c r="D256" s="353">
        <f>LN_IH8*LN_III10</f>
        <v>88831521.96307687</v>
      </c>
      <c r="E256" s="353">
        <f>D256-C256</f>
        <v>12779947.947753742</v>
      </c>
      <c r="F256" s="362">
        <f>IF(C256=0,0,E256/C256)</f>
        <v>0.1680431748221121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96</v>
      </c>
      <c r="C257" s="353">
        <f>C256-C255</f>
        <v>19310146.015323132</v>
      </c>
      <c r="D257" s="353">
        <f>LN_IH10-LN_IH9</f>
        <v>26729693.963076875</v>
      </c>
      <c r="E257" s="353">
        <f>D257-C257</f>
        <v>7419547.947753742</v>
      </c>
      <c r="F257" s="362">
        <f>IF(C257=0,0,E257/C257)</f>
        <v>0.3842305460490111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434</v>
      </c>
      <c r="B258" s="349" t="s">
        <v>97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404</v>
      </c>
      <c r="B260" s="359" t="s">
        <v>98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99</v>
      </c>
      <c r="C261" s="361">
        <f>C15+C42+C188+C221</f>
        <v>674215405</v>
      </c>
      <c r="D261" s="361">
        <f>LN_IA1+LN_IB1+LN_IF1+LN_IG1</f>
        <v>686097894</v>
      </c>
      <c r="E261" s="361">
        <f aca="true" t="shared" si="26" ref="E261:E274">D261-C261</f>
        <v>11882489</v>
      </c>
      <c r="F261" s="415">
        <f aca="true" t="shared" si="27" ref="F261:F274">IF(C261=0,0,E261/C261)</f>
        <v>0.017624173093464097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100</v>
      </c>
      <c r="C262" s="361">
        <f>C16+C43+C189+C222</f>
        <v>231622162</v>
      </c>
      <c r="D262" s="361">
        <f>+LN_IA2+LN_IB2+LN_IF2+LN_IG2</f>
        <v>233913540</v>
      </c>
      <c r="E262" s="361">
        <f t="shared" si="26"/>
        <v>2291378</v>
      </c>
      <c r="F262" s="415">
        <f t="shared" si="27"/>
        <v>0.009892740747321061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101</v>
      </c>
      <c r="C263" s="366">
        <f>IF(C261=0,0,C262/C261)</f>
        <v>0.3435432656718961</v>
      </c>
      <c r="D263" s="366">
        <f>IF(LN_IIA1=0,0,LN_IIA2/LN_IIA1)</f>
        <v>0.34093318467466394</v>
      </c>
      <c r="E263" s="367">
        <f t="shared" si="26"/>
        <v>-0.002610080997232145</v>
      </c>
      <c r="F263" s="371">
        <f t="shared" si="27"/>
        <v>-0.007597532124890857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102</v>
      </c>
      <c r="C264" s="369">
        <f>C18+C45+C191+C224</f>
        <v>20022</v>
      </c>
      <c r="D264" s="369">
        <f>LN_IA4+LN_IB4+LN_IF4+LN_IG3</f>
        <v>19808</v>
      </c>
      <c r="E264" s="369">
        <f t="shared" si="26"/>
        <v>-214</v>
      </c>
      <c r="F264" s="415">
        <f t="shared" si="27"/>
        <v>-0.010688242932773949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103</v>
      </c>
      <c r="C265" s="439">
        <f>IF(C264=0,0,C266/C264)</f>
        <v>1.2687761911896913</v>
      </c>
      <c r="D265" s="439">
        <f>IF(LN_IIA4=0,0,LN_IIA6/LN_IIA4)</f>
        <v>1.2669748980210016</v>
      </c>
      <c r="E265" s="439">
        <f t="shared" si="26"/>
        <v>-0.0018012931686897105</v>
      </c>
      <c r="F265" s="415">
        <f t="shared" si="27"/>
        <v>-0.0014197091505955002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104</v>
      </c>
      <c r="C266" s="376">
        <f>C20+C47+C193+C226</f>
        <v>25403.4369</v>
      </c>
      <c r="D266" s="376">
        <f>LN_IA6+LN_IB6+LN_IF6+LN_IG5</f>
        <v>25096.23878</v>
      </c>
      <c r="E266" s="376">
        <f t="shared" si="26"/>
        <v>-307.1981200000009</v>
      </c>
      <c r="F266" s="415">
        <f t="shared" si="27"/>
        <v>-0.012092777887074049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105</v>
      </c>
      <c r="C267" s="361">
        <f>C27+C56+C203+C233</f>
        <v>365885083</v>
      </c>
      <c r="D267" s="361">
        <f>LN_IA11+LN_IB13+LN_IF14+LN_IG9</f>
        <v>419436609</v>
      </c>
      <c r="E267" s="361">
        <f t="shared" si="26"/>
        <v>53551526</v>
      </c>
      <c r="F267" s="415">
        <f t="shared" si="27"/>
        <v>0.14636159955173686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26</v>
      </c>
      <c r="C268" s="366">
        <f>IF(C261=0,0,C267/C261)</f>
        <v>0.542682769166332</v>
      </c>
      <c r="D268" s="366">
        <f>IF(LN_IIA1=0,0,LN_IIA7/LN_IIA1)</f>
        <v>0.6113363889730873</v>
      </c>
      <c r="E268" s="367">
        <f t="shared" si="26"/>
        <v>0.06865361980675533</v>
      </c>
      <c r="F268" s="371">
        <f t="shared" si="27"/>
        <v>0.12650783055489465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106</v>
      </c>
      <c r="C269" s="361">
        <f>C28+C57+C204+C234</f>
        <v>94025460</v>
      </c>
      <c r="D269" s="361">
        <f>LN_IA12+LN_IB14+LN_IF15+LN_IG10</f>
        <v>106009829</v>
      </c>
      <c r="E269" s="361">
        <f t="shared" si="26"/>
        <v>11984369</v>
      </c>
      <c r="F269" s="415">
        <f t="shared" si="27"/>
        <v>0.12745876489197713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25</v>
      </c>
      <c r="C270" s="366">
        <f>IF(C267=0,0,C269/C267)</f>
        <v>0.25698085100670803</v>
      </c>
      <c r="D270" s="366">
        <f>IF(LN_IIA7=0,0,LN_IIA9/LN_IIA7)</f>
        <v>0.2527433865459274</v>
      </c>
      <c r="E270" s="367">
        <f t="shared" si="26"/>
        <v>-0.00423746446078066</v>
      </c>
      <c r="F270" s="371">
        <f t="shared" si="27"/>
        <v>-0.016489417184901642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107</v>
      </c>
      <c r="C271" s="353">
        <f>C261+C267</f>
        <v>1040100488</v>
      </c>
      <c r="D271" s="353">
        <f>LN_IIA1+LN_IIA7</f>
        <v>1105534503</v>
      </c>
      <c r="E271" s="353">
        <f t="shared" si="26"/>
        <v>65434015</v>
      </c>
      <c r="F271" s="415">
        <f t="shared" si="27"/>
        <v>0.06291124343747063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108</v>
      </c>
      <c r="C272" s="353">
        <f>C262+C269</f>
        <v>325647622</v>
      </c>
      <c r="D272" s="353">
        <f>LN_IIA2+LN_IIA9</f>
        <v>339923369</v>
      </c>
      <c r="E272" s="353">
        <f t="shared" si="26"/>
        <v>14275747</v>
      </c>
      <c r="F272" s="415">
        <f t="shared" si="27"/>
        <v>0.04383802010382867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109</v>
      </c>
      <c r="C273" s="366">
        <f>IF(C271=0,0,C272/C271)</f>
        <v>0.31309246150454645</v>
      </c>
      <c r="D273" s="366">
        <f>IF(LN_IIA11=0,0,LN_IIA12/LN_IIA11)</f>
        <v>0.30747422905171873</v>
      </c>
      <c r="E273" s="367">
        <f t="shared" si="26"/>
        <v>-0.0056182324528277205</v>
      </c>
      <c r="F273" s="371">
        <f t="shared" si="27"/>
        <v>-0.01794432362194111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529</v>
      </c>
      <c r="C274" s="421">
        <f>C22+C51+C198+C228</f>
        <v>106845</v>
      </c>
      <c r="D274" s="421">
        <f>LN_IA8+LN_IB10+LN_IF11+LN_IG6</f>
        <v>103601</v>
      </c>
      <c r="E274" s="442">
        <f t="shared" si="26"/>
        <v>-3244</v>
      </c>
      <c r="F274" s="371">
        <f t="shared" si="27"/>
        <v>-0.030361738967663438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416</v>
      </c>
      <c r="B276" s="359" t="s">
        <v>110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111</v>
      </c>
      <c r="C277" s="361">
        <f>C15+C188+C221</f>
        <v>459604143</v>
      </c>
      <c r="D277" s="361">
        <f>LN_IA1+LN_IF1+LN_IG1</f>
        <v>480664726</v>
      </c>
      <c r="E277" s="361">
        <f aca="true" t="shared" si="28" ref="E277:E291">D277-C277</f>
        <v>21060583</v>
      </c>
      <c r="F277" s="415">
        <f aca="true" t="shared" si="29" ref="F277:F291">IF(C277=0,0,E277/C277)</f>
        <v>0.045823309734612204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112</v>
      </c>
      <c r="C278" s="361">
        <f>C16+C189+C222</f>
        <v>151995768</v>
      </c>
      <c r="D278" s="361">
        <f>LN_IA2+LN_IF2+LN_IG2</f>
        <v>152758050</v>
      </c>
      <c r="E278" s="361">
        <f t="shared" si="28"/>
        <v>762282</v>
      </c>
      <c r="F278" s="415">
        <f t="shared" si="29"/>
        <v>0.005015152790306635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113</v>
      </c>
      <c r="C279" s="366">
        <f>IF(C277=0,0,C278/C277)</f>
        <v>0.33071017812822456</v>
      </c>
      <c r="D279" s="366">
        <f>IF(D277=0,0,LN_IIB2/D277)</f>
        <v>0.31780582542684854</v>
      </c>
      <c r="E279" s="367">
        <f t="shared" si="28"/>
        <v>-0.01290435270137602</v>
      </c>
      <c r="F279" s="371">
        <f t="shared" si="29"/>
        <v>-0.039020125641166935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114</v>
      </c>
      <c r="C280" s="369">
        <f>C18+C191+C224</f>
        <v>12544</v>
      </c>
      <c r="D280" s="369">
        <f>LN_IA4+LN_IF4+LN_IG3</f>
        <v>12792</v>
      </c>
      <c r="E280" s="369">
        <f t="shared" si="28"/>
        <v>248</v>
      </c>
      <c r="F280" s="415">
        <f t="shared" si="29"/>
        <v>0.019770408163265307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115</v>
      </c>
      <c r="C281" s="439">
        <f>IF(C280=0,0,C282/C280)</f>
        <v>1.327797898596939</v>
      </c>
      <c r="D281" s="439">
        <f>IF(LN_IIB4=0,0,LN_IIB6/LN_IIB4)</f>
        <v>1.3381687038774233</v>
      </c>
      <c r="E281" s="439">
        <f t="shared" si="28"/>
        <v>0.010370805280484285</v>
      </c>
      <c r="F281" s="415">
        <f t="shared" si="29"/>
        <v>0.007810529969540497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116</v>
      </c>
      <c r="C282" s="376">
        <f>C20+C193+C226</f>
        <v>16655.89684</v>
      </c>
      <c r="D282" s="376">
        <f>LN_IA6+LN_IF6+LN_IG5</f>
        <v>17117.854059999998</v>
      </c>
      <c r="E282" s="376">
        <f t="shared" si="28"/>
        <v>461.9572199999966</v>
      </c>
      <c r="F282" s="415">
        <f t="shared" si="29"/>
        <v>0.02773535549827508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117</v>
      </c>
      <c r="C283" s="361">
        <f>C27+C203+C233</f>
        <v>191716237</v>
      </c>
      <c r="D283" s="361">
        <f>LN_IA11+LN_IF14+LN_IG9</f>
        <v>222686396</v>
      </c>
      <c r="E283" s="361">
        <f t="shared" si="28"/>
        <v>30970159</v>
      </c>
      <c r="F283" s="415">
        <f t="shared" si="29"/>
        <v>0.16154165909275592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118</v>
      </c>
      <c r="C284" s="366">
        <f>IF(C277=0,0,C283/C277)</f>
        <v>0.4171333960320719</v>
      </c>
      <c r="D284" s="366">
        <f>IF(D277=0,0,LN_IIB7/D277)</f>
        <v>0.46328840864432397</v>
      </c>
      <c r="E284" s="367">
        <f t="shared" si="28"/>
        <v>0.04615501261225208</v>
      </c>
      <c r="F284" s="371">
        <f t="shared" si="29"/>
        <v>0.11064808776112327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119</v>
      </c>
      <c r="C285" s="361">
        <f>C28+C204+C234</f>
        <v>40338159</v>
      </c>
      <c r="D285" s="361">
        <f>LN_IA12+LN_IF15+LN_IG10</f>
        <v>46638130</v>
      </c>
      <c r="E285" s="361">
        <f t="shared" si="28"/>
        <v>6299971</v>
      </c>
      <c r="F285" s="415">
        <f t="shared" si="29"/>
        <v>0.15617894212772576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120</v>
      </c>
      <c r="C286" s="366">
        <f>IF(C283=0,0,C285/C283)</f>
        <v>0.210405543271747</v>
      </c>
      <c r="D286" s="366">
        <f>IF(LN_IIB7=0,0,LN_IIB9/LN_IIB7)</f>
        <v>0.20943412277416354</v>
      </c>
      <c r="E286" s="367">
        <f t="shared" si="28"/>
        <v>-0.0009714204975834473</v>
      </c>
      <c r="F286" s="371">
        <f t="shared" si="29"/>
        <v>-0.0046168959357160075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121</v>
      </c>
      <c r="C287" s="353">
        <f>C277+C283</f>
        <v>651320380</v>
      </c>
      <c r="D287" s="353">
        <f>D277+LN_IIB7</f>
        <v>703351122</v>
      </c>
      <c r="E287" s="353">
        <f t="shared" si="28"/>
        <v>52030742</v>
      </c>
      <c r="F287" s="415">
        <f t="shared" si="29"/>
        <v>0.07988502064068685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122</v>
      </c>
      <c r="C288" s="353">
        <f>C278+C285</f>
        <v>192333927</v>
      </c>
      <c r="D288" s="353">
        <f>LN_IIB2+LN_IIB9</f>
        <v>199396180</v>
      </c>
      <c r="E288" s="353">
        <f t="shared" si="28"/>
        <v>7062253</v>
      </c>
      <c r="F288" s="415">
        <f t="shared" si="29"/>
        <v>0.03671870641938278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123</v>
      </c>
      <c r="C289" s="366">
        <f>IF(C287=0,0,C288/C287)</f>
        <v>0.29529849350023407</v>
      </c>
      <c r="D289" s="366">
        <f>IF(LN_IIB11=0,0,LN_IIB12/LN_IIB11)</f>
        <v>0.2834945075981552</v>
      </c>
      <c r="E289" s="367">
        <f t="shared" si="28"/>
        <v>-0.011803985902078873</v>
      </c>
      <c r="F289" s="371">
        <f t="shared" si="29"/>
        <v>-0.03997306509140561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529</v>
      </c>
      <c r="C290" s="421">
        <f>C22+C198+C228</f>
        <v>77026</v>
      </c>
      <c r="D290" s="421">
        <f>LN_IA8+LN_IF11+LN_IG6</f>
        <v>76470</v>
      </c>
      <c r="E290" s="442">
        <f t="shared" si="28"/>
        <v>-556</v>
      </c>
      <c r="F290" s="371">
        <f t="shared" si="29"/>
        <v>-0.007218341858593202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124</v>
      </c>
      <c r="C291" s="361">
        <f>C287-C288</f>
        <v>458986453</v>
      </c>
      <c r="D291" s="429">
        <f>LN_IIB11-LN_IIB12</f>
        <v>503954942</v>
      </c>
      <c r="E291" s="353">
        <f t="shared" si="28"/>
        <v>44968489</v>
      </c>
      <c r="F291" s="415">
        <f t="shared" si="29"/>
        <v>0.09797345587452447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426</v>
      </c>
      <c r="B293" s="358" t="s">
        <v>21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12</v>
      </c>
      <c r="C294" s="379">
        <f>IF(C18=0,0,C22/C18)</f>
        <v>7.063979706877114</v>
      </c>
      <c r="D294" s="379">
        <f>IF(LN_IA4=0,0,LN_IA8/LN_IA4)</f>
        <v>6.9964823413535955</v>
      </c>
      <c r="E294" s="379">
        <f aca="true" t="shared" si="30" ref="E294:E300">D294-C294</f>
        <v>-0.06749736552351848</v>
      </c>
      <c r="F294" s="415">
        <f aca="true" t="shared" si="31" ref="F294:F300">IF(C294=0,0,E294/C294)</f>
        <v>-0.009555147144294122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33</v>
      </c>
      <c r="C295" s="379">
        <f>IF(C45=0,0,C51/C45)</f>
        <v>3.9875635196576624</v>
      </c>
      <c r="D295" s="379">
        <f>IF(LN_IB4=0,0,(LN_IB10)/(LN_IB4))</f>
        <v>3.867018244013683</v>
      </c>
      <c r="E295" s="379">
        <f t="shared" si="30"/>
        <v>-0.12054527564397954</v>
      </c>
      <c r="F295" s="415">
        <f t="shared" si="31"/>
        <v>-0.030230308570565044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48</v>
      </c>
      <c r="C296" s="379">
        <f>IF(C86=0,0,C93/C86)</f>
        <v>5.1706666666666665</v>
      </c>
      <c r="D296" s="379">
        <f>IF(LN_IC4=0,0,LN_IC11/LN_IC4)</f>
        <v>4.331658291457287</v>
      </c>
      <c r="E296" s="379">
        <f t="shared" si="30"/>
        <v>-0.8390083752093798</v>
      </c>
      <c r="F296" s="415">
        <f t="shared" si="31"/>
        <v>-0.16226309474137052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504</v>
      </c>
      <c r="C297" s="379">
        <f>IF(C121=0,0,C128/C121)</f>
        <v>4.864677453246481</v>
      </c>
      <c r="D297" s="379">
        <f>IF(LN_ID4=0,0,LN_ID11/LN_ID4)</f>
        <v>4.532648125755744</v>
      </c>
      <c r="E297" s="379">
        <f t="shared" si="30"/>
        <v>-0.3320293274907371</v>
      </c>
      <c r="F297" s="415">
        <f t="shared" si="31"/>
        <v>-0.06825310222143396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125</v>
      </c>
      <c r="C298" s="379">
        <f>IF(C156=0,0,C163/C156)</f>
        <v>5.532012195121951</v>
      </c>
      <c r="D298" s="379">
        <f>IF(LN_IE4=0,0,LN_IE11/LN_IE4)</f>
        <v>5.848571428571429</v>
      </c>
      <c r="E298" s="379">
        <f t="shared" si="30"/>
        <v>0.31655923344947734</v>
      </c>
      <c r="F298" s="415">
        <f t="shared" si="31"/>
        <v>0.05722316261858835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808</v>
      </c>
      <c r="C299" s="379">
        <f>IF(C224=0,0,C228/C224)</f>
        <v>3.6363636363636362</v>
      </c>
      <c r="D299" s="379">
        <f>IF(LN_IG3=0,0,LN_IG6/LN_IG3)</f>
        <v>7</v>
      </c>
      <c r="E299" s="379">
        <f t="shared" si="30"/>
        <v>3.3636363636363638</v>
      </c>
      <c r="F299" s="415">
        <f t="shared" si="31"/>
        <v>0.925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126</v>
      </c>
      <c r="C300" s="379">
        <f>IF(C264=0,0,C274/C264)</f>
        <v>5.336379982019778</v>
      </c>
      <c r="D300" s="379">
        <f>IF(LN_IIA4=0,0,LN_IIA14/LN_IIA4)</f>
        <v>5.230260500807755</v>
      </c>
      <c r="E300" s="379">
        <f t="shared" si="30"/>
        <v>-0.10611948121202364</v>
      </c>
      <c r="F300" s="415">
        <f t="shared" si="31"/>
        <v>-0.019886042892293856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525</v>
      </c>
      <c r="B302" s="446" t="s">
        <v>127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121</v>
      </c>
      <c r="C304" s="353">
        <f>C35+C66+C214+C221+C233</f>
        <v>1040100488</v>
      </c>
      <c r="D304" s="353">
        <f>LN_IIA11</f>
        <v>1105534503</v>
      </c>
      <c r="E304" s="353">
        <f aca="true" t="shared" si="32" ref="E304:E316">D304-C304</f>
        <v>65434015</v>
      </c>
      <c r="F304" s="362">
        <f>IF(C304=0,0,E304/C304)</f>
        <v>0.06291124343747063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124</v>
      </c>
      <c r="C305" s="353">
        <f>C291</f>
        <v>458986453</v>
      </c>
      <c r="D305" s="353">
        <f>LN_IIB14</f>
        <v>503954942</v>
      </c>
      <c r="E305" s="353">
        <f t="shared" si="32"/>
        <v>44968489</v>
      </c>
      <c r="F305" s="362">
        <f>IF(C305=0,0,E305/C305)</f>
        <v>0.09797345587452447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128</v>
      </c>
      <c r="C306" s="353">
        <f>C250</f>
        <v>43984000</v>
      </c>
      <c r="D306" s="353">
        <f>LN_IH6</f>
        <v>48293075</v>
      </c>
      <c r="E306" s="353">
        <f t="shared" si="32"/>
        <v>4309075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129</v>
      </c>
      <c r="C307" s="353">
        <f>C73-C74</f>
        <v>210619713</v>
      </c>
      <c r="D307" s="353">
        <f>LN_IB32-LN_IB33</f>
        <v>202839261</v>
      </c>
      <c r="E307" s="353">
        <f t="shared" si="32"/>
        <v>-7780452</v>
      </c>
      <c r="F307" s="362">
        <f aca="true" t="shared" si="33" ref="F307:F316">IF(C307=0,0,E307/C307)</f>
        <v>-0.0369407587218581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130</v>
      </c>
      <c r="C308" s="353">
        <v>863280</v>
      </c>
      <c r="D308" s="353">
        <v>833366</v>
      </c>
      <c r="E308" s="353">
        <f t="shared" si="32"/>
        <v>-29914</v>
      </c>
      <c r="F308" s="362">
        <f t="shared" si="33"/>
        <v>-0.03465156148642387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131</v>
      </c>
      <c r="C309" s="353">
        <f>C305+C307+C308+C306</f>
        <v>714453446</v>
      </c>
      <c r="D309" s="353">
        <f>LN_III2+LN_III3+LN_III4+LN_III5</f>
        <v>755920644</v>
      </c>
      <c r="E309" s="353">
        <f t="shared" si="32"/>
        <v>41467198</v>
      </c>
      <c r="F309" s="362">
        <f t="shared" si="33"/>
        <v>0.058040447886649284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132</v>
      </c>
      <c r="C310" s="353">
        <f>C304-C309</f>
        <v>325647042</v>
      </c>
      <c r="D310" s="353">
        <f>LN_III1-LN_III6</f>
        <v>349613859</v>
      </c>
      <c r="E310" s="353">
        <f t="shared" si="32"/>
        <v>23966817</v>
      </c>
      <c r="F310" s="362">
        <f t="shared" si="33"/>
        <v>0.0735975271042075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133</v>
      </c>
      <c r="C311" s="353">
        <f>C245</f>
        <v>3452370</v>
      </c>
      <c r="D311" s="353">
        <f>LN_IH3</f>
        <v>3383714</v>
      </c>
      <c r="E311" s="353">
        <f t="shared" si="32"/>
        <v>-68656</v>
      </c>
      <c r="F311" s="362">
        <f t="shared" si="33"/>
        <v>-0.019886628605856268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134</v>
      </c>
      <c r="C312" s="353">
        <f>C310+C311</f>
        <v>329099412</v>
      </c>
      <c r="D312" s="353">
        <f>LN_III7+LN_III8</f>
        <v>352997573</v>
      </c>
      <c r="E312" s="353">
        <f t="shared" si="32"/>
        <v>23898161</v>
      </c>
      <c r="F312" s="362">
        <f t="shared" si="33"/>
        <v>0.07261684502796985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135</v>
      </c>
      <c r="C313" s="448">
        <f>IF(C304=0,0,C312/C304)</f>
        <v>0.3164111696869043</v>
      </c>
      <c r="D313" s="448">
        <f>IF(LN_III1=0,0,LN_III9/LN_III1)</f>
        <v>0.31930036741693624</v>
      </c>
      <c r="E313" s="448">
        <f t="shared" si="32"/>
        <v>0.002889197730031934</v>
      </c>
      <c r="F313" s="362">
        <f t="shared" si="33"/>
        <v>0.009131149614253055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93</v>
      </c>
      <c r="C314" s="353">
        <f>C306*C313</f>
        <v>13917028.887508798</v>
      </c>
      <c r="D314" s="353">
        <f>D313*LN_III5</f>
        <v>15419996.591193657</v>
      </c>
      <c r="E314" s="353">
        <f t="shared" si="32"/>
        <v>1502967.703684859</v>
      </c>
      <c r="F314" s="362">
        <f t="shared" si="33"/>
        <v>0.10799486843300618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96</v>
      </c>
      <c r="C315" s="353">
        <f>(C214*C313)-C215</f>
        <v>19310146.015323132</v>
      </c>
      <c r="D315" s="353">
        <f>D313*LN_IH8-LN_IH9</f>
        <v>26729693.963076875</v>
      </c>
      <c r="E315" s="353">
        <f t="shared" si="32"/>
        <v>7419547.947753742</v>
      </c>
      <c r="F315" s="362">
        <f t="shared" si="33"/>
        <v>0.3842305460490111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136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137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138</v>
      </c>
      <c r="C318" s="353">
        <f>C314+C315+C316</f>
        <v>33227174.90283193</v>
      </c>
      <c r="D318" s="353">
        <f>D314+D315+D316</f>
        <v>42149690.554270536</v>
      </c>
      <c r="E318" s="353">
        <f>D318-C318</f>
        <v>8922515.651438605</v>
      </c>
      <c r="F318" s="362">
        <f>IF(C318=0,0,E318/C318)</f>
        <v>0.26853067338800884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534</v>
      </c>
      <c r="B320" s="445" t="s">
        <v>139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504</v>
      </c>
      <c r="C322" s="353">
        <f>C141</f>
        <v>13075689.812769748</v>
      </c>
      <c r="D322" s="353">
        <f>LN_ID22</f>
        <v>16277141.844727987</v>
      </c>
      <c r="E322" s="353">
        <f>LN_IV2-C322</f>
        <v>3201452.031958239</v>
      </c>
      <c r="F322" s="362">
        <f>IF(C322=0,0,E322/C322)</f>
        <v>0.24484001056920865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125</v>
      </c>
      <c r="C323" s="353">
        <f>C162+C176</f>
        <v>8329042.103104827</v>
      </c>
      <c r="D323" s="353">
        <f>LN_IE10+LN_IE22</f>
        <v>6568319.211760468</v>
      </c>
      <c r="E323" s="353">
        <f>LN_IV3-C323</f>
        <v>-1760722.8913443591</v>
      </c>
      <c r="F323" s="362">
        <f>IF(C323=0,0,E323/C323)</f>
        <v>-0.21139560462637264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140</v>
      </c>
      <c r="C324" s="353">
        <f>C92+C106</f>
        <v>7744891.362184802</v>
      </c>
      <c r="D324" s="353">
        <f>LN_IC10+LN_IC22</f>
        <v>10873400.924910672</v>
      </c>
      <c r="E324" s="353">
        <f>LN_IV1-C324</f>
        <v>3128509.56272587</v>
      </c>
      <c r="F324" s="362">
        <f>IF(C324=0,0,E324/C324)</f>
        <v>0.4039449252963221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141</v>
      </c>
      <c r="C325" s="429">
        <f>C324+C322+C323</f>
        <v>29149623.278059375</v>
      </c>
      <c r="D325" s="429">
        <f>LN_IV1+LN_IV2+LN_IV3</f>
        <v>33718861.98139913</v>
      </c>
      <c r="E325" s="353">
        <f>LN_IV4-C325</f>
        <v>4569238.703339752</v>
      </c>
      <c r="F325" s="362">
        <f>IF(C325=0,0,E325/C325)</f>
        <v>0.15675120943257512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142</v>
      </c>
      <c r="B327" s="446" t="s">
        <v>143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144</v>
      </c>
      <c r="C329" s="431">
        <v>1264494</v>
      </c>
      <c r="D329" s="431">
        <v>1218589</v>
      </c>
      <c r="E329" s="431">
        <f aca="true" t="shared" si="34" ref="E329:E335">D329-C329</f>
        <v>-45905</v>
      </c>
      <c r="F329" s="462">
        <f aca="true" t="shared" si="35" ref="F329:F335">IF(C329=0,0,E329/C329)</f>
        <v>-0.03630305877291628</v>
      </c>
    </row>
    <row r="330" spans="1:6" s="333" customFormat="1" ht="11.25" customHeight="1">
      <c r="A330" s="364">
        <v>2</v>
      </c>
      <c r="B330" s="360" t="s">
        <v>145</v>
      </c>
      <c r="C330" s="429">
        <v>561008</v>
      </c>
      <c r="D330" s="429">
        <v>6176917</v>
      </c>
      <c r="E330" s="431">
        <f t="shared" si="34"/>
        <v>5615909</v>
      </c>
      <c r="F330" s="463">
        <f t="shared" si="35"/>
        <v>10.010390226164333</v>
      </c>
    </row>
    <row r="331" spans="1:6" s="333" customFormat="1" ht="11.25" customHeight="1">
      <c r="A331" s="339">
        <v>3</v>
      </c>
      <c r="B331" s="360" t="s">
        <v>146</v>
      </c>
      <c r="C331" s="429">
        <v>329661000</v>
      </c>
      <c r="D331" s="429">
        <v>349484000</v>
      </c>
      <c r="E331" s="431">
        <f t="shared" si="34"/>
        <v>19823000</v>
      </c>
      <c r="F331" s="462">
        <f t="shared" si="35"/>
        <v>0.060131468387222026</v>
      </c>
    </row>
    <row r="332" spans="1:6" s="333" customFormat="1" ht="11.25" customHeight="1">
      <c r="A332" s="364">
        <v>4</v>
      </c>
      <c r="B332" s="360" t="s">
        <v>147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148</v>
      </c>
      <c r="C333" s="429">
        <v>1040100000</v>
      </c>
      <c r="D333" s="429">
        <v>1105535000</v>
      </c>
      <c r="E333" s="431">
        <f t="shared" si="34"/>
        <v>65435000</v>
      </c>
      <c r="F333" s="462">
        <f t="shared" si="35"/>
        <v>0.06291221997884819</v>
      </c>
    </row>
    <row r="334" spans="1:6" s="333" customFormat="1" ht="11.25" customHeight="1">
      <c r="A334" s="339">
        <v>6</v>
      </c>
      <c r="B334" s="360" t="s">
        <v>149</v>
      </c>
      <c r="C334" s="429">
        <v>370</v>
      </c>
      <c r="D334" s="429">
        <v>0</v>
      </c>
      <c r="E334" s="429">
        <f t="shared" si="34"/>
        <v>-370</v>
      </c>
      <c r="F334" s="463">
        <f t="shared" si="35"/>
        <v>-1</v>
      </c>
    </row>
    <row r="335" spans="1:6" s="333" customFormat="1" ht="11.25" customHeight="1">
      <c r="A335" s="364">
        <v>7</v>
      </c>
      <c r="B335" s="360" t="s">
        <v>150</v>
      </c>
      <c r="C335" s="429">
        <v>43984000</v>
      </c>
      <c r="D335" s="429">
        <v>48293075</v>
      </c>
      <c r="E335" s="429">
        <f t="shared" si="34"/>
        <v>4309075</v>
      </c>
      <c r="F335" s="462">
        <f t="shared" si="35"/>
        <v>0.09796914787195343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FILING&amp;RBRIDGEPORT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390</v>
      </c>
      <c r="B2" s="710"/>
      <c r="C2" s="710"/>
      <c r="D2" s="710"/>
      <c r="E2" s="710"/>
    </row>
    <row r="3" spans="1:5" s="338" customFormat="1" ht="15.75" customHeight="1">
      <c r="A3" s="709" t="s">
        <v>3</v>
      </c>
      <c r="B3" s="709"/>
      <c r="C3" s="709"/>
      <c r="D3" s="709"/>
      <c r="E3" s="709"/>
    </row>
    <row r="4" spans="1:5" s="338" customFormat="1" ht="15.75" customHeight="1">
      <c r="A4" s="709" t="s">
        <v>392</v>
      </c>
      <c r="B4" s="709"/>
      <c r="C4" s="709"/>
      <c r="D4" s="709"/>
      <c r="E4" s="709"/>
    </row>
    <row r="5" spans="1:5" s="338" customFormat="1" ht="15.75" customHeight="1">
      <c r="A5" s="709" t="s">
        <v>151</v>
      </c>
      <c r="B5" s="709"/>
      <c r="C5" s="709"/>
      <c r="D5" s="709"/>
      <c r="E5" s="709"/>
    </row>
    <row r="6" spans="1:5" s="338" customFormat="1" ht="15.75" customHeight="1">
      <c r="A6" s="709" t="s">
        <v>152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398</v>
      </c>
      <c r="B9" s="493" t="s">
        <v>399</v>
      </c>
      <c r="C9" s="494" t="s">
        <v>153</v>
      </c>
      <c r="D9" s="494" t="s">
        <v>154</v>
      </c>
      <c r="E9" s="495" t="s">
        <v>155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402</v>
      </c>
      <c r="B11" s="501" t="s">
        <v>156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404</v>
      </c>
      <c r="B13" s="509" t="s">
        <v>157</v>
      </c>
      <c r="C13" s="510"/>
      <c r="D13" s="340"/>
      <c r="E13" s="511"/>
    </row>
    <row r="14" spans="1:5" s="506" customFormat="1" ht="12.75">
      <c r="A14" s="512">
        <v>1</v>
      </c>
      <c r="B14" s="511" t="s">
        <v>33</v>
      </c>
      <c r="C14" s="513">
        <v>214611262</v>
      </c>
      <c r="D14" s="513">
        <v>205433168</v>
      </c>
      <c r="E14" s="514">
        <f aca="true" t="shared" si="0" ref="E14:E22">D14-C14</f>
        <v>-9178094</v>
      </c>
    </row>
    <row r="15" spans="1:5" s="506" customFormat="1" ht="12.75">
      <c r="A15" s="512">
        <v>2</v>
      </c>
      <c r="B15" s="511" t="s">
        <v>12</v>
      </c>
      <c r="C15" s="513">
        <v>319173272</v>
      </c>
      <c r="D15" s="515">
        <v>324822789</v>
      </c>
      <c r="E15" s="514">
        <f t="shared" si="0"/>
        <v>5649517</v>
      </c>
    </row>
    <row r="16" spans="1:5" s="506" customFormat="1" ht="12.75">
      <c r="A16" s="512">
        <v>3</v>
      </c>
      <c r="B16" s="511" t="s">
        <v>158</v>
      </c>
      <c r="C16" s="513">
        <v>139649000</v>
      </c>
      <c r="D16" s="515">
        <v>154644975</v>
      </c>
      <c r="E16" s="514">
        <f t="shared" si="0"/>
        <v>14995975</v>
      </c>
    </row>
    <row r="17" spans="1:5" s="506" customFormat="1" ht="12.75">
      <c r="A17" s="512">
        <v>4</v>
      </c>
      <c r="B17" s="511" t="s">
        <v>504</v>
      </c>
      <c r="C17" s="513">
        <v>119211551</v>
      </c>
      <c r="D17" s="515">
        <v>129054841</v>
      </c>
      <c r="E17" s="514">
        <f t="shared" si="0"/>
        <v>9843290</v>
      </c>
    </row>
    <row r="18" spans="1:5" s="506" customFormat="1" ht="12.75">
      <c r="A18" s="512">
        <v>5</v>
      </c>
      <c r="B18" s="511" t="s">
        <v>125</v>
      </c>
      <c r="C18" s="513">
        <v>20437449</v>
      </c>
      <c r="D18" s="515">
        <v>25590134</v>
      </c>
      <c r="E18" s="514">
        <f t="shared" si="0"/>
        <v>5152685</v>
      </c>
    </row>
    <row r="19" spans="1:5" s="506" customFormat="1" ht="12.75">
      <c r="A19" s="512">
        <v>6</v>
      </c>
      <c r="B19" s="511" t="s">
        <v>808</v>
      </c>
      <c r="C19" s="513">
        <v>781871</v>
      </c>
      <c r="D19" s="515">
        <v>1196962</v>
      </c>
      <c r="E19" s="514">
        <f t="shared" si="0"/>
        <v>415091</v>
      </c>
    </row>
    <row r="20" spans="1:5" s="506" customFormat="1" ht="12.75">
      <c r="A20" s="512">
        <v>7</v>
      </c>
      <c r="B20" s="511" t="s">
        <v>140</v>
      </c>
      <c r="C20" s="513">
        <v>14399365</v>
      </c>
      <c r="D20" s="515">
        <v>13809812</v>
      </c>
      <c r="E20" s="514">
        <f t="shared" si="0"/>
        <v>-589553</v>
      </c>
    </row>
    <row r="21" spans="1:5" s="506" customFormat="1" ht="12.75">
      <c r="A21" s="512"/>
      <c r="B21" s="516" t="s">
        <v>159</v>
      </c>
      <c r="C21" s="517">
        <f>SUM(C15+C16+C19)</f>
        <v>459604143</v>
      </c>
      <c r="D21" s="517">
        <f>SUM(D15+D16+D19)</f>
        <v>480664726</v>
      </c>
      <c r="E21" s="517">
        <f t="shared" si="0"/>
        <v>21060583</v>
      </c>
    </row>
    <row r="22" spans="1:5" s="506" customFormat="1" ht="12.75">
      <c r="A22" s="512"/>
      <c r="B22" s="516" t="s">
        <v>99</v>
      </c>
      <c r="C22" s="517">
        <f>SUM(C14+C21)</f>
        <v>674215405</v>
      </c>
      <c r="D22" s="517">
        <f>SUM(D14+D21)</f>
        <v>686097894</v>
      </c>
      <c r="E22" s="517">
        <f t="shared" si="0"/>
        <v>11882489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416</v>
      </c>
      <c r="B24" s="509" t="s">
        <v>160</v>
      </c>
      <c r="C24" s="511"/>
      <c r="D24" s="511"/>
      <c r="E24" s="511"/>
    </row>
    <row r="25" spans="1:5" s="506" customFormat="1" ht="12.75">
      <c r="A25" s="512">
        <v>1</v>
      </c>
      <c r="B25" s="511" t="s">
        <v>33</v>
      </c>
      <c r="C25" s="513">
        <v>174168846</v>
      </c>
      <c r="D25" s="513">
        <v>196750213</v>
      </c>
      <c r="E25" s="514">
        <f aca="true" t="shared" si="1" ref="E25:E33">D25-C25</f>
        <v>22581367</v>
      </c>
    </row>
    <row r="26" spans="1:5" s="506" customFormat="1" ht="12.75">
      <c r="A26" s="512">
        <v>2</v>
      </c>
      <c r="B26" s="511" t="s">
        <v>12</v>
      </c>
      <c r="C26" s="513">
        <v>90521538</v>
      </c>
      <c r="D26" s="515">
        <v>98628801</v>
      </c>
      <c r="E26" s="514">
        <f t="shared" si="1"/>
        <v>8107263</v>
      </c>
    </row>
    <row r="27" spans="1:5" s="506" customFormat="1" ht="12.75">
      <c r="A27" s="512">
        <v>3</v>
      </c>
      <c r="B27" s="511" t="s">
        <v>158</v>
      </c>
      <c r="C27" s="513">
        <v>100707793</v>
      </c>
      <c r="D27" s="515">
        <v>123561789</v>
      </c>
      <c r="E27" s="514">
        <f t="shared" si="1"/>
        <v>22853996</v>
      </c>
    </row>
    <row r="28" spans="1:5" s="506" customFormat="1" ht="12.75">
      <c r="A28" s="512">
        <v>4</v>
      </c>
      <c r="B28" s="511" t="s">
        <v>504</v>
      </c>
      <c r="C28" s="513">
        <v>81792183</v>
      </c>
      <c r="D28" s="515">
        <v>99793585</v>
      </c>
      <c r="E28" s="514">
        <f t="shared" si="1"/>
        <v>18001402</v>
      </c>
    </row>
    <row r="29" spans="1:5" s="506" customFormat="1" ht="12.75">
      <c r="A29" s="512">
        <v>5</v>
      </c>
      <c r="B29" s="511" t="s">
        <v>125</v>
      </c>
      <c r="C29" s="513">
        <v>18915610</v>
      </c>
      <c r="D29" s="515">
        <v>23768204</v>
      </c>
      <c r="E29" s="514">
        <f t="shared" si="1"/>
        <v>4852594</v>
      </c>
    </row>
    <row r="30" spans="1:5" s="506" customFormat="1" ht="12.75">
      <c r="A30" s="512">
        <v>6</v>
      </c>
      <c r="B30" s="511" t="s">
        <v>808</v>
      </c>
      <c r="C30" s="513">
        <v>486906</v>
      </c>
      <c r="D30" s="515">
        <v>495806</v>
      </c>
      <c r="E30" s="514">
        <f t="shared" si="1"/>
        <v>8900</v>
      </c>
    </row>
    <row r="31" spans="1:5" s="506" customFormat="1" ht="12.75">
      <c r="A31" s="512">
        <v>7</v>
      </c>
      <c r="B31" s="511" t="s">
        <v>140</v>
      </c>
      <c r="C31" s="514">
        <v>27594113</v>
      </c>
      <c r="D31" s="518">
        <v>30854209</v>
      </c>
      <c r="E31" s="514">
        <f t="shared" si="1"/>
        <v>3260096</v>
      </c>
    </row>
    <row r="32" spans="1:5" s="506" customFormat="1" ht="12.75">
      <c r="A32" s="512"/>
      <c r="B32" s="516" t="s">
        <v>161</v>
      </c>
      <c r="C32" s="517">
        <f>SUM(C26+C27+C30)</f>
        <v>191716237</v>
      </c>
      <c r="D32" s="517">
        <f>SUM(D26+D27+D30)</f>
        <v>222686396</v>
      </c>
      <c r="E32" s="517">
        <f t="shared" si="1"/>
        <v>30970159</v>
      </c>
    </row>
    <row r="33" spans="1:5" s="506" customFormat="1" ht="12.75">
      <c r="A33" s="512"/>
      <c r="B33" s="516" t="s">
        <v>105</v>
      </c>
      <c r="C33" s="517">
        <f>SUM(C25+C32)</f>
        <v>365885083</v>
      </c>
      <c r="D33" s="517">
        <f>SUM(D25+D32)</f>
        <v>419436609</v>
      </c>
      <c r="E33" s="517">
        <f t="shared" si="1"/>
        <v>53551526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426</v>
      </c>
      <c r="B35" s="509" t="s">
        <v>30</v>
      </c>
      <c r="C35" s="514"/>
      <c r="D35" s="514"/>
      <c r="E35" s="511"/>
    </row>
    <row r="36" spans="1:5" s="506" customFormat="1" ht="12.75">
      <c r="A36" s="512">
        <v>1</v>
      </c>
      <c r="B36" s="511" t="s">
        <v>162</v>
      </c>
      <c r="C36" s="514">
        <f aca="true" t="shared" si="2" ref="C36:D42">C14+C25</f>
        <v>388780108</v>
      </c>
      <c r="D36" s="514">
        <f t="shared" si="2"/>
        <v>402183381</v>
      </c>
      <c r="E36" s="514">
        <f aca="true" t="shared" si="3" ref="E36:E44">D36-C36</f>
        <v>13403273</v>
      </c>
    </row>
    <row r="37" spans="1:5" s="506" customFormat="1" ht="12.75">
      <c r="A37" s="512">
        <v>2</v>
      </c>
      <c r="B37" s="511" t="s">
        <v>163</v>
      </c>
      <c r="C37" s="514">
        <f t="shared" si="2"/>
        <v>409694810</v>
      </c>
      <c r="D37" s="514">
        <f t="shared" si="2"/>
        <v>423451590</v>
      </c>
      <c r="E37" s="514">
        <f t="shared" si="3"/>
        <v>13756780</v>
      </c>
    </row>
    <row r="38" spans="1:5" s="506" customFormat="1" ht="12.75">
      <c r="A38" s="512">
        <v>3</v>
      </c>
      <c r="B38" s="511" t="s">
        <v>164</v>
      </c>
      <c r="C38" s="514">
        <f t="shared" si="2"/>
        <v>240356793</v>
      </c>
      <c r="D38" s="514">
        <f t="shared" si="2"/>
        <v>278206764</v>
      </c>
      <c r="E38" s="514">
        <f t="shared" si="3"/>
        <v>37849971</v>
      </c>
    </row>
    <row r="39" spans="1:5" s="506" customFormat="1" ht="12.75">
      <c r="A39" s="512">
        <v>4</v>
      </c>
      <c r="B39" s="511" t="s">
        <v>165</v>
      </c>
      <c r="C39" s="514">
        <f t="shared" si="2"/>
        <v>201003734</v>
      </c>
      <c r="D39" s="514">
        <f t="shared" si="2"/>
        <v>228848426</v>
      </c>
      <c r="E39" s="514">
        <f t="shared" si="3"/>
        <v>27844692</v>
      </c>
    </row>
    <row r="40" spans="1:5" s="506" customFormat="1" ht="12.75">
      <c r="A40" s="512">
        <v>5</v>
      </c>
      <c r="B40" s="511" t="s">
        <v>166</v>
      </c>
      <c r="C40" s="514">
        <f t="shared" si="2"/>
        <v>39353059</v>
      </c>
      <c r="D40" s="514">
        <f t="shared" si="2"/>
        <v>49358338</v>
      </c>
      <c r="E40" s="514">
        <f t="shared" si="3"/>
        <v>10005279</v>
      </c>
    </row>
    <row r="41" spans="1:5" s="506" customFormat="1" ht="12.75">
      <c r="A41" s="512">
        <v>6</v>
      </c>
      <c r="B41" s="511" t="s">
        <v>167</v>
      </c>
      <c r="C41" s="514">
        <f t="shared" si="2"/>
        <v>1268777</v>
      </c>
      <c r="D41" s="514">
        <f t="shared" si="2"/>
        <v>1692768</v>
      </c>
      <c r="E41" s="514">
        <f t="shared" si="3"/>
        <v>423991</v>
      </c>
    </row>
    <row r="42" spans="1:5" s="506" customFormat="1" ht="12.75">
      <c r="A42" s="512">
        <v>7</v>
      </c>
      <c r="B42" s="511" t="s">
        <v>168</v>
      </c>
      <c r="C42" s="514">
        <f t="shared" si="2"/>
        <v>41993478</v>
      </c>
      <c r="D42" s="514">
        <f t="shared" si="2"/>
        <v>44664021</v>
      </c>
      <c r="E42" s="514">
        <f t="shared" si="3"/>
        <v>2670543</v>
      </c>
    </row>
    <row r="43" spans="1:5" s="506" customFormat="1" ht="12.75">
      <c r="A43" s="512"/>
      <c r="B43" s="516" t="s">
        <v>169</v>
      </c>
      <c r="C43" s="517">
        <f>SUM(C37+C38+C41)</f>
        <v>651320380</v>
      </c>
      <c r="D43" s="517">
        <f>SUM(D37+D38+D41)</f>
        <v>703351122</v>
      </c>
      <c r="E43" s="517">
        <f t="shared" si="3"/>
        <v>52030742</v>
      </c>
    </row>
    <row r="44" spans="1:5" s="506" customFormat="1" ht="12.75">
      <c r="A44" s="512"/>
      <c r="B44" s="516" t="s">
        <v>107</v>
      </c>
      <c r="C44" s="517">
        <f>SUM(C36+C43)</f>
        <v>1040100488</v>
      </c>
      <c r="D44" s="517">
        <f>SUM(D36+D43)</f>
        <v>1105534503</v>
      </c>
      <c r="E44" s="517">
        <f t="shared" si="3"/>
        <v>65434015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711</v>
      </c>
      <c r="B46" s="509" t="s">
        <v>170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33</v>
      </c>
      <c r="C47" s="513">
        <v>79626394</v>
      </c>
      <c r="D47" s="513">
        <v>81155490</v>
      </c>
      <c r="E47" s="514">
        <f aca="true" t="shared" si="4" ref="E47:E55">D47-C47</f>
        <v>1529096</v>
      </c>
    </row>
    <row r="48" spans="1:5" s="506" customFormat="1" ht="12.75">
      <c r="A48" s="512">
        <v>2</v>
      </c>
      <c r="B48" s="511" t="s">
        <v>12</v>
      </c>
      <c r="C48" s="513">
        <v>115945117</v>
      </c>
      <c r="D48" s="515">
        <v>115290249</v>
      </c>
      <c r="E48" s="514">
        <f t="shared" si="4"/>
        <v>-654868</v>
      </c>
    </row>
    <row r="49" spans="1:5" s="506" customFormat="1" ht="12.75">
      <c r="A49" s="512">
        <v>3</v>
      </c>
      <c r="B49" s="511" t="s">
        <v>158</v>
      </c>
      <c r="C49" s="513">
        <v>35887980</v>
      </c>
      <c r="D49" s="515">
        <v>37120678</v>
      </c>
      <c r="E49" s="514">
        <f t="shared" si="4"/>
        <v>1232698</v>
      </c>
    </row>
    <row r="50" spans="1:5" s="506" customFormat="1" ht="12.75">
      <c r="A50" s="512">
        <v>4</v>
      </c>
      <c r="B50" s="511" t="s">
        <v>504</v>
      </c>
      <c r="C50" s="513">
        <v>33232383</v>
      </c>
      <c r="D50" s="515">
        <v>33865096</v>
      </c>
      <c r="E50" s="514">
        <f t="shared" si="4"/>
        <v>632713</v>
      </c>
    </row>
    <row r="51" spans="1:5" s="506" customFormat="1" ht="12.75">
      <c r="A51" s="512">
        <v>5</v>
      </c>
      <c r="B51" s="511" t="s">
        <v>125</v>
      </c>
      <c r="C51" s="513">
        <v>2655597</v>
      </c>
      <c r="D51" s="515">
        <v>3255582</v>
      </c>
      <c r="E51" s="514">
        <f t="shared" si="4"/>
        <v>599985</v>
      </c>
    </row>
    <row r="52" spans="1:5" s="506" customFormat="1" ht="12.75">
      <c r="A52" s="512">
        <v>6</v>
      </c>
      <c r="B52" s="511" t="s">
        <v>808</v>
      </c>
      <c r="C52" s="513">
        <v>162671</v>
      </c>
      <c r="D52" s="515">
        <v>347123</v>
      </c>
      <c r="E52" s="514">
        <f t="shared" si="4"/>
        <v>184452</v>
      </c>
    </row>
    <row r="53" spans="1:5" s="506" customFormat="1" ht="12.75">
      <c r="A53" s="512">
        <v>7</v>
      </c>
      <c r="B53" s="511" t="s">
        <v>140</v>
      </c>
      <c r="C53" s="513">
        <v>2733608</v>
      </c>
      <c r="D53" s="515">
        <v>1020113</v>
      </c>
      <c r="E53" s="514">
        <f t="shared" si="4"/>
        <v>-1713495</v>
      </c>
    </row>
    <row r="54" spans="1:5" s="506" customFormat="1" ht="12.75">
      <c r="A54" s="512"/>
      <c r="B54" s="516" t="s">
        <v>171</v>
      </c>
      <c r="C54" s="517">
        <f>SUM(C48+C49+C52)</f>
        <v>151995768</v>
      </c>
      <c r="D54" s="517">
        <f>SUM(D48+D49+D52)</f>
        <v>152758050</v>
      </c>
      <c r="E54" s="517">
        <f t="shared" si="4"/>
        <v>762282</v>
      </c>
    </row>
    <row r="55" spans="1:5" s="506" customFormat="1" ht="12.75">
      <c r="A55" s="512"/>
      <c r="B55" s="516" t="s">
        <v>100</v>
      </c>
      <c r="C55" s="517">
        <f>SUM(C47+C54)</f>
        <v>231622162</v>
      </c>
      <c r="D55" s="517">
        <f>SUM(D47+D54)</f>
        <v>233913540</v>
      </c>
      <c r="E55" s="517">
        <f t="shared" si="4"/>
        <v>2291378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732</v>
      </c>
      <c r="B57" s="509" t="s">
        <v>172</v>
      </c>
      <c r="C57" s="499"/>
      <c r="D57" s="515"/>
      <c r="E57" s="511"/>
    </row>
    <row r="58" spans="1:5" s="506" customFormat="1" ht="12.75">
      <c r="A58" s="512">
        <v>1</v>
      </c>
      <c r="B58" s="511" t="s">
        <v>33</v>
      </c>
      <c r="C58" s="513">
        <v>53687301</v>
      </c>
      <c r="D58" s="513">
        <v>59371699</v>
      </c>
      <c r="E58" s="514">
        <f aca="true" t="shared" si="5" ref="E58:E66">D58-C58</f>
        <v>5684398</v>
      </c>
    </row>
    <row r="59" spans="1:5" s="506" customFormat="1" ht="12.75">
      <c r="A59" s="512">
        <v>2</v>
      </c>
      <c r="B59" s="511" t="s">
        <v>12</v>
      </c>
      <c r="C59" s="513">
        <v>19334744</v>
      </c>
      <c r="D59" s="515">
        <v>21525380</v>
      </c>
      <c r="E59" s="514">
        <f t="shared" si="5"/>
        <v>2190636</v>
      </c>
    </row>
    <row r="60" spans="1:5" s="506" customFormat="1" ht="12.75">
      <c r="A60" s="512">
        <v>3</v>
      </c>
      <c r="B60" s="511" t="s">
        <v>158</v>
      </c>
      <c r="C60" s="513">
        <f>C61+C62</f>
        <v>20853448</v>
      </c>
      <c r="D60" s="515">
        <f>D61+D62</f>
        <v>24981150</v>
      </c>
      <c r="E60" s="514">
        <f t="shared" si="5"/>
        <v>4127702</v>
      </c>
    </row>
    <row r="61" spans="1:5" s="506" customFormat="1" ht="12.75">
      <c r="A61" s="512">
        <v>4</v>
      </c>
      <c r="B61" s="511" t="s">
        <v>504</v>
      </c>
      <c r="C61" s="513">
        <v>18293881</v>
      </c>
      <c r="D61" s="515">
        <v>21995843</v>
      </c>
      <c r="E61" s="514">
        <f t="shared" si="5"/>
        <v>3701962</v>
      </c>
    </row>
    <row r="62" spans="1:5" s="506" customFormat="1" ht="12.75">
      <c r="A62" s="512">
        <v>5</v>
      </c>
      <c r="B62" s="511" t="s">
        <v>125</v>
      </c>
      <c r="C62" s="513">
        <v>2559567</v>
      </c>
      <c r="D62" s="515">
        <v>2985307</v>
      </c>
      <c r="E62" s="514">
        <f t="shared" si="5"/>
        <v>425740</v>
      </c>
    </row>
    <row r="63" spans="1:5" s="506" customFormat="1" ht="12.75">
      <c r="A63" s="512">
        <v>6</v>
      </c>
      <c r="B63" s="511" t="s">
        <v>808</v>
      </c>
      <c r="C63" s="513">
        <v>149967</v>
      </c>
      <c r="D63" s="515">
        <v>131600</v>
      </c>
      <c r="E63" s="514">
        <f t="shared" si="5"/>
        <v>-18367</v>
      </c>
    </row>
    <row r="64" spans="1:5" s="506" customFormat="1" ht="12.75">
      <c r="A64" s="512">
        <v>7</v>
      </c>
      <c r="B64" s="511" t="s">
        <v>140</v>
      </c>
      <c r="C64" s="513">
        <v>1268636</v>
      </c>
      <c r="D64" s="515">
        <v>1755156</v>
      </c>
      <c r="E64" s="514">
        <f t="shared" si="5"/>
        <v>486520</v>
      </c>
    </row>
    <row r="65" spans="1:5" s="506" customFormat="1" ht="12.75">
      <c r="A65" s="512"/>
      <c r="B65" s="516" t="s">
        <v>173</v>
      </c>
      <c r="C65" s="517">
        <f>SUM(C59+C60+C63)</f>
        <v>40338159</v>
      </c>
      <c r="D65" s="517">
        <f>SUM(D59+D60+D63)</f>
        <v>46638130</v>
      </c>
      <c r="E65" s="517">
        <f t="shared" si="5"/>
        <v>6299971</v>
      </c>
    </row>
    <row r="66" spans="1:5" s="506" customFormat="1" ht="12.75">
      <c r="A66" s="512"/>
      <c r="B66" s="516" t="s">
        <v>106</v>
      </c>
      <c r="C66" s="517">
        <f>SUM(C58+C65)</f>
        <v>94025460</v>
      </c>
      <c r="D66" s="517">
        <f>SUM(D58+D65)</f>
        <v>106009829</v>
      </c>
      <c r="E66" s="517">
        <f t="shared" si="5"/>
        <v>11984369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744</v>
      </c>
      <c r="B68" s="521" t="s">
        <v>31</v>
      </c>
      <c r="C68" s="511"/>
      <c r="D68" s="511"/>
      <c r="E68" s="511"/>
    </row>
    <row r="69" spans="1:5" s="506" customFormat="1" ht="12.75">
      <c r="A69" s="512">
        <v>1</v>
      </c>
      <c r="B69" s="511" t="s">
        <v>162</v>
      </c>
      <c r="C69" s="514">
        <f aca="true" t="shared" si="6" ref="C69:D75">C47+C58</f>
        <v>133313695</v>
      </c>
      <c r="D69" s="514">
        <f t="shared" si="6"/>
        <v>140527189</v>
      </c>
      <c r="E69" s="514">
        <f aca="true" t="shared" si="7" ref="E69:E77">D69-C69</f>
        <v>7213494</v>
      </c>
    </row>
    <row r="70" spans="1:5" s="506" customFormat="1" ht="12.75">
      <c r="A70" s="512">
        <v>2</v>
      </c>
      <c r="B70" s="511" t="s">
        <v>163</v>
      </c>
      <c r="C70" s="514">
        <f t="shared" si="6"/>
        <v>135279861</v>
      </c>
      <c r="D70" s="514">
        <f t="shared" si="6"/>
        <v>136815629</v>
      </c>
      <c r="E70" s="514">
        <f t="shared" si="7"/>
        <v>1535768</v>
      </c>
    </row>
    <row r="71" spans="1:5" s="506" customFormat="1" ht="12.75">
      <c r="A71" s="512">
        <v>3</v>
      </c>
      <c r="B71" s="511" t="s">
        <v>164</v>
      </c>
      <c r="C71" s="514">
        <f t="shared" si="6"/>
        <v>56741428</v>
      </c>
      <c r="D71" s="514">
        <f t="shared" si="6"/>
        <v>62101828</v>
      </c>
      <c r="E71" s="514">
        <f t="shared" si="7"/>
        <v>5360400</v>
      </c>
    </row>
    <row r="72" spans="1:5" s="506" customFormat="1" ht="12.75">
      <c r="A72" s="512">
        <v>4</v>
      </c>
      <c r="B72" s="511" t="s">
        <v>165</v>
      </c>
      <c r="C72" s="514">
        <f t="shared" si="6"/>
        <v>51526264</v>
      </c>
      <c r="D72" s="514">
        <f t="shared" si="6"/>
        <v>55860939</v>
      </c>
      <c r="E72" s="514">
        <f t="shared" si="7"/>
        <v>4334675</v>
      </c>
    </row>
    <row r="73" spans="1:5" s="506" customFormat="1" ht="12.75">
      <c r="A73" s="512">
        <v>5</v>
      </c>
      <c r="B73" s="511" t="s">
        <v>166</v>
      </c>
      <c r="C73" s="514">
        <f t="shared" si="6"/>
        <v>5215164</v>
      </c>
      <c r="D73" s="514">
        <f t="shared" si="6"/>
        <v>6240889</v>
      </c>
      <c r="E73" s="514">
        <f t="shared" si="7"/>
        <v>1025725</v>
      </c>
    </row>
    <row r="74" spans="1:5" s="506" customFormat="1" ht="12.75">
      <c r="A74" s="512">
        <v>6</v>
      </c>
      <c r="B74" s="511" t="s">
        <v>167</v>
      </c>
      <c r="C74" s="514">
        <f t="shared" si="6"/>
        <v>312638</v>
      </c>
      <c r="D74" s="514">
        <f t="shared" si="6"/>
        <v>478723</v>
      </c>
      <c r="E74" s="514">
        <f t="shared" si="7"/>
        <v>166085</v>
      </c>
    </row>
    <row r="75" spans="1:5" s="506" customFormat="1" ht="12.75">
      <c r="A75" s="512">
        <v>7</v>
      </c>
      <c r="B75" s="511" t="s">
        <v>168</v>
      </c>
      <c r="C75" s="514">
        <f t="shared" si="6"/>
        <v>4002244</v>
      </c>
      <c r="D75" s="514">
        <f t="shared" si="6"/>
        <v>2775269</v>
      </c>
      <c r="E75" s="514">
        <f t="shared" si="7"/>
        <v>-1226975</v>
      </c>
    </row>
    <row r="76" spans="1:5" s="506" customFormat="1" ht="12.75">
      <c r="A76" s="512"/>
      <c r="B76" s="516" t="s">
        <v>174</v>
      </c>
      <c r="C76" s="517">
        <f>SUM(C70+C71+C74)</f>
        <v>192333927</v>
      </c>
      <c r="D76" s="517">
        <f>SUM(D70+D71+D74)</f>
        <v>199396180</v>
      </c>
      <c r="E76" s="517">
        <f t="shared" si="7"/>
        <v>7062253</v>
      </c>
    </row>
    <row r="77" spans="1:5" s="506" customFormat="1" ht="12.75">
      <c r="A77" s="512"/>
      <c r="B77" s="516" t="s">
        <v>108</v>
      </c>
      <c r="C77" s="517">
        <f>SUM(C69+C76)</f>
        <v>325647622</v>
      </c>
      <c r="D77" s="517">
        <f>SUM(D69+D76)</f>
        <v>339923369</v>
      </c>
      <c r="E77" s="517">
        <f t="shared" si="7"/>
        <v>14275747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434</v>
      </c>
      <c r="B79" s="501" t="s">
        <v>175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404</v>
      </c>
      <c r="B81" s="522" t="s">
        <v>176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33</v>
      </c>
      <c r="C83" s="523">
        <f aca="true" t="shared" si="8" ref="C83:D89">IF(C$44=0,0,C14/C$44)</f>
        <v>0.20633704577206197</v>
      </c>
      <c r="D83" s="523">
        <f t="shared" si="8"/>
        <v>0.18582248445664296</v>
      </c>
      <c r="E83" s="523">
        <f aca="true" t="shared" si="9" ref="E83:E91">D83-C83</f>
        <v>-0.02051456131541901</v>
      </c>
    </row>
    <row r="84" spans="1:5" s="506" customFormat="1" ht="12.75">
      <c r="A84" s="512">
        <v>2</v>
      </c>
      <c r="B84" s="511" t="s">
        <v>12</v>
      </c>
      <c r="C84" s="523">
        <f t="shared" si="8"/>
        <v>0.3068677264191419</v>
      </c>
      <c r="D84" s="523">
        <f t="shared" si="8"/>
        <v>0.2938151528681869</v>
      </c>
      <c r="E84" s="523">
        <f t="shared" si="9"/>
        <v>-0.013052573550955016</v>
      </c>
    </row>
    <row r="85" spans="1:5" s="506" customFormat="1" ht="12.75">
      <c r="A85" s="512">
        <v>3</v>
      </c>
      <c r="B85" s="511" t="s">
        <v>158</v>
      </c>
      <c r="C85" s="523">
        <f t="shared" si="8"/>
        <v>0.13426491152651013</v>
      </c>
      <c r="D85" s="523">
        <f t="shared" si="8"/>
        <v>0.1398825405994588</v>
      </c>
      <c r="E85" s="523">
        <f t="shared" si="9"/>
        <v>0.00561762907294866</v>
      </c>
    </row>
    <row r="86" spans="1:5" s="506" customFormat="1" ht="12.75">
      <c r="A86" s="512">
        <v>4</v>
      </c>
      <c r="B86" s="511" t="s">
        <v>504</v>
      </c>
      <c r="C86" s="523">
        <f t="shared" si="8"/>
        <v>0.11461541685191479</v>
      </c>
      <c r="D86" s="523">
        <f t="shared" si="8"/>
        <v>0.11673524494241859</v>
      </c>
      <c r="E86" s="523">
        <f t="shared" si="9"/>
        <v>0.002119828090503803</v>
      </c>
    </row>
    <row r="87" spans="1:5" s="506" customFormat="1" ht="12.75">
      <c r="A87" s="512">
        <v>5</v>
      </c>
      <c r="B87" s="511" t="s">
        <v>125</v>
      </c>
      <c r="C87" s="523">
        <f t="shared" si="8"/>
        <v>0.019649494674595328</v>
      </c>
      <c r="D87" s="523">
        <f t="shared" si="8"/>
        <v>0.023147295657040205</v>
      </c>
      <c r="E87" s="523">
        <f t="shared" si="9"/>
        <v>0.0034978009824448777</v>
      </c>
    </row>
    <row r="88" spans="1:5" s="506" customFormat="1" ht="12.75">
      <c r="A88" s="512">
        <v>6</v>
      </c>
      <c r="B88" s="511" t="s">
        <v>808</v>
      </c>
      <c r="C88" s="523">
        <f t="shared" si="8"/>
        <v>0.0007517264043433464</v>
      </c>
      <c r="D88" s="523">
        <f t="shared" si="8"/>
        <v>0.001082699813304696</v>
      </c>
      <c r="E88" s="523">
        <f t="shared" si="9"/>
        <v>0.0003309734089613496</v>
      </c>
    </row>
    <row r="89" spans="1:5" s="506" customFormat="1" ht="12.75">
      <c r="A89" s="512">
        <v>7</v>
      </c>
      <c r="B89" s="511" t="s">
        <v>140</v>
      </c>
      <c r="C89" s="523">
        <f t="shared" si="8"/>
        <v>0.013844205599488192</v>
      </c>
      <c r="D89" s="523">
        <f t="shared" si="8"/>
        <v>0.012491525106204668</v>
      </c>
      <c r="E89" s="523">
        <f t="shared" si="9"/>
        <v>-0.0013526804932835236</v>
      </c>
    </row>
    <row r="90" spans="1:5" s="506" customFormat="1" ht="12.75">
      <c r="A90" s="512"/>
      <c r="B90" s="516" t="s">
        <v>177</v>
      </c>
      <c r="C90" s="524">
        <f>SUM(C84+C85+C88)</f>
        <v>0.4418843643499954</v>
      </c>
      <c r="D90" s="524">
        <f>SUM(D84+D85+D88)</f>
        <v>0.43478039328095036</v>
      </c>
      <c r="E90" s="525">
        <f t="shared" si="9"/>
        <v>-0.007103971069045034</v>
      </c>
    </row>
    <row r="91" spans="1:5" s="506" customFormat="1" ht="12.75">
      <c r="A91" s="512"/>
      <c r="B91" s="516" t="s">
        <v>178</v>
      </c>
      <c r="C91" s="524">
        <f>SUM(C83+C90)</f>
        <v>0.6482214101220574</v>
      </c>
      <c r="D91" s="524">
        <f>SUM(D83+D90)</f>
        <v>0.6206028777375934</v>
      </c>
      <c r="E91" s="525">
        <f t="shared" si="9"/>
        <v>-0.02761853238446399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416</v>
      </c>
      <c r="B93" s="522" t="s">
        <v>179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33</v>
      </c>
      <c r="C95" s="523">
        <f aca="true" t="shared" si="10" ref="C95:D101">IF(C$44=0,0,C25/C$44)</f>
        <v>0.16745386432315568</v>
      </c>
      <c r="D95" s="523">
        <f t="shared" si="10"/>
        <v>0.17796840574952186</v>
      </c>
      <c r="E95" s="523">
        <f aca="true" t="shared" si="11" ref="E95:E103">D95-C95</f>
        <v>0.01051454142636618</v>
      </c>
    </row>
    <row r="96" spans="1:5" s="506" customFormat="1" ht="12.75">
      <c r="A96" s="512">
        <v>2</v>
      </c>
      <c r="B96" s="511" t="s">
        <v>12</v>
      </c>
      <c r="C96" s="523">
        <f t="shared" si="10"/>
        <v>0.08703153113028825</v>
      </c>
      <c r="D96" s="523">
        <f t="shared" si="10"/>
        <v>0.08921367965663574</v>
      </c>
      <c r="E96" s="523">
        <f t="shared" si="11"/>
        <v>0.0021821485263474882</v>
      </c>
    </row>
    <row r="97" spans="1:5" s="506" customFormat="1" ht="12.75">
      <c r="A97" s="512">
        <v>3</v>
      </c>
      <c r="B97" s="511" t="s">
        <v>158</v>
      </c>
      <c r="C97" s="523">
        <f t="shared" si="10"/>
        <v>0.09682506081085504</v>
      </c>
      <c r="D97" s="523">
        <f t="shared" si="10"/>
        <v>0.11176656057744043</v>
      </c>
      <c r="E97" s="523">
        <f t="shared" si="11"/>
        <v>0.01494149976658539</v>
      </c>
    </row>
    <row r="98" spans="1:5" s="506" customFormat="1" ht="12.75">
      <c r="A98" s="512">
        <v>4</v>
      </c>
      <c r="B98" s="511" t="s">
        <v>504</v>
      </c>
      <c r="C98" s="523">
        <f t="shared" si="10"/>
        <v>0.07863873149149027</v>
      </c>
      <c r="D98" s="523">
        <f t="shared" si="10"/>
        <v>0.09026727318704046</v>
      </c>
      <c r="E98" s="523">
        <f t="shared" si="11"/>
        <v>0.011628541695550193</v>
      </c>
    </row>
    <row r="99" spans="1:5" s="506" customFormat="1" ht="12.75">
      <c r="A99" s="512">
        <v>5</v>
      </c>
      <c r="B99" s="511" t="s">
        <v>125</v>
      </c>
      <c r="C99" s="523">
        <f t="shared" si="10"/>
        <v>0.018186329319364765</v>
      </c>
      <c r="D99" s="523">
        <f t="shared" si="10"/>
        <v>0.02149928739039997</v>
      </c>
      <c r="E99" s="523">
        <f t="shared" si="11"/>
        <v>0.0033129580710352068</v>
      </c>
    </row>
    <row r="100" spans="1:5" s="506" customFormat="1" ht="12.75">
      <c r="A100" s="512">
        <v>6</v>
      </c>
      <c r="B100" s="511" t="s">
        <v>808</v>
      </c>
      <c r="C100" s="523">
        <f t="shared" si="10"/>
        <v>0.0004681336136436848</v>
      </c>
      <c r="D100" s="523">
        <f t="shared" si="10"/>
        <v>0.0004484762788086407</v>
      </c>
      <c r="E100" s="523">
        <f t="shared" si="11"/>
        <v>-1.9657334835044096E-05</v>
      </c>
    </row>
    <row r="101" spans="1:5" s="506" customFormat="1" ht="12.75">
      <c r="A101" s="512">
        <v>7</v>
      </c>
      <c r="B101" s="511" t="s">
        <v>140</v>
      </c>
      <c r="C101" s="523">
        <f t="shared" si="10"/>
        <v>0.02653023752835697</v>
      </c>
      <c r="D101" s="523">
        <f t="shared" si="10"/>
        <v>0.027908861203583803</v>
      </c>
      <c r="E101" s="523">
        <f t="shared" si="11"/>
        <v>0.0013786236752268317</v>
      </c>
    </row>
    <row r="102" spans="1:5" s="506" customFormat="1" ht="12.75">
      <c r="A102" s="512"/>
      <c r="B102" s="516" t="s">
        <v>180</v>
      </c>
      <c r="C102" s="524">
        <f>SUM(C96+C97+C100)</f>
        <v>0.18432472555478696</v>
      </c>
      <c r="D102" s="524">
        <f>SUM(D96+D97+D100)</f>
        <v>0.20142871651288483</v>
      </c>
      <c r="E102" s="525">
        <f t="shared" si="11"/>
        <v>0.017103990958097864</v>
      </c>
    </row>
    <row r="103" spans="1:5" s="506" customFormat="1" ht="12.75">
      <c r="A103" s="512"/>
      <c r="B103" s="516" t="s">
        <v>181</v>
      </c>
      <c r="C103" s="524">
        <f>SUM(C95+C102)</f>
        <v>0.35177858987794264</v>
      </c>
      <c r="D103" s="524">
        <f>SUM(D95+D102)</f>
        <v>0.3793971222624067</v>
      </c>
      <c r="E103" s="525">
        <f t="shared" si="11"/>
        <v>0.027618532384464045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182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426</v>
      </c>
      <c r="B107" s="522" t="s">
        <v>183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33</v>
      </c>
      <c r="C109" s="523">
        <f aca="true" t="shared" si="12" ref="C109:D115">IF(C$77=0,0,C47/C$77)</f>
        <v>0.24451704425466372</v>
      </c>
      <c r="D109" s="523">
        <f t="shared" si="12"/>
        <v>0.23874642758085868</v>
      </c>
      <c r="E109" s="523">
        <f aca="true" t="shared" si="13" ref="E109:E117">D109-C109</f>
        <v>-0.005770616673805046</v>
      </c>
    </row>
    <row r="110" spans="1:5" s="506" customFormat="1" ht="12.75">
      <c r="A110" s="512">
        <v>2</v>
      </c>
      <c r="B110" s="511" t="s">
        <v>12</v>
      </c>
      <c r="C110" s="523">
        <f t="shared" si="12"/>
        <v>0.356044721861964</v>
      </c>
      <c r="D110" s="523">
        <f t="shared" si="12"/>
        <v>0.3391654105428686</v>
      </c>
      <c r="E110" s="523">
        <f t="shared" si="13"/>
        <v>-0.016879311319095425</v>
      </c>
    </row>
    <row r="111" spans="1:5" s="506" customFormat="1" ht="12.75">
      <c r="A111" s="512">
        <v>3</v>
      </c>
      <c r="B111" s="511" t="s">
        <v>158</v>
      </c>
      <c r="C111" s="523">
        <f t="shared" si="12"/>
        <v>0.11020495030668456</v>
      </c>
      <c r="D111" s="523">
        <f t="shared" si="12"/>
        <v>0.1092030774736173</v>
      </c>
      <c r="E111" s="523">
        <f t="shared" si="13"/>
        <v>-0.0010018728330672688</v>
      </c>
    </row>
    <row r="112" spans="1:5" s="506" customFormat="1" ht="12.75">
      <c r="A112" s="512">
        <v>4</v>
      </c>
      <c r="B112" s="511" t="s">
        <v>504</v>
      </c>
      <c r="C112" s="523">
        <f t="shared" si="12"/>
        <v>0.10205013258165294</v>
      </c>
      <c r="D112" s="523">
        <f t="shared" si="12"/>
        <v>0.09962567769208007</v>
      </c>
      <c r="E112" s="523">
        <f t="shared" si="13"/>
        <v>-0.0024244548895728663</v>
      </c>
    </row>
    <row r="113" spans="1:5" s="506" customFormat="1" ht="12.75">
      <c r="A113" s="512">
        <v>5</v>
      </c>
      <c r="B113" s="511" t="s">
        <v>125</v>
      </c>
      <c r="C113" s="523">
        <f t="shared" si="12"/>
        <v>0.00815481772503163</v>
      </c>
      <c r="D113" s="523">
        <f t="shared" si="12"/>
        <v>0.009577399781537233</v>
      </c>
      <c r="E113" s="523">
        <f t="shared" si="13"/>
        <v>0.0014225820565056026</v>
      </c>
    </row>
    <row r="114" spans="1:5" s="506" customFormat="1" ht="12.75">
      <c r="A114" s="512">
        <v>6</v>
      </c>
      <c r="B114" s="511" t="s">
        <v>808</v>
      </c>
      <c r="C114" s="523">
        <f t="shared" si="12"/>
        <v>0.0004995307473794481</v>
      </c>
      <c r="D114" s="523">
        <f t="shared" si="12"/>
        <v>0.0010211801589904812</v>
      </c>
      <c r="E114" s="523">
        <f t="shared" si="13"/>
        <v>0.000521649411611033</v>
      </c>
    </row>
    <row r="115" spans="1:5" s="506" customFormat="1" ht="12.75">
      <c r="A115" s="512">
        <v>7</v>
      </c>
      <c r="B115" s="511" t="s">
        <v>140</v>
      </c>
      <c r="C115" s="523">
        <f t="shared" si="12"/>
        <v>0.00839437421102986</v>
      </c>
      <c r="D115" s="523">
        <f t="shared" si="12"/>
        <v>0.0030010087361778295</v>
      </c>
      <c r="E115" s="523">
        <f t="shared" si="13"/>
        <v>-0.00539336547485203</v>
      </c>
    </row>
    <row r="116" spans="1:5" s="506" customFormat="1" ht="12.75">
      <c r="A116" s="512"/>
      <c r="B116" s="516" t="s">
        <v>177</v>
      </c>
      <c r="C116" s="524">
        <f>SUM(C110+C111+C114)</f>
        <v>0.466749202916028</v>
      </c>
      <c r="D116" s="524">
        <f>SUM(D110+D111+D114)</f>
        <v>0.4493896681754764</v>
      </c>
      <c r="E116" s="525">
        <f t="shared" si="13"/>
        <v>-0.01735953474055163</v>
      </c>
    </row>
    <row r="117" spans="1:5" s="506" customFormat="1" ht="12.75">
      <c r="A117" s="512"/>
      <c r="B117" s="516" t="s">
        <v>178</v>
      </c>
      <c r="C117" s="524">
        <f>SUM(C109+C116)</f>
        <v>0.7112662471706918</v>
      </c>
      <c r="D117" s="524">
        <f>SUM(D109+D116)</f>
        <v>0.688136095756335</v>
      </c>
      <c r="E117" s="525">
        <f t="shared" si="13"/>
        <v>-0.023130151414356703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711</v>
      </c>
      <c r="B119" s="522" t="s">
        <v>184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33</v>
      </c>
      <c r="C121" s="523">
        <f aca="true" t="shared" si="14" ref="C121:D127">IF(C$77=0,0,C58/C$77)</f>
        <v>0.16486317532513717</v>
      </c>
      <c r="D121" s="523">
        <f t="shared" si="14"/>
        <v>0.17466201036622464</v>
      </c>
      <c r="E121" s="523">
        <f aca="true" t="shared" si="15" ref="E121:E129">D121-C121</f>
        <v>0.009798835041087472</v>
      </c>
    </row>
    <row r="122" spans="1:5" s="506" customFormat="1" ht="12.75">
      <c r="A122" s="512">
        <v>2</v>
      </c>
      <c r="B122" s="511" t="s">
        <v>12</v>
      </c>
      <c r="C122" s="523">
        <f t="shared" si="14"/>
        <v>0.059373208013169525</v>
      </c>
      <c r="D122" s="523">
        <f t="shared" si="14"/>
        <v>0.06332421352296023</v>
      </c>
      <c r="E122" s="523">
        <f t="shared" si="15"/>
        <v>0.00395100550979071</v>
      </c>
    </row>
    <row r="123" spans="1:5" s="506" customFormat="1" ht="12.75">
      <c r="A123" s="512">
        <v>3</v>
      </c>
      <c r="B123" s="511" t="s">
        <v>158</v>
      </c>
      <c r="C123" s="523">
        <f t="shared" si="14"/>
        <v>0.06403685023684896</v>
      </c>
      <c r="D123" s="523">
        <f t="shared" si="14"/>
        <v>0.07349053427391748</v>
      </c>
      <c r="E123" s="523">
        <f t="shared" si="15"/>
        <v>0.009453684037068519</v>
      </c>
    </row>
    <row r="124" spans="1:5" s="506" customFormat="1" ht="12.75">
      <c r="A124" s="512">
        <v>4</v>
      </c>
      <c r="B124" s="511" t="s">
        <v>504</v>
      </c>
      <c r="C124" s="523">
        <f t="shared" si="14"/>
        <v>0.05617692181397228</v>
      </c>
      <c r="D124" s="523">
        <f t="shared" si="14"/>
        <v>0.06470824016809507</v>
      </c>
      <c r="E124" s="523">
        <f t="shared" si="15"/>
        <v>0.008531318354122783</v>
      </c>
    </row>
    <row r="125" spans="1:5" s="506" customFormat="1" ht="12.75">
      <c r="A125" s="512">
        <v>5</v>
      </c>
      <c r="B125" s="511" t="s">
        <v>125</v>
      </c>
      <c r="C125" s="523">
        <f t="shared" si="14"/>
        <v>0.007859928422876677</v>
      </c>
      <c r="D125" s="523">
        <f t="shared" si="14"/>
        <v>0.008782294105822422</v>
      </c>
      <c r="E125" s="523">
        <f t="shared" si="15"/>
        <v>0.0009223656829457447</v>
      </c>
    </row>
    <row r="126" spans="1:5" s="506" customFormat="1" ht="12.75">
      <c r="A126" s="512">
        <v>6</v>
      </c>
      <c r="B126" s="511" t="s">
        <v>808</v>
      </c>
      <c r="C126" s="523">
        <f t="shared" si="14"/>
        <v>0.000460519254152576</v>
      </c>
      <c r="D126" s="523">
        <f t="shared" si="14"/>
        <v>0.00038714608056264585</v>
      </c>
      <c r="E126" s="523">
        <f t="shared" si="15"/>
        <v>-7.337317358993014E-05</v>
      </c>
    </row>
    <row r="127" spans="1:5" s="506" customFormat="1" ht="12.75">
      <c r="A127" s="512">
        <v>7</v>
      </c>
      <c r="B127" s="511" t="s">
        <v>140</v>
      </c>
      <c r="C127" s="523">
        <f t="shared" si="14"/>
        <v>0.0038957324245407817</v>
      </c>
      <c r="D127" s="523">
        <f t="shared" si="14"/>
        <v>0.00516338728097273</v>
      </c>
      <c r="E127" s="523">
        <f t="shared" si="15"/>
        <v>0.001267654856431948</v>
      </c>
    </row>
    <row r="128" spans="1:5" s="506" customFormat="1" ht="12.75">
      <c r="A128" s="512"/>
      <c r="B128" s="516" t="s">
        <v>180</v>
      </c>
      <c r="C128" s="524">
        <f>SUM(C122+C123+C126)</f>
        <v>0.12387057750417108</v>
      </c>
      <c r="D128" s="524">
        <f>SUM(D122+D123+D126)</f>
        <v>0.13720189387744036</v>
      </c>
      <c r="E128" s="525">
        <f t="shared" si="15"/>
        <v>0.013331316373269286</v>
      </c>
    </row>
    <row r="129" spans="1:5" s="506" customFormat="1" ht="12.75">
      <c r="A129" s="512"/>
      <c r="B129" s="516" t="s">
        <v>181</v>
      </c>
      <c r="C129" s="524">
        <f>SUM(C121+C128)</f>
        <v>0.28873375282930824</v>
      </c>
      <c r="D129" s="524">
        <f>SUM(D121+D128)</f>
        <v>0.311863904243665</v>
      </c>
      <c r="E129" s="525">
        <f t="shared" si="15"/>
        <v>0.02313015141435676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185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525</v>
      </c>
      <c r="B133" s="501" t="s">
        <v>186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404</v>
      </c>
      <c r="B135" s="509" t="s">
        <v>187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33</v>
      </c>
      <c r="C137" s="530">
        <v>7478</v>
      </c>
      <c r="D137" s="530">
        <v>7016</v>
      </c>
      <c r="E137" s="531">
        <f aca="true" t="shared" si="16" ref="E137:E145">D137-C137</f>
        <v>-462</v>
      </c>
    </row>
    <row r="138" spans="1:5" s="506" customFormat="1" ht="12.75">
      <c r="A138" s="512">
        <v>2</v>
      </c>
      <c r="B138" s="511" t="s">
        <v>12</v>
      </c>
      <c r="C138" s="530">
        <v>7096</v>
      </c>
      <c r="D138" s="530">
        <v>7107</v>
      </c>
      <c r="E138" s="531">
        <f t="shared" si="16"/>
        <v>11</v>
      </c>
    </row>
    <row r="139" spans="1:5" s="506" customFormat="1" ht="12.75">
      <c r="A139" s="512">
        <v>3</v>
      </c>
      <c r="B139" s="511" t="s">
        <v>158</v>
      </c>
      <c r="C139" s="530">
        <f>C140+C141</f>
        <v>5415</v>
      </c>
      <c r="D139" s="530">
        <f>D140+D141</f>
        <v>5662</v>
      </c>
      <c r="E139" s="531">
        <f t="shared" si="16"/>
        <v>247</v>
      </c>
    </row>
    <row r="140" spans="1:5" s="506" customFormat="1" ht="12.75">
      <c r="A140" s="512">
        <v>4</v>
      </c>
      <c r="B140" s="511" t="s">
        <v>504</v>
      </c>
      <c r="C140" s="530">
        <v>4759</v>
      </c>
      <c r="D140" s="530">
        <v>4962</v>
      </c>
      <c r="E140" s="531">
        <f t="shared" si="16"/>
        <v>203</v>
      </c>
    </row>
    <row r="141" spans="1:5" s="506" customFormat="1" ht="12.75">
      <c r="A141" s="512">
        <v>5</v>
      </c>
      <c r="B141" s="511" t="s">
        <v>125</v>
      </c>
      <c r="C141" s="530">
        <v>656</v>
      </c>
      <c r="D141" s="530">
        <v>700</v>
      </c>
      <c r="E141" s="531">
        <f t="shared" si="16"/>
        <v>44</v>
      </c>
    </row>
    <row r="142" spans="1:5" s="506" customFormat="1" ht="12.75">
      <c r="A142" s="512">
        <v>6</v>
      </c>
      <c r="B142" s="511" t="s">
        <v>808</v>
      </c>
      <c r="C142" s="530">
        <v>33</v>
      </c>
      <c r="D142" s="530">
        <v>23</v>
      </c>
      <c r="E142" s="531">
        <f t="shared" si="16"/>
        <v>-10</v>
      </c>
    </row>
    <row r="143" spans="1:5" s="506" customFormat="1" ht="12.75">
      <c r="A143" s="512">
        <v>7</v>
      </c>
      <c r="B143" s="511" t="s">
        <v>140</v>
      </c>
      <c r="C143" s="530">
        <v>375</v>
      </c>
      <c r="D143" s="530">
        <v>398</v>
      </c>
      <c r="E143" s="531">
        <f t="shared" si="16"/>
        <v>23</v>
      </c>
    </row>
    <row r="144" spans="1:5" s="506" customFormat="1" ht="12.75">
      <c r="A144" s="512"/>
      <c r="B144" s="516" t="s">
        <v>188</v>
      </c>
      <c r="C144" s="532">
        <f>SUM(C138+C139+C142)</f>
        <v>12544</v>
      </c>
      <c r="D144" s="532">
        <f>SUM(D138+D139+D142)</f>
        <v>12792</v>
      </c>
      <c r="E144" s="533">
        <f t="shared" si="16"/>
        <v>248</v>
      </c>
    </row>
    <row r="145" spans="1:5" s="506" customFormat="1" ht="12.75">
      <c r="A145" s="512"/>
      <c r="B145" s="516" t="s">
        <v>102</v>
      </c>
      <c r="C145" s="532">
        <f>SUM(C137+C144)</f>
        <v>20022</v>
      </c>
      <c r="D145" s="532">
        <f>SUM(D137+D144)</f>
        <v>19808</v>
      </c>
      <c r="E145" s="533">
        <f t="shared" si="16"/>
        <v>-214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416</v>
      </c>
      <c r="B147" s="509" t="s">
        <v>529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33</v>
      </c>
      <c r="C149" s="534">
        <v>29819</v>
      </c>
      <c r="D149" s="534">
        <v>27131</v>
      </c>
      <c r="E149" s="531">
        <f aca="true" t="shared" si="17" ref="E149:E157">D149-C149</f>
        <v>-2688</v>
      </c>
    </row>
    <row r="150" spans="1:5" s="506" customFormat="1" ht="12.75">
      <c r="A150" s="512">
        <v>2</v>
      </c>
      <c r="B150" s="511" t="s">
        <v>12</v>
      </c>
      <c r="C150" s="534">
        <v>50126</v>
      </c>
      <c r="D150" s="534">
        <v>49724</v>
      </c>
      <c r="E150" s="531">
        <f t="shared" si="17"/>
        <v>-402</v>
      </c>
    </row>
    <row r="151" spans="1:5" s="506" customFormat="1" ht="12.75">
      <c r="A151" s="512">
        <v>3</v>
      </c>
      <c r="B151" s="511" t="s">
        <v>158</v>
      </c>
      <c r="C151" s="534">
        <f>C152+C153</f>
        <v>26780</v>
      </c>
      <c r="D151" s="534">
        <f>D152+D153</f>
        <v>26585</v>
      </c>
      <c r="E151" s="531">
        <f t="shared" si="17"/>
        <v>-195</v>
      </c>
    </row>
    <row r="152" spans="1:5" s="506" customFormat="1" ht="12.75">
      <c r="A152" s="512">
        <v>4</v>
      </c>
      <c r="B152" s="511" t="s">
        <v>504</v>
      </c>
      <c r="C152" s="534">
        <v>23151</v>
      </c>
      <c r="D152" s="534">
        <v>22491</v>
      </c>
      <c r="E152" s="531">
        <f t="shared" si="17"/>
        <v>-660</v>
      </c>
    </row>
    <row r="153" spans="1:5" s="506" customFormat="1" ht="12.75">
      <c r="A153" s="512">
        <v>5</v>
      </c>
      <c r="B153" s="511" t="s">
        <v>125</v>
      </c>
      <c r="C153" s="535">
        <v>3629</v>
      </c>
      <c r="D153" s="534">
        <v>4094</v>
      </c>
      <c r="E153" s="531">
        <f t="shared" si="17"/>
        <v>465</v>
      </c>
    </row>
    <row r="154" spans="1:5" s="506" customFormat="1" ht="12.75">
      <c r="A154" s="512">
        <v>6</v>
      </c>
      <c r="B154" s="511" t="s">
        <v>808</v>
      </c>
      <c r="C154" s="534">
        <v>120</v>
      </c>
      <c r="D154" s="534">
        <v>161</v>
      </c>
      <c r="E154" s="531">
        <f t="shared" si="17"/>
        <v>41</v>
      </c>
    </row>
    <row r="155" spans="1:5" s="506" customFormat="1" ht="12.75">
      <c r="A155" s="512">
        <v>7</v>
      </c>
      <c r="B155" s="511" t="s">
        <v>140</v>
      </c>
      <c r="C155" s="534">
        <v>1939</v>
      </c>
      <c r="D155" s="534">
        <v>1724</v>
      </c>
      <c r="E155" s="531">
        <f t="shared" si="17"/>
        <v>-215</v>
      </c>
    </row>
    <row r="156" spans="1:5" s="506" customFormat="1" ht="12.75">
      <c r="A156" s="512"/>
      <c r="B156" s="516" t="s">
        <v>189</v>
      </c>
      <c r="C156" s="532">
        <f>SUM(C150+C151+C154)</f>
        <v>77026</v>
      </c>
      <c r="D156" s="532">
        <f>SUM(D150+D151+D154)</f>
        <v>76470</v>
      </c>
      <c r="E156" s="533">
        <f t="shared" si="17"/>
        <v>-556</v>
      </c>
    </row>
    <row r="157" spans="1:5" s="506" customFormat="1" ht="12.75">
      <c r="A157" s="512"/>
      <c r="B157" s="516" t="s">
        <v>190</v>
      </c>
      <c r="C157" s="532">
        <f>SUM(C149+C156)</f>
        <v>106845</v>
      </c>
      <c r="D157" s="532">
        <f>SUM(D149+D156)</f>
        <v>103601</v>
      </c>
      <c r="E157" s="533">
        <f t="shared" si="17"/>
        <v>-3244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426</v>
      </c>
      <c r="B159" s="509" t="s">
        <v>191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33</v>
      </c>
      <c r="C161" s="536">
        <f aca="true" t="shared" si="18" ref="C161:D169">IF(C137=0,0,C149/C137)</f>
        <v>3.9875635196576624</v>
      </c>
      <c r="D161" s="536">
        <f t="shared" si="18"/>
        <v>3.867018244013683</v>
      </c>
      <c r="E161" s="537">
        <f aca="true" t="shared" si="19" ref="E161:E169">D161-C161</f>
        <v>-0.12054527564397954</v>
      </c>
    </row>
    <row r="162" spans="1:5" s="506" customFormat="1" ht="12.75">
      <c r="A162" s="512">
        <v>2</v>
      </c>
      <c r="B162" s="511" t="s">
        <v>12</v>
      </c>
      <c r="C162" s="536">
        <f t="shared" si="18"/>
        <v>7.063979706877114</v>
      </c>
      <c r="D162" s="536">
        <f t="shared" si="18"/>
        <v>6.9964823413535955</v>
      </c>
      <c r="E162" s="537">
        <f t="shared" si="19"/>
        <v>-0.06749736552351848</v>
      </c>
    </row>
    <row r="163" spans="1:5" s="506" customFormat="1" ht="12.75">
      <c r="A163" s="512">
        <v>3</v>
      </c>
      <c r="B163" s="511" t="s">
        <v>158</v>
      </c>
      <c r="C163" s="536">
        <f t="shared" si="18"/>
        <v>4.945521698984303</v>
      </c>
      <c r="D163" s="536">
        <f t="shared" si="18"/>
        <v>4.695337336630166</v>
      </c>
      <c r="E163" s="537">
        <f t="shared" si="19"/>
        <v>-0.2501843623541369</v>
      </c>
    </row>
    <row r="164" spans="1:5" s="506" customFormat="1" ht="12.75">
      <c r="A164" s="512">
        <v>4</v>
      </c>
      <c r="B164" s="511" t="s">
        <v>504</v>
      </c>
      <c r="C164" s="536">
        <f t="shared" si="18"/>
        <v>4.864677453246481</v>
      </c>
      <c r="D164" s="536">
        <f t="shared" si="18"/>
        <v>4.532648125755744</v>
      </c>
      <c r="E164" s="537">
        <f t="shared" si="19"/>
        <v>-0.3320293274907371</v>
      </c>
    </row>
    <row r="165" spans="1:5" s="506" customFormat="1" ht="12.75">
      <c r="A165" s="512">
        <v>5</v>
      </c>
      <c r="B165" s="511" t="s">
        <v>125</v>
      </c>
      <c r="C165" s="536">
        <f t="shared" si="18"/>
        <v>5.532012195121951</v>
      </c>
      <c r="D165" s="536">
        <f t="shared" si="18"/>
        <v>5.848571428571429</v>
      </c>
      <c r="E165" s="537">
        <f t="shared" si="19"/>
        <v>0.31655923344947734</v>
      </c>
    </row>
    <row r="166" spans="1:5" s="506" customFormat="1" ht="12.75">
      <c r="A166" s="512">
        <v>6</v>
      </c>
      <c r="B166" s="511" t="s">
        <v>808</v>
      </c>
      <c r="C166" s="536">
        <f t="shared" si="18"/>
        <v>3.6363636363636362</v>
      </c>
      <c r="D166" s="536">
        <f t="shared" si="18"/>
        <v>7</v>
      </c>
      <c r="E166" s="537">
        <f t="shared" si="19"/>
        <v>3.3636363636363638</v>
      </c>
    </row>
    <row r="167" spans="1:5" s="506" customFormat="1" ht="12.75">
      <c r="A167" s="512">
        <v>7</v>
      </c>
      <c r="B167" s="511" t="s">
        <v>140</v>
      </c>
      <c r="C167" s="536">
        <f t="shared" si="18"/>
        <v>5.1706666666666665</v>
      </c>
      <c r="D167" s="536">
        <f t="shared" si="18"/>
        <v>4.331658291457287</v>
      </c>
      <c r="E167" s="537">
        <f t="shared" si="19"/>
        <v>-0.8390083752093798</v>
      </c>
    </row>
    <row r="168" spans="1:5" s="506" customFormat="1" ht="12.75">
      <c r="A168" s="512"/>
      <c r="B168" s="516" t="s">
        <v>192</v>
      </c>
      <c r="C168" s="538">
        <f t="shared" si="18"/>
        <v>6.14046556122449</v>
      </c>
      <c r="D168" s="538">
        <f t="shared" si="18"/>
        <v>5.977954971857411</v>
      </c>
      <c r="E168" s="539">
        <f t="shared" si="19"/>
        <v>-0.16251058936707885</v>
      </c>
    </row>
    <row r="169" spans="1:5" s="506" customFormat="1" ht="12.75">
      <c r="A169" s="512"/>
      <c r="B169" s="516" t="s">
        <v>126</v>
      </c>
      <c r="C169" s="538">
        <f t="shared" si="18"/>
        <v>5.336379982019778</v>
      </c>
      <c r="D169" s="538">
        <f t="shared" si="18"/>
        <v>5.230260500807755</v>
      </c>
      <c r="E169" s="539">
        <f t="shared" si="19"/>
        <v>-0.10611948121202364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711</v>
      </c>
      <c r="B171" s="509" t="s">
        <v>193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33</v>
      </c>
      <c r="C173" s="541">
        <f aca="true" t="shared" si="20" ref="C173:D181">IF(C137=0,0,C203/C137)</f>
        <v>1.16977</v>
      </c>
      <c r="D173" s="541">
        <f t="shared" si="20"/>
        <v>1.13717</v>
      </c>
      <c r="E173" s="542">
        <f aca="true" t="shared" si="21" ref="E173:E181">D173-C173</f>
        <v>-0.03259999999999996</v>
      </c>
    </row>
    <row r="174" spans="1:5" s="506" customFormat="1" ht="12.75">
      <c r="A174" s="512">
        <v>2</v>
      </c>
      <c r="B174" s="511" t="s">
        <v>12</v>
      </c>
      <c r="C174" s="541">
        <f t="shared" si="20"/>
        <v>1.61224</v>
      </c>
      <c r="D174" s="541">
        <f t="shared" si="20"/>
        <v>1.64252</v>
      </c>
      <c r="E174" s="542">
        <f t="shared" si="21"/>
        <v>0.030280000000000085</v>
      </c>
    </row>
    <row r="175" spans="1:5" s="506" customFormat="1" ht="12.75">
      <c r="A175" s="512">
        <v>0</v>
      </c>
      <c r="B175" s="511" t="s">
        <v>158</v>
      </c>
      <c r="C175" s="541">
        <f t="shared" si="20"/>
        <v>0.9563435401662049</v>
      </c>
      <c r="D175" s="541">
        <f t="shared" si="20"/>
        <v>0.9557791133874955</v>
      </c>
      <c r="E175" s="542">
        <f t="shared" si="21"/>
        <v>-0.0005644267787093815</v>
      </c>
    </row>
    <row r="176" spans="1:5" s="506" customFormat="1" ht="12.75">
      <c r="A176" s="512">
        <v>4</v>
      </c>
      <c r="B176" s="511" t="s">
        <v>504</v>
      </c>
      <c r="C176" s="541">
        <f t="shared" si="20"/>
        <v>0.92829</v>
      </c>
      <c r="D176" s="541">
        <f t="shared" si="20"/>
        <v>0.96157</v>
      </c>
      <c r="E176" s="542">
        <f t="shared" si="21"/>
        <v>0.03328000000000009</v>
      </c>
    </row>
    <row r="177" spans="1:5" s="506" customFormat="1" ht="12.75">
      <c r="A177" s="512">
        <v>5</v>
      </c>
      <c r="B177" s="511" t="s">
        <v>125</v>
      </c>
      <c r="C177" s="541">
        <f t="shared" si="20"/>
        <v>1.15986</v>
      </c>
      <c r="D177" s="541">
        <f t="shared" si="20"/>
        <v>0.91473</v>
      </c>
      <c r="E177" s="542">
        <f t="shared" si="21"/>
        <v>-0.24512999999999985</v>
      </c>
    </row>
    <row r="178" spans="1:5" s="506" customFormat="1" ht="12.75">
      <c r="A178" s="512">
        <v>6</v>
      </c>
      <c r="B178" s="511" t="s">
        <v>808</v>
      </c>
      <c r="C178" s="541">
        <f t="shared" si="20"/>
        <v>1.11641</v>
      </c>
      <c r="D178" s="541">
        <f t="shared" si="20"/>
        <v>1.4279600000000001</v>
      </c>
      <c r="E178" s="542">
        <f t="shared" si="21"/>
        <v>0.3115500000000002</v>
      </c>
    </row>
    <row r="179" spans="1:5" s="506" customFormat="1" ht="12.75">
      <c r="A179" s="512">
        <v>7</v>
      </c>
      <c r="B179" s="511" t="s">
        <v>140</v>
      </c>
      <c r="C179" s="541">
        <f t="shared" si="20"/>
        <v>1.27433</v>
      </c>
      <c r="D179" s="541">
        <f t="shared" si="20"/>
        <v>1.21574</v>
      </c>
      <c r="E179" s="542">
        <f t="shared" si="21"/>
        <v>-0.05858999999999992</v>
      </c>
    </row>
    <row r="180" spans="1:5" s="506" customFormat="1" ht="12.75">
      <c r="A180" s="512"/>
      <c r="B180" s="516" t="s">
        <v>194</v>
      </c>
      <c r="C180" s="543">
        <f t="shared" si="20"/>
        <v>1.327797898596939</v>
      </c>
      <c r="D180" s="543">
        <f t="shared" si="20"/>
        <v>1.3381687038774233</v>
      </c>
      <c r="E180" s="544">
        <f t="shared" si="21"/>
        <v>0.010370805280484285</v>
      </c>
    </row>
    <row r="181" spans="1:5" s="506" customFormat="1" ht="12.75">
      <c r="A181" s="512"/>
      <c r="B181" s="516" t="s">
        <v>103</v>
      </c>
      <c r="C181" s="543">
        <f t="shared" si="20"/>
        <v>1.2687761911896913</v>
      </c>
      <c r="D181" s="543">
        <f t="shared" si="20"/>
        <v>1.2669748980210016</v>
      </c>
      <c r="E181" s="544">
        <f t="shared" si="21"/>
        <v>-0.0018012931686897105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732</v>
      </c>
      <c r="B183" s="509" t="s">
        <v>195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196</v>
      </c>
      <c r="C185" s="513">
        <v>331733199</v>
      </c>
      <c r="D185" s="513">
        <v>340205958</v>
      </c>
      <c r="E185" s="514">
        <f>D185-C185</f>
        <v>8472759</v>
      </c>
    </row>
    <row r="186" spans="1:5" s="506" customFormat="1" ht="25.5">
      <c r="A186" s="512">
        <v>2</v>
      </c>
      <c r="B186" s="511" t="s">
        <v>197</v>
      </c>
      <c r="C186" s="513">
        <v>121113486</v>
      </c>
      <c r="D186" s="513">
        <v>137366697</v>
      </c>
      <c r="E186" s="514">
        <f>D186-C186</f>
        <v>16253211</v>
      </c>
    </row>
    <row r="187" spans="1:5" s="506" customFormat="1" ht="12.75">
      <c r="A187" s="512"/>
      <c r="B187" s="511" t="s">
        <v>45</v>
      </c>
      <c r="C187" s="510"/>
      <c r="D187" s="510"/>
      <c r="E187" s="511"/>
    </row>
    <row r="188" spans="1:5" s="506" customFormat="1" ht="12.75">
      <c r="A188" s="512">
        <v>3</v>
      </c>
      <c r="B188" s="511" t="s">
        <v>129</v>
      </c>
      <c r="C188" s="546">
        <f>+C185-C186</f>
        <v>210619713</v>
      </c>
      <c r="D188" s="546">
        <f>+D185-D186</f>
        <v>202839261</v>
      </c>
      <c r="E188" s="514">
        <f aca="true" t="shared" si="22" ref="E188:E197">D188-C188</f>
        <v>-7780452</v>
      </c>
    </row>
    <row r="189" spans="1:5" s="506" customFormat="1" ht="12.75">
      <c r="A189" s="512">
        <v>4</v>
      </c>
      <c r="B189" s="511" t="s">
        <v>47</v>
      </c>
      <c r="C189" s="547">
        <f>IF(C185=0,0,+C188/C185)</f>
        <v>0.6349069482189511</v>
      </c>
      <c r="D189" s="547">
        <f>IF(D185=0,0,+D188/D185)</f>
        <v>0.5962248932747968</v>
      </c>
      <c r="E189" s="523">
        <f t="shared" si="22"/>
        <v>-0.03868205494415433</v>
      </c>
    </row>
    <row r="190" spans="1:5" s="506" customFormat="1" ht="12.75">
      <c r="A190" s="512">
        <v>5</v>
      </c>
      <c r="B190" s="511" t="s">
        <v>144</v>
      </c>
      <c r="C190" s="513">
        <v>1264494</v>
      </c>
      <c r="D190" s="513">
        <v>1218589</v>
      </c>
      <c r="E190" s="546">
        <f t="shared" si="22"/>
        <v>-45905</v>
      </c>
    </row>
    <row r="191" spans="1:5" s="506" customFormat="1" ht="12.75">
      <c r="A191" s="512">
        <v>6</v>
      </c>
      <c r="B191" s="511" t="s">
        <v>130</v>
      </c>
      <c r="C191" s="513">
        <v>863280</v>
      </c>
      <c r="D191" s="513">
        <v>833366</v>
      </c>
      <c r="E191" s="546">
        <f t="shared" si="22"/>
        <v>-29914</v>
      </c>
    </row>
    <row r="192" spans="1:5" ht="29.25">
      <c r="A192" s="512">
        <v>7</v>
      </c>
      <c r="B192" s="548" t="s">
        <v>198</v>
      </c>
      <c r="C192" s="513">
        <v>3452370</v>
      </c>
      <c r="D192" s="513">
        <v>3383714</v>
      </c>
      <c r="E192" s="546">
        <f t="shared" si="22"/>
        <v>-68656</v>
      </c>
    </row>
    <row r="193" spans="1:5" s="506" customFormat="1" ht="12.75">
      <c r="A193" s="512">
        <v>8</v>
      </c>
      <c r="B193" s="511" t="s">
        <v>199</v>
      </c>
      <c r="C193" s="513">
        <v>11818000</v>
      </c>
      <c r="D193" s="513">
        <v>15999852</v>
      </c>
      <c r="E193" s="546">
        <f t="shared" si="22"/>
        <v>4181852</v>
      </c>
    </row>
    <row r="194" spans="1:5" s="506" customFormat="1" ht="12.75">
      <c r="A194" s="512">
        <v>9</v>
      </c>
      <c r="B194" s="511" t="s">
        <v>200</v>
      </c>
      <c r="C194" s="513">
        <v>32166000</v>
      </c>
      <c r="D194" s="513">
        <v>32293223</v>
      </c>
      <c r="E194" s="546">
        <f t="shared" si="22"/>
        <v>127223</v>
      </c>
    </row>
    <row r="195" spans="1:5" s="506" customFormat="1" ht="12.75">
      <c r="A195" s="512">
        <v>10</v>
      </c>
      <c r="B195" s="511" t="s">
        <v>201</v>
      </c>
      <c r="C195" s="513">
        <f>+C193+C194</f>
        <v>43984000</v>
      </c>
      <c r="D195" s="513">
        <f>+D193+D194</f>
        <v>48293075</v>
      </c>
      <c r="E195" s="549">
        <f t="shared" si="22"/>
        <v>4309075</v>
      </c>
    </row>
    <row r="196" spans="1:5" s="506" customFormat="1" ht="12.75">
      <c r="A196" s="512">
        <v>11</v>
      </c>
      <c r="B196" s="511" t="s">
        <v>202</v>
      </c>
      <c r="C196" s="513">
        <v>331733199</v>
      </c>
      <c r="D196" s="513">
        <v>340205958</v>
      </c>
      <c r="E196" s="546">
        <f t="shared" si="22"/>
        <v>8472759</v>
      </c>
    </row>
    <row r="197" spans="1:5" s="506" customFormat="1" ht="12.75">
      <c r="A197" s="512">
        <v>12</v>
      </c>
      <c r="B197" s="511" t="s">
        <v>87</v>
      </c>
      <c r="C197" s="513">
        <v>333443334</v>
      </c>
      <c r="D197" s="513">
        <v>351055000</v>
      </c>
      <c r="E197" s="546">
        <f t="shared" si="22"/>
        <v>17611666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534</v>
      </c>
      <c r="B199" s="550" t="s">
        <v>203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404</v>
      </c>
      <c r="B201" s="509" t="s">
        <v>204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33</v>
      </c>
      <c r="C203" s="553">
        <v>8747.54006</v>
      </c>
      <c r="D203" s="553">
        <v>7978.38472</v>
      </c>
      <c r="E203" s="554">
        <f aca="true" t="shared" si="23" ref="E203:E211">D203-C203</f>
        <v>-769.1553399999993</v>
      </c>
    </row>
    <row r="204" spans="1:5" s="506" customFormat="1" ht="12.75">
      <c r="A204" s="512">
        <v>2</v>
      </c>
      <c r="B204" s="511" t="s">
        <v>12</v>
      </c>
      <c r="C204" s="553">
        <v>11440.455039999999</v>
      </c>
      <c r="D204" s="553">
        <v>11673.38964</v>
      </c>
      <c r="E204" s="554">
        <f t="shared" si="23"/>
        <v>232.9346000000005</v>
      </c>
    </row>
    <row r="205" spans="1:5" s="506" customFormat="1" ht="12.75">
      <c r="A205" s="512">
        <v>3</v>
      </c>
      <c r="B205" s="511" t="s">
        <v>158</v>
      </c>
      <c r="C205" s="553">
        <f>C206+C207</f>
        <v>5178.60027</v>
      </c>
      <c r="D205" s="553">
        <f>D206+D207</f>
        <v>5411.62134</v>
      </c>
      <c r="E205" s="554">
        <f t="shared" si="23"/>
        <v>233.02106999999978</v>
      </c>
    </row>
    <row r="206" spans="1:5" s="506" customFormat="1" ht="12.75">
      <c r="A206" s="512">
        <v>4</v>
      </c>
      <c r="B206" s="511" t="s">
        <v>504</v>
      </c>
      <c r="C206" s="553">
        <v>4417.73211</v>
      </c>
      <c r="D206" s="553">
        <v>4771.31034</v>
      </c>
      <c r="E206" s="554">
        <f t="shared" si="23"/>
        <v>353.5782300000001</v>
      </c>
    </row>
    <row r="207" spans="1:5" s="506" customFormat="1" ht="12.75">
      <c r="A207" s="512">
        <v>5</v>
      </c>
      <c r="B207" s="511" t="s">
        <v>125</v>
      </c>
      <c r="C207" s="553">
        <v>760.8681599999999</v>
      </c>
      <c r="D207" s="553">
        <v>640.311</v>
      </c>
      <c r="E207" s="554">
        <f t="shared" si="23"/>
        <v>-120.55715999999984</v>
      </c>
    </row>
    <row r="208" spans="1:5" s="506" customFormat="1" ht="12.75">
      <c r="A208" s="512">
        <v>6</v>
      </c>
      <c r="B208" s="511" t="s">
        <v>808</v>
      </c>
      <c r="C208" s="553">
        <v>36.84153</v>
      </c>
      <c r="D208" s="553">
        <v>32.84308</v>
      </c>
      <c r="E208" s="554">
        <f t="shared" si="23"/>
        <v>-3.9984499999999983</v>
      </c>
    </row>
    <row r="209" spans="1:5" s="506" customFormat="1" ht="12.75">
      <c r="A209" s="512">
        <v>7</v>
      </c>
      <c r="B209" s="511" t="s">
        <v>140</v>
      </c>
      <c r="C209" s="553">
        <v>477.87375</v>
      </c>
      <c r="D209" s="553">
        <v>483.86452</v>
      </c>
      <c r="E209" s="554">
        <f t="shared" si="23"/>
        <v>5.9907700000000546</v>
      </c>
    </row>
    <row r="210" spans="1:5" s="506" customFormat="1" ht="12.75">
      <c r="A210" s="512"/>
      <c r="B210" s="516" t="s">
        <v>205</v>
      </c>
      <c r="C210" s="555">
        <f>C204+C205+C208</f>
        <v>16655.89684</v>
      </c>
      <c r="D210" s="555">
        <f>D204+D205+D208</f>
        <v>17117.854059999998</v>
      </c>
      <c r="E210" s="556">
        <f t="shared" si="23"/>
        <v>461.9572199999966</v>
      </c>
    </row>
    <row r="211" spans="1:5" s="506" customFormat="1" ht="12.75">
      <c r="A211" s="512"/>
      <c r="B211" s="516" t="s">
        <v>104</v>
      </c>
      <c r="C211" s="555">
        <f>C210+C203</f>
        <v>25403.4369</v>
      </c>
      <c r="D211" s="555">
        <f>D210+D203</f>
        <v>25096.23878</v>
      </c>
      <c r="E211" s="556">
        <f t="shared" si="23"/>
        <v>-307.1981200000009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416</v>
      </c>
      <c r="B213" s="509" t="s">
        <v>206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33</v>
      </c>
      <c r="C215" s="557">
        <f>IF(C14*C137=0,0,C25/C14*C137)</f>
        <v>6068.808403857203</v>
      </c>
      <c r="D215" s="557">
        <f>IF(D14*D137=0,0,D25/D14*D137)</f>
        <v>6719.457757707363</v>
      </c>
      <c r="E215" s="557">
        <f aca="true" t="shared" si="24" ref="E215:E223">D215-C215</f>
        <v>650.64935385016</v>
      </c>
    </row>
    <row r="216" spans="1:5" s="506" customFormat="1" ht="12.75">
      <c r="A216" s="512">
        <v>2</v>
      </c>
      <c r="B216" s="511" t="s">
        <v>12</v>
      </c>
      <c r="C216" s="557">
        <f>IF(C15*C138=0,0,C26/C15*C138)</f>
        <v>2012.514486639094</v>
      </c>
      <c r="D216" s="557">
        <f>IF(D15*D138=0,0,D26/D15*D138)</f>
        <v>2157.96093268259</v>
      </c>
      <c r="E216" s="557">
        <f t="shared" si="24"/>
        <v>145.44644604349583</v>
      </c>
    </row>
    <row r="217" spans="1:5" s="506" customFormat="1" ht="12.75">
      <c r="A217" s="512">
        <v>3</v>
      </c>
      <c r="B217" s="511" t="s">
        <v>158</v>
      </c>
      <c r="C217" s="557">
        <f>C218+C219</f>
        <v>3872.3474280057067</v>
      </c>
      <c r="D217" s="557">
        <f>D218+D219</f>
        <v>4487.103069860248</v>
      </c>
      <c r="E217" s="557">
        <f t="shared" si="24"/>
        <v>614.7556418545414</v>
      </c>
    </row>
    <row r="218" spans="1:5" s="506" customFormat="1" ht="12.75">
      <c r="A218" s="512">
        <v>4</v>
      </c>
      <c r="B218" s="511" t="s">
        <v>504</v>
      </c>
      <c r="C218" s="557">
        <f aca="true" t="shared" si="25" ref="C218:D221">IF(C17*C140=0,0,C28/C17*C140)</f>
        <v>3265.1953240420466</v>
      </c>
      <c r="D218" s="557">
        <f t="shared" si="25"/>
        <v>3836.9406752436353</v>
      </c>
      <c r="E218" s="557">
        <f t="shared" si="24"/>
        <v>571.7453512015886</v>
      </c>
    </row>
    <row r="219" spans="1:5" s="506" customFormat="1" ht="12.75">
      <c r="A219" s="512">
        <v>5</v>
      </c>
      <c r="B219" s="511" t="s">
        <v>125</v>
      </c>
      <c r="C219" s="557">
        <f t="shared" si="25"/>
        <v>607.15210396366</v>
      </c>
      <c r="D219" s="557">
        <f t="shared" si="25"/>
        <v>650.1623946166128</v>
      </c>
      <c r="E219" s="557">
        <f t="shared" si="24"/>
        <v>43.01029065295279</v>
      </c>
    </row>
    <row r="220" spans="1:5" s="506" customFormat="1" ht="12.75">
      <c r="A220" s="512">
        <v>6</v>
      </c>
      <c r="B220" s="511" t="s">
        <v>808</v>
      </c>
      <c r="C220" s="557">
        <f t="shared" si="25"/>
        <v>20.55057419958024</v>
      </c>
      <c r="D220" s="557">
        <f t="shared" si="25"/>
        <v>9.527067693042888</v>
      </c>
      <c r="E220" s="557">
        <f t="shared" si="24"/>
        <v>-11.023506506537352</v>
      </c>
    </row>
    <row r="221" spans="1:5" s="506" customFormat="1" ht="12.75">
      <c r="A221" s="512">
        <v>7</v>
      </c>
      <c r="B221" s="511" t="s">
        <v>140</v>
      </c>
      <c r="C221" s="557">
        <f t="shared" si="25"/>
        <v>718.6283822237995</v>
      </c>
      <c r="D221" s="557">
        <f t="shared" si="25"/>
        <v>889.2210250219192</v>
      </c>
      <c r="E221" s="557">
        <f t="shared" si="24"/>
        <v>170.59264279811975</v>
      </c>
    </row>
    <row r="222" spans="1:5" s="506" customFormat="1" ht="12.75">
      <c r="A222" s="512"/>
      <c r="B222" s="516" t="s">
        <v>207</v>
      </c>
      <c r="C222" s="558">
        <f>C216+C218+C219+C220</f>
        <v>5905.412488844381</v>
      </c>
      <c r="D222" s="558">
        <f>D216+D218+D219+D220</f>
        <v>6654.5910702358815</v>
      </c>
      <c r="E222" s="558">
        <f t="shared" si="24"/>
        <v>749.1785813915003</v>
      </c>
    </row>
    <row r="223" spans="1:5" s="506" customFormat="1" ht="12.75">
      <c r="A223" s="512"/>
      <c r="B223" s="516" t="s">
        <v>208</v>
      </c>
      <c r="C223" s="558">
        <f>C215+C222</f>
        <v>11974.220892701585</v>
      </c>
      <c r="D223" s="558">
        <f>D215+D222</f>
        <v>13374.048827943245</v>
      </c>
      <c r="E223" s="558">
        <f t="shared" si="24"/>
        <v>1399.8279352416594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426</v>
      </c>
      <c r="B225" s="509" t="s">
        <v>209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33</v>
      </c>
      <c r="C227" s="560">
        <f aca="true" t="shared" si="26" ref="C227:D235">IF(C203=0,0,C47/C203)</f>
        <v>9102.718416130352</v>
      </c>
      <c r="D227" s="560">
        <f t="shared" si="26"/>
        <v>10171.919861994322</v>
      </c>
      <c r="E227" s="560">
        <f aca="true" t="shared" si="27" ref="E227:E235">D227-C227</f>
        <v>1069.2014458639696</v>
      </c>
    </row>
    <row r="228" spans="1:5" s="506" customFormat="1" ht="12.75">
      <c r="A228" s="512">
        <v>2</v>
      </c>
      <c r="B228" s="511" t="s">
        <v>12</v>
      </c>
      <c r="C228" s="560">
        <f t="shared" si="26"/>
        <v>10134.659556338767</v>
      </c>
      <c r="D228" s="560">
        <f t="shared" si="26"/>
        <v>9876.3300596895</v>
      </c>
      <c r="E228" s="560">
        <f t="shared" si="27"/>
        <v>-258.32949664926673</v>
      </c>
    </row>
    <row r="229" spans="1:5" s="506" customFormat="1" ht="12.75">
      <c r="A229" s="512">
        <v>3</v>
      </c>
      <c r="B229" s="511" t="s">
        <v>158</v>
      </c>
      <c r="C229" s="560">
        <f t="shared" si="26"/>
        <v>6930.054093555284</v>
      </c>
      <c r="D229" s="560">
        <f t="shared" si="26"/>
        <v>6859.437434327215</v>
      </c>
      <c r="E229" s="560">
        <f t="shared" si="27"/>
        <v>-70.6166592280697</v>
      </c>
    </row>
    <row r="230" spans="1:5" s="506" customFormat="1" ht="12.75">
      <c r="A230" s="512">
        <v>4</v>
      </c>
      <c r="B230" s="511" t="s">
        <v>504</v>
      </c>
      <c r="C230" s="560">
        <f t="shared" si="26"/>
        <v>7522.498461320236</v>
      </c>
      <c r="D230" s="560">
        <f t="shared" si="26"/>
        <v>7097.65108257452</v>
      </c>
      <c r="E230" s="560">
        <f t="shared" si="27"/>
        <v>-424.847378745716</v>
      </c>
    </row>
    <row r="231" spans="1:5" s="506" customFormat="1" ht="12.75">
      <c r="A231" s="512">
        <v>5</v>
      </c>
      <c r="B231" s="511" t="s">
        <v>125</v>
      </c>
      <c r="C231" s="560">
        <f t="shared" si="26"/>
        <v>3490.219645937084</v>
      </c>
      <c r="D231" s="560">
        <f t="shared" si="26"/>
        <v>5084.376185947141</v>
      </c>
      <c r="E231" s="560">
        <f t="shared" si="27"/>
        <v>1594.1565400100567</v>
      </c>
    </row>
    <row r="232" spans="1:5" s="506" customFormat="1" ht="12.75">
      <c r="A232" s="512">
        <v>6</v>
      </c>
      <c r="B232" s="511" t="s">
        <v>808</v>
      </c>
      <c r="C232" s="560">
        <f t="shared" si="26"/>
        <v>4415.4246579878745</v>
      </c>
      <c r="D232" s="560">
        <f t="shared" si="26"/>
        <v>10569.136633957594</v>
      </c>
      <c r="E232" s="560">
        <f t="shared" si="27"/>
        <v>6153.71197596972</v>
      </c>
    </row>
    <row r="233" spans="1:5" s="506" customFormat="1" ht="12.75">
      <c r="A233" s="512">
        <v>7</v>
      </c>
      <c r="B233" s="511" t="s">
        <v>140</v>
      </c>
      <c r="C233" s="560">
        <f t="shared" si="26"/>
        <v>5720.356056385186</v>
      </c>
      <c r="D233" s="560">
        <f t="shared" si="26"/>
        <v>2108.2616266222617</v>
      </c>
      <c r="E233" s="560">
        <f t="shared" si="27"/>
        <v>-3612.0944297629244</v>
      </c>
    </row>
    <row r="234" spans="1:5" ht="12.75">
      <c r="A234" s="512"/>
      <c r="B234" s="516" t="s">
        <v>210</v>
      </c>
      <c r="C234" s="561">
        <f t="shared" si="26"/>
        <v>9125.642975584135</v>
      </c>
      <c r="D234" s="561">
        <f t="shared" si="26"/>
        <v>8923.90187838767</v>
      </c>
      <c r="E234" s="561">
        <f t="shared" si="27"/>
        <v>-201.74109719646367</v>
      </c>
    </row>
    <row r="235" spans="1:5" s="506" customFormat="1" ht="12.75">
      <c r="A235" s="512"/>
      <c r="B235" s="516" t="s">
        <v>211</v>
      </c>
      <c r="C235" s="561">
        <f t="shared" si="26"/>
        <v>9117.749023951952</v>
      </c>
      <c r="D235" s="561">
        <f t="shared" si="26"/>
        <v>9320.66123734897</v>
      </c>
      <c r="E235" s="561">
        <f t="shared" si="27"/>
        <v>202.9122133970177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711</v>
      </c>
      <c r="B237" s="509" t="s">
        <v>212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33</v>
      </c>
      <c r="C239" s="560">
        <f aca="true" t="shared" si="28" ref="C239:D247">IF(C215=0,0,C58/C215)</f>
        <v>8846.4320221211</v>
      </c>
      <c r="D239" s="560">
        <f t="shared" si="28"/>
        <v>8835.787222845382</v>
      </c>
      <c r="E239" s="562">
        <f aca="true" t="shared" si="29" ref="E239:E247">D239-C239</f>
        <v>-10.64479927571847</v>
      </c>
    </row>
    <row r="240" spans="1:5" s="506" customFormat="1" ht="12.75">
      <c r="A240" s="512">
        <v>2</v>
      </c>
      <c r="B240" s="511" t="s">
        <v>12</v>
      </c>
      <c r="C240" s="560">
        <f t="shared" si="28"/>
        <v>9607.257054973596</v>
      </c>
      <c r="D240" s="560">
        <f t="shared" si="28"/>
        <v>9974.87010723661</v>
      </c>
      <c r="E240" s="562">
        <f t="shared" si="29"/>
        <v>367.61305226301374</v>
      </c>
    </row>
    <row r="241" spans="1:5" ht="12.75">
      <c r="A241" s="512">
        <v>3</v>
      </c>
      <c r="B241" s="511" t="s">
        <v>158</v>
      </c>
      <c r="C241" s="560">
        <f t="shared" si="28"/>
        <v>5385.221338659613</v>
      </c>
      <c r="D241" s="560">
        <f t="shared" si="28"/>
        <v>5567.322526598</v>
      </c>
      <c r="E241" s="562">
        <f t="shared" si="29"/>
        <v>182.10118793838683</v>
      </c>
    </row>
    <row r="242" spans="1:5" ht="12.75">
      <c r="A242" s="512">
        <v>4</v>
      </c>
      <c r="B242" s="511" t="s">
        <v>504</v>
      </c>
      <c r="C242" s="560">
        <f t="shared" si="28"/>
        <v>5602.691166834596</v>
      </c>
      <c r="D242" s="560">
        <f t="shared" si="28"/>
        <v>5732.651313042083</v>
      </c>
      <c r="E242" s="562">
        <f t="shared" si="29"/>
        <v>129.960146207487</v>
      </c>
    </row>
    <row r="243" spans="1:5" ht="12.75">
      <c r="A243" s="512">
        <v>5</v>
      </c>
      <c r="B243" s="511" t="s">
        <v>125</v>
      </c>
      <c r="C243" s="560">
        <f t="shared" si="28"/>
        <v>4215.693206513533</v>
      </c>
      <c r="D243" s="560">
        <f t="shared" si="28"/>
        <v>4591.632836224515</v>
      </c>
      <c r="E243" s="562">
        <f t="shared" si="29"/>
        <v>375.93962971098154</v>
      </c>
    </row>
    <row r="244" spans="1:5" ht="12.75">
      <c r="A244" s="512">
        <v>6</v>
      </c>
      <c r="B244" s="511" t="s">
        <v>808</v>
      </c>
      <c r="C244" s="560">
        <f t="shared" si="28"/>
        <v>7297.460330965506</v>
      </c>
      <c r="D244" s="560">
        <f t="shared" si="28"/>
        <v>13813.274371515225</v>
      </c>
      <c r="E244" s="562">
        <f t="shared" si="29"/>
        <v>6515.814040549719</v>
      </c>
    </row>
    <row r="245" spans="1:5" ht="12.75">
      <c r="A245" s="512">
        <v>7</v>
      </c>
      <c r="B245" s="511" t="s">
        <v>140</v>
      </c>
      <c r="C245" s="560">
        <f t="shared" si="28"/>
        <v>1765.3574940558276</v>
      </c>
      <c r="D245" s="560">
        <f t="shared" si="28"/>
        <v>1973.8129785637216</v>
      </c>
      <c r="E245" s="562">
        <f t="shared" si="29"/>
        <v>208.45548450789397</v>
      </c>
    </row>
    <row r="246" spans="1:5" ht="25.5">
      <c r="A246" s="512"/>
      <c r="B246" s="516" t="s">
        <v>213</v>
      </c>
      <c r="C246" s="561">
        <f t="shared" si="28"/>
        <v>6830.709806673251</v>
      </c>
      <c r="D246" s="561">
        <f t="shared" si="28"/>
        <v>7008.414117074642</v>
      </c>
      <c r="E246" s="563">
        <f t="shared" si="29"/>
        <v>177.704310401391</v>
      </c>
    </row>
    <row r="247" spans="1:5" ht="12.75">
      <c r="A247" s="512"/>
      <c r="B247" s="516" t="s">
        <v>214</v>
      </c>
      <c r="C247" s="561">
        <f t="shared" si="28"/>
        <v>7852.323824868598</v>
      </c>
      <c r="D247" s="561">
        <f t="shared" si="28"/>
        <v>7926.532223996893</v>
      </c>
      <c r="E247" s="563">
        <f t="shared" si="29"/>
        <v>74.20839912829433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142</v>
      </c>
      <c r="B249" s="550" t="s">
        <v>139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504</v>
      </c>
      <c r="C251" s="546">
        <f>((IF((IF(C15=0,0,C26/C15)*C138)=0,0,C59/(IF(C15=0,0,C26/C15)*C138)))-(IF((IF(C17=0,0,C28/C17)*C140)=0,0,C61/(IF(C17=0,0,C28/C17)*C140))))*(IF(C17=0,0,C28/C17)*C140)</f>
        <v>13075689.812769748</v>
      </c>
      <c r="D251" s="546">
        <f>((IF((IF(D15=0,0,D26/D15)*D138)=0,0,D59/(IF(D15=0,0,D26/D15)*D138)))-(IF((IF(D17=0,0,D28/D17)*D140)=0,0,D61/(IF(D17=0,0,D28/D17)*D140))))*(IF(D17=0,0,D28/D17)*D140)</f>
        <v>16277141.844727987</v>
      </c>
      <c r="E251" s="546">
        <f>D251-C251</f>
        <v>3201452.031958239</v>
      </c>
    </row>
    <row r="252" spans="1:5" ht="12.75">
      <c r="A252" s="512">
        <v>2</v>
      </c>
      <c r="B252" s="511" t="s">
        <v>125</v>
      </c>
      <c r="C252" s="546">
        <f>IF(C231=0,0,(C228-C231)*C207)+IF(C243=0,0,(C240-C243)*C219)</f>
        <v>8329042.103104827</v>
      </c>
      <c r="D252" s="546">
        <f>IF(D231=0,0,(D228-D231)*D207)+IF(D243=0,0,(D240-D243)*D219)</f>
        <v>6568319.211760468</v>
      </c>
      <c r="E252" s="546">
        <f>D252-C252</f>
        <v>-1760722.8913443591</v>
      </c>
    </row>
    <row r="253" spans="1:5" ht="12.75">
      <c r="A253" s="512">
        <v>3</v>
      </c>
      <c r="B253" s="511" t="s">
        <v>140</v>
      </c>
      <c r="C253" s="546">
        <f>IF(C233=0,0,(C228-C233)*C209+IF(C221=0,0,(C240-C245)*C221))</f>
        <v>7744891.362184802</v>
      </c>
      <c r="D253" s="546">
        <f>IF(D233=0,0,(D228-D233)*D209+IF(D221=0,0,(D240-D245)*D221))</f>
        <v>10873400.924910672</v>
      </c>
      <c r="E253" s="546">
        <f>D253-C253</f>
        <v>3128509.56272587</v>
      </c>
    </row>
    <row r="254" spans="1:5" ht="15" customHeight="1">
      <c r="A254" s="512"/>
      <c r="B254" s="516" t="s">
        <v>141</v>
      </c>
      <c r="C254" s="564">
        <f>+C251+C252+C253</f>
        <v>29149623.27805938</v>
      </c>
      <c r="D254" s="564">
        <f>+D251+D252+D253</f>
        <v>33718861.98139913</v>
      </c>
      <c r="E254" s="564">
        <f>D254-C254</f>
        <v>4569238.703339748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215</v>
      </c>
      <c r="B256" s="550" t="s">
        <v>216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107</v>
      </c>
      <c r="C258" s="546">
        <f>+C44</f>
        <v>1040100488</v>
      </c>
      <c r="D258" s="549">
        <f>+D44</f>
        <v>1105534503</v>
      </c>
      <c r="E258" s="546">
        <f aca="true" t="shared" si="30" ref="E258:E271">D258-C258</f>
        <v>65434015</v>
      </c>
    </row>
    <row r="259" spans="1:5" ht="12.75">
      <c r="A259" s="512">
        <v>2</v>
      </c>
      <c r="B259" s="511" t="s">
        <v>124</v>
      </c>
      <c r="C259" s="546">
        <f>+(C43-C76)</f>
        <v>458986453</v>
      </c>
      <c r="D259" s="549">
        <f>+(D43-D76)</f>
        <v>503954942</v>
      </c>
      <c r="E259" s="546">
        <f t="shared" si="30"/>
        <v>44968489</v>
      </c>
    </row>
    <row r="260" spans="1:5" ht="12.75">
      <c r="A260" s="512">
        <v>3</v>
      </c>
      <c r="B260" s="511" t="s">
        <v>128</v>
      </c>
      <c r="C260" s="546">
        <f>C195</f>
        <v>43984000</v>
      </c>
      <c r="D260" s="546">
        <f>D195</f>
        <v>48293075</v>
      </c>
      <c r="E260" s="546">
        <f t="shared" si="30"/>
        <v>4309075</v>
      </c>
    </row>
    <row r="261" spans="1:5" ht="12.75">
      <c r="A261" s="512">
        <v>4</v>
      </c>
      <c r="B261" s="511" t="s">
        <v>129</v>
      </c>
      <c r="C261" s="546">
        <f>C188</f>
        <v>210619713</v>
      </c>
      <c r="D261" s="546">
        <f>D188</f>
        <v>202839261</v>
      </c>
      <c r="E261" s="546">
        <f t="shared" si="30"/>
        <v>-7780452</v>
      </c>
    </row>
    <row r="262" spans="1:5" ht="12.75">
      <c r="A262" s="512">
        <v>5</v>
      </c>
      <c r="B262" s="511" t="s">
        <v>130</v>
      </c>
      <c r="C262" s="546">
        <f>C191</f>
        <v>863280</v>
      </c>
      <c r="D262" s="546">
        <f>D191</f>
        <v>833366</v>
      </c>
      <c r="E262" s="546">
        <f t="shared" si="30"/>
        <v>-29914</v>
      </c>
    </row>
    <row r="263" spans="1:5" ht="12.75">
      <c r="A263" s="512">
        <v>6</v>
      </c>
      <c r="B263" s="511" t="s">
        <v>131</v>
      </c>
      <c r="C263" s="546">
        <f>+C259+C260+C261+C262</f>
        <v>714453446</v>
      </c>
      <c r="D263" s="546">
        <f>+D259+D260+D261+D262</f>
        <v>755920644</v>
      </c>
      <c r="E263" s="546">
        <f t="shared" si="30"/>
        <v>41467198</v>
      </c>
    </row>
    <row r="264" spans="1:5" ht="12.75">
      <c r="A264" s="512">
        <v>7</v>
      </c>
      <c r="B264" s="511" t="s">
        <v>31</v>
      </c>
      <c r="C264" s="546">
        <f>+C258-C263</f>
        <v>325647042</v>
      </c>
      <c r="D264" s="546">
        <f>+D258-D263</f>
        <v>349613859</v>
      </c>
      <c r="E264" s="546">
        <f t="shared" si="30"/>
        <v>23966817</v>
      </c>
    </row>
    <row r="265" spans="1:5" ht="12.75">
      <c r="A265" s="512">
        <v>8</v>
      </c>
      <c r="B265" s="511" t="s">
        <v>217</v>
      </c>
      <c r="C265" s="565">
        <f>C192</f>
        <v>3452370</v>
      </c>
      <c r="D265" s="565">
        <f>D192</f>
        <v>3383714</v>
      </c>
      <c r="E265" s="546">
        <f t="shared" si="30"/>
        <v>-68656</v>
      </c>
    </row>
    <row r="266" spans="1:5" ht="12.75">
      <c r="A266" s="512">
        <v>9</v>
      </c>
      <c r="B266" s="511" t="s">
        <v>218</v>
      </c>
      <c r="C266" s="546">
        <f>+C264+C265</f>
        <v>329099412</v>
      </c>
      <c r="D266" s="546">
        <f>+D264+D265</f>
        <v>352997573</v>
      </c>
      <c r="E266" s="565">
        <f t="shared" si="30"/>
        <v>23898161</v>
      </c>
    </row>
    <row r="267" spans="1:5" ht="12.75">
      <c r="A267" s="512">
        <v>10</v>
      </c>
      <c r="B267" s="511" t="s">
        <v>219</v>
      </c>
      <c r="C267" s="566">
        <f>IF(C258=0,0,C266/C258)</f>
        <v>0.3164111696869043</v>
      </c>
      <c r="D267" s="566">
        <f>IF(D258=0,0,D266/D258)</f>
        <v>0.31930036741693624</v>
      </c>
      <c r="E267" s="567">
        <f t="shared" si="30"/>
        <v>0.002889197730031934</v>
      </c>
    </row>
    <row r="268" spans="1:5" ht="12.75">
      <c r="A268" s="512">
        <v>11</v>
      </c>
      <c r="B268" s="511" t="s">
        <v>93</v>
      </c>
      <c r="C268" s="546">
        <f>+C260*C267</f>
        <v>13917028.887508798</v>
      </c>
      <c r="D268" s="568">
        <f>+D260*D267</f>
        <v>15419996.591193657</v>
      </c>
      <c r="E268" s="546">
        <f t="shared" si="30"/>
        <v>1502967.703684859</v>
      </c>
    </row>
    <row r="269" spans="1:5" ht="12.75">
      <c r="A269" s="512">
        <v>12</v>
      </c>
      <c r="B269" s="511" t="s">
        <v>220</v>
      </c>
      <c r="C269" s="546">
        <f>((C17+C18+C28+C29)*C267)-(C50+C51+C61+C62)</f>
        <v>19310146.015323132</v>
      </c>
      <c r="D269" s="568">
        <f>((D17+D18+D28+D29)*D267)-(D50+D51+D61+D62)</f>
        <v>26729693.963076875</v>
      </c>
      <c r="E269" s="546">
        <f t="shared" si="30"/>
        <v>7419547.947753742</v>
      </c>
    </row>
    <row r="270" spans="1:5" s="569" customFormat="1" ht="12.75">
      <c r="A270" s="570">
        <v>13</v>
      </c>
      <c r="B270" s="571" t="s">
        <v>221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222</v>
      </c>
      <c r="C271" s="546">
        <f>+C268+C269+C270</f>
        <v>33227174.90283193</v>
      </c>
      <c r="D271" s="546">
        <f>+D268+D269+D270</f>
        <v>42149690.554270536</v>
      </c>
      <c r="E271" s="549">
        <f t="shared" si="30"/>
        <v>8922515.651438605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223</v>
      </c>
      <c r="B273" s="550" t="s">
        <v>224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404</v>
      </c>
      <c r="B275" s="509" t="s">
        <v>225</v>
      </c>
      <c r="C275" s="340"/>
      <c r="D275" s="340"/>
      <c r="E275" s="520"/>
    </row>
    <row r="276" spans="1:5" ht="12.75">
      <c r="A276" s="512">
        <v>1</v>
      </c>
      <c r="B276" s="511" t="s">
        <v>33</v>
      </c>
      <c r="C276" s="547">
        <f aca="true" t="shared" si="31" ref="C276:D284">IF(C14=0,0,+C47/C14)</f>
        <v>0.3710261673033729</v>
      </c>
      <c r="D276" s="547">
        <f t="shared" si="31"/>
        <v>0.3950457016755931</v>
      </c>
      <c r="E276" s="574">
        <f aca="true" t="shared" si="32" ref="E276:E284">D276-C276</f>
        <v>0.024019534372220208</v>
      </c>
    </row>
    <row r="277" spans="1:5" ht="12.75">
      <c r="A277" s="512">
        <v>2</v>
      </c>
      <c r="B277" s="511" t="s">
        <v>12</v>
      </c>
      <c r="C277" s="547">
        <f t="shared" si="31"/>
        <v>0.36326700000117806</v>
      </c>
      <c r="D277" s="547">
        <f t="shared" si="31"/>
        <v>0.35493275996715856</v>
      </c>
      <c r="E277" s="574">
        <f t="shared" si="32"/>
        <v>-0.008334240034019502</v>
      </c>
    </row>
    <row r="278" spans="1:5" ht="12.75">
      <c r="A278" s="512">
        <v>3</v>
      </c>
      <c r="B278" s="511" t="s">
        <v>158</v>
      </c>
      <c r="C278" s="547">
        <f t="shared" si="31"/>
        <v>0.25698701745089475</v>
      </c>
      <c r="D278" s="547">
        <f t="shared" si="31"/>
        <v>0.24003804843965992</v>
      </c>
      <c r="E278" s="574">
        <f t="shared" si="32"/>
        <v>-0.016948969011234827</v>
      </c>
    </row>
    <row r="279" spans="1:5" ht="12.75">
      <c r="A279" s="512">
        <v>4</v>
      </c>
      <c r="B279" s="511" t="s">
        <v>504</v>
      </c>
      <c r="C279" s="547">
        <f t="shared" si="31"/>
        <v>0.27876814554656704</v>
      </c>
      <c r="D279" s="547">
        <f t="shared" si="31"/>
        <v>0.2624085678428754</v>
      </c>
      <c r="E279" s="574">
        <f t="shared" si="32"/>
        <v>-0.01635957770369162</v>
      </c>
    </row>
    <row r="280" spans="1:5" ht="12.75">
      <c r="A280" s="512">
        <v>5</v>
      </c>
      <c r="B280" s="511" t="s">
        <v>125</v>
      </c>
      <c r="C280" s="547">
        <f t="shared" si="31"/>
        <v>0.1299377921383437</v>
      </c>
      <c r="D280" s="547">
        <f t="shared" si="31"/>
        <v>0.1272202013479101</v>
      </c>
      <c r="E280" s="574">
        <f t="shared" si="32"/>
        <v>-0.0027175907904335994</v>
      </c>
    </row>
    <row r="281" spans="1:5" ht="12.75">
      <c r="A281" s="512">
        <v>6</v>
      </c>
      <c r="B281" s="511" t="s">
        <v>808</v>
      </c>
      <c r="C281" s="547">
        <f t="shared" si="31"/>
        <v>0.20805350243198686</v>
      </c>
      <c r="D281" s="547">
        <f t="shared" si="31"/>
        <v>0.2900033585026091</v>
      </c>
      <c r="E281" s="574">
        <f t="shared" si="32"/>
        <v>0.08194985607062225</v>
      </c>
    </row>
    <row r="282" spans="1:5" ht="12.75">
      <c r="A282" s="512">
        <v>7</v>
      </c>
      <c r="B282" s="511" t="s">
        <v>140</v>
      </c>
      <c r="C282" s="547">
        <f t="shared" si="31"/>
        <v>0.18984226040523314</v>
      </c>
      <c r="D282" s="547">
        <f t="shared" si="31"/>
        <v>0.07386871016057278</v>
      </c>
      <c r="E282" s="574">
        <f t="shared" si="32"/>
        <v>-0.11597355024466036</v>
      </c>
    </row>
    <row r="283" spans="1:5" ht="29.25" customHeight="1">
      <c r="A283" s="512"/>
      <c r="B283" s="516" t="s">
        <v>226</v>
      </c>
      <c r="C283" s="575">
        <f t="shared" si="31"/>
        <v>0.33071017812822456</v>
      </c>
      <c r="D283" s="575">
        <f t="shared" si="31"/>
        <v>0.31780582542684854</v>
      </c>
      <c r="E283" s="576">
        <f t="shared" si="32"/>
        <v>-0.01290435270137602</v>
      </c>
    </row>
    <row r="284" spans="1:5" ht="12.75">
      <c r="A284" s="512"/>
      <c r="B284" s="516" t="s">
        <v>227</v>
      </c>
      <c r="C284" s="575">
        <f t="shared" si="31"/>
        <v>0.3435432656718961</v>
      </c>
      <c r="D284" s="575">
        <f t="shared" si="31"/>
        <v>0.34093318467466394</v>
      </c>
      <c r="E284" s="576">
        <f t="shared" si="32"/>
        <v>-0.002610080997232145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416</v>
      </c>
      <c r="B286" s="509" t="s">
        <v>228</v>
      </c>
      <c r="C286" s="520"/>
      <c r="D286" s="520"/>
      <c r="E286" s="520"/>
    </row>
    <row r="287" spans="1:5" ht="12.75">
      <c r="A287" s="512">
        <v>1</v>
      </c>
      <c r="B287" s="511" t="s">
        <v>33</v>
      </c>
      <c r="C287" s="547">
        <f aca="true" t="shared" si="33" ref="C287:D295">IF(C25=0,0,+C58/C25)</f>
        <v>0.308248588843495</v>
      </c>
      <c r="D287" s="547">
        <f t="shared" si="33"/>
        <v>0.30176180292114857</v>
      </c>
      <c r="E287" s="574">
        <f aca="true" t="shared" si="34" ref="E287:E295">D287-C287</f>
        <v>-0.006486785922346416</v>
      </c>
    </row>
    <row r="288" spans="1:5" ht="12.75">
      <c r="A288" s="512">
        <v>2</v>
      </c>
      <c r="B288" s="511" t="s">
        <v>12</v>
      </c>
      <c r="C288" s="547">
        <f t="shared" si="33"/>
        <v>0.21359274739675765</v>
      </c>
      <c r="D288" s="547">
        <f t="shared" si="33"/>
        <v>0.21824639234943147</v>
      </c>
      <c r="E288" s="574">
        <f t="shared" si="34"/>
        <v>0.004653644952673813</v>
      </c>
    </row>
    <row r="289" spans="1:5" ht="12.75">
      <c r="A289" s="512">
        <v>3</v>
      </c>
      <c r="B289" s="511" t="s">
        <v>158</v>
      </c>
      <c r="C289" s="547">
        <f t="shared" si="33"/>
        <v>0.2070688610959829</v>
      </c>
      <c r="D289" s="547">
        <f t="shared" si="33"/>
        <v>0.20217536669042563</v>
      </c>
      <c r="E289" s="574">
        <f t="shared" si="34"/>
        <v>-0.0048934944055572804</v>
      </c>
    </row>
    <row r="290" spans="1:5" ht="12.75">
      <c r="A290" s="512">
        <v>4</v>
      </c>
      <c r="B290" s="511" t="s">
        <v>504</v>
      </c>
      <c r="C290" s="547">
        <f t="shared" si="33"/>
        <v>0.2236629507736699</v>
      </c>
      <c r="D290" s="547">
        <f t="shared" si="33"/>
        <v>0.2204133963119974</v>
      </c>
      <c r="E290" s="574">
        <f t="shared" si="34"/>
        <v>-0.0032495544616724936</v>
      </c>
    </row>
    <row r="291" spans="1:5" ht="12.75">
      <c r="A291" s="512">
        <v>5</v>
      </c>
      <c r="B291" s="511" t="s">
        <v>125</v>
      </c>
      <c r="C291" s="547">
        <f t="shared" si="33"/>
        <v>0.1353150651763279</v>
      </c>
      <c r="D291" s="547">
        <f t="shared" si="33"/>
        <v>0.1256008657616705</v>
      </c>
      <c r="E291" s="574">
        <f t="shared" si="34"/>
        <v>-0.009714199414657398</v>
      </c>
    </row>
    <row r="292" spans="1:5" ht="12.75">
      <c r="A292" s="512">
        <v>6</v>
      </c>
      <c r="B292" s="511" t="s">
        <v>808</v>
      </c>
      <c r="C292" s="547">
        <f t="shared" si="33"/>
        <v>0.3079999014183436</v>
      </c>
      <c r="D292" s="547">
        <f t="shared" si="33"/>
        <v>0.265426396614805</v>
      </c>
      <c r="E292" s="574">
        <f t="shared" si="34"/>
        <v>-0.04257350480353861</v>
      </c>
    </row>
    <row r="293" spans="1:5" ht="12.75">
      <c r="A293" s="512">
        <v>7</v>
      </c>
      <c r="B293" s="511" t="s">
        <v>140</v>
      </c>
      <c r="C293" s="547">
        <f t="shared" si="33"/>
        <v>0.045974878772149695</v>
      </c>
      <c r="D293" s="547">
        <f t="shared" si="33"/>
        <v>0.05688546415174669</v>
      </c>
      <c r="E293" s="574">
        <f t="shared" si="34"/>
        <v>0.010910585379596993</v>
      </c>
    </row>
    <row r="294" spans="1:5" ht="29.25" customHeight="1">
      <c r="A294" s="512"/>
      <c r="B294" s="516" t="s">
        <v>229</v>
      </c>
      <c r="C294" s="575">
        <f t="shared" si="33"/>
        <v>0.210405543271747</v>
      </c>
      <c r="D294" s="575">
        <f t="shared" si="33"/>
        <v>0.20943412277416354</v>
      </c>
      <c r="E294" s="576">
        <f t="shared" si="34"/>
        <v>-0.0009714204975834473</v>
      </c>
    </row>
    <row r="295" spans="1:5" ht="12.75">
      <c r="A295" s="512"/>
      <c r="B295" s="516" t="s">
        <v>230</v>
      </c>
      <c r="C295" s="575">
        <f t="shared" si="33"/>
        <v>0.25698085100670803</v>
      </c>
      <c r="D295" s="575">
        <f t="shared" si="33"/>
        <v>0.2527433865459274</v>
      </c>
      <c r="E295" s="576">
        <f t="shared" si="34"/>
        <v>-0.00423746446078066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231</v>
      </c>
      <c r="B297" s="501" t="s">
        <v>232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404</v>
      </c>
      <c r="B299" s="509" t="s">
        <v>233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31</v>
      </c>
      <c r="C301" s="514">
        <f>+C48+C47+C50+C51+C52+C59+C58+C61+C62+C63</f>
        <v>325647622</v>
      </c>
      <c r="D301" s="514">
        <f>+D48+D47+D50+D51+D52+D59+D58+D61+D62+D63</f>
        <v>339923369</v>
      </c>
      <c r="E301" s="514">
        <f>D301-C301</f>
        <v>14275747</v>
      </c>
    </row>
    <row r="302" spans="1:5" ht="25.5">
      <c r="A302" s="512">
        <v>2</v>
      </c>
      <c r="B302" s="511" t="s">
        <v>234</v>
      </c>
      <c r="C302" s="546">
        <f>C265</f>
        <v>3452370</v>
      </c>
      <c r="D302" s="546">
        <f>D265</f>
        <v>3383714</v>
      </c>
      <c r="E302" s="514">
        <f>D302-C302</f>
        <v>-68656</v>
      </c>
    </row>
    <row r="303" spans="1:5" ht="12.75">
      <c r="A303" s="512"/>
      <c r="B303" s="516" t="s">
        <v>235</v>
      </c>
      <c r="C303" s="517">
        <f>+C301+C302</f>
        <v>329099992</v>
      </c>
      <c r="D303" s="517">
        <f>+D301+D302</f>
        <v>343307083</v>
      </c>
      <c r="E303" s="517">
        <f>D303-C303</f>
        <v>14207091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236</v>
      </c>
      <c r="C305" s="513">
        <v>561008</v>
      </c>
      <c r="D305" s="578">
        <v>6176917</v>
      </c>
      <c r="E305" s="579">
        <f>D305-C305</f>
        <v>5615909</v>
      </c>
    </row>
    <row r="306" spans="1:5" ht="12.75">
      <c r="A306" s="512">
        <v>4</v>
      </c>
      <c r="B306" s="516" t="s">
        <v>237</v>
      </c>
      <c r="C306" s="580">
        <f>+C303+C305+C194+C190-C191</f>
        <v>362228214</v>
      </c>
      <c r="D306" s="580">
        <f>+D303+D305</f>
        <v>349484000</v>
      </c>
      <c r="E306" s="580">
        <f>D306-C306</f>
        <v>-12744214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238</v>
      </c>
      <c r="C308" s="513">
        <v>329661000</v>
      </c>
      <c r="D308" s="513">
        <v>349484000</v>
      </c>
      <c r="E308" s="514">
        <f>D308-C308</f>
        <v>19823000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239</v>
      </c>
      <c r="C310" s="581">
        <f>C306-C308</f>
        <v>32567214</v>
      </c>
      <c r="D310" s="582">
        <f>D306-D308</f>
        <v>0</v>
      </c>
      <c r="E310" s="580">
        <f>D310-C310</f>
        <v>-32567214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416</v>
      </c>
      <c r="B312" s="509" t="s">
        <v>240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241</v>
      </c>
      <c r="C314" s="514">
        <f>+C14+C15+C16+C19+C25+C26+C27+C30</f>
        <v>1040100488</v>
      </c>
      <c r="D314" s="514">
        <f>+D14+D15+D16+D19+D25+D26+D27+D30</f>
        <v>1105534503</v>
      </c>
      <c r="E314" s="514">
        <f>D314-C314</f>
        <v>65434015</v>
      </c>
    </row>
    <row r="315" spans="1:5" ht="12.75">
      <c r="A315" s="512">
        <v>2</v>
      </c>
      <c r="B315" s="583" t="s">
        <v>242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243</v>
      </c>
      <c r="C316" s="581">
        <f>C314+C315</f>
        <v>1040100488</v>
      </c>
      <c r="D316" s="581">
        <f>D314+D315</f>
        <v>1105534503</v>
      </c>
      <c r="E316" s="517">
        <f>D316-C316</f>
        <v>65434015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244</v>
      </c>
      <c r="C318" s="513">
        <v>1040100000</v>
      </c>
      <c r="D318" s="513">
        <v>1105535000</v>
      </c>
      <c r="E318" s="514">
        <f>D318-C318</f>
        <v>65435000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239</v>
      </c>
      <c r="C320" s="581">
        <f>C316-C318</f>
        <v>488</v>
      </c>
      <c r="D320" s="581">
        <f>D316-D318</f>
        <v>-497</v>
      </c>
      <c r="E320" s="517">
        <f>D320-C320</f>
        <v>-985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426</v>
      </c>
      <c r="B322" s="509" t="s">
        <v>245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246</v>
      </c>
      <c r="C324" s="513">
        <f>+C193+C194</f>
        <v>43984000</v>
      </c>
      <c r="D324" s="513">
        <f>+D193+D194</f>
        <v>48293075</v>
      </c>
      <c r="E324" s="514">
        <f>D324-C324</f>
        <v>4309075</v>
      </c>
    </row>
    <row r="325" spans="1:5" ht="12.75">
      <c r="A325" s="512">
        <v>2</v>
      </c>
      <c r="B325" s="511" t="s">
        <v>247</v>
      </c>
      <c r="C325" s="513">
        <v>370</v>
      </c>
      <c r="D325" s="513">
        <v>0</v>
      </c>
      <c r="E325" s="514">
        <f>D325-C325</f>
        <v>-370</v>
      </c>
    </row>
    <row r="326" spans="1:5" ht="12.75">
      <c r="A326" s="512"/>
      <c r="B326" s="516" t="s">
        <v>248</v>
      </c>
      <c r="C326" s="581">
        <f>C324+C325</f>
        <v>43984370</v>
      </c>
      <c r="D326" s="581">
        <f>D324+D325</f>
        <v>48293075</v>
      </c>
      <c r="E326" s="517">
        <f>D326-C326</f>
        <v>4308705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249</v>
      </c>
      <c r="C328" s="513">
        <v>43984000</v>
      </c>
      <c r="D328" s="513">
        <v>48293075</v>
      </c>
      <c r="E328" s="514">
        <f>D328-C328</f>
        <v>4309075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250</v>
      </c>
      <c r="C330" s="581">
        <f>C326-C328</f>
        <v>370</v>
      </c>
      <c r="D330" s="581">
        <f>D326-D328</f>
        <v>0</v>
      </c>
      <c r="E330" s="517">
        <f>D330-C330</f>
        <v>-370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FILING&amp;RBRIDGEPORT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390</v>
      </c>
      <c r="B2" s="705"/>
      <c r="C2" s="705"/>
      <c r="D2" s="585"/>
    </row>
    <row r="3" spans="1:4" s="338" customFormat="1" ht="15.75" customHeight="1">
      <c r="A3" s="695" t="s">
        <v>3</v>
      </c>
      <c r="B3" s="696"/>
      <c r="C3" s="697"/>
      <c r="D3" s="585"/>
    </row>
    <row r="4" spans="1:4" s="338" customFormat="1" ht="15.75" customHeight="1">
      <c r="A4" s="695" t="s">
        <v>392</v>
      </c>
      <c r="B4" s="696"/>
      <c r="C4" s="697"/>
      <c r="D4" s="585"/>
    </row>
    <row r="5" spans="1:4" s="338" customFormat="1" ht="15.75" customHeight="1">
      <c r="A5" s="695" t="s">
        <v>251</v>
      </c>
      <c r="B5" s="696"/>
      <c r="C5" s="697"/>
      <c r="D5" s="585"/>
    </row>
    <row r="6" spans="1:4" s="338" customFormat="1" ht="15.75" customHeight="1">
      <c r="A6" s="695" t="s">
        <v>252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398</v>
      </c>
      <c r="B9" s="493" t="s">
        <v>399</v>
      </c>
      <c r="C9" s="494" t="s">
        <v>253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402</v>
      </c>
      <c r="B11" s="501" t="s">
        <v>254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404</v>
      </c>
      <c r="B13" s="509" t="s">
        <v>157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33</v>
      </c>
      <c r="C14" s="513">
        <v>205433168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12</v>
      </c>
      <c r="C15" s="515">
        <v>324822789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158</v>
      </c>
      <c r="C16" s="515">
        <v>154644975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504</v>
      </c>
      <c r="C17" s="515">
        <v>129054841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125</v>
      </c>
      <c r="C18" s="515">
        <v>25590134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808</v>
      </c>
      <c r="C19" s="515">
        <v>1196962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140</v>
      </c>
      <c r="C20" s="515">
        <v>13809812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159</v>
      </c>
      <c r="C21" s="517">
        <f>SUM(C15+C16+C19)</f>
        <v>480664726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99</v>
      </c>
      <c r="C22" s="517">
        <f>SUM(C14+C21)</f>
        <v>686097894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416</v>
      </c>
      <c r="B24" s="509" t="s">
        <v>160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33</v>
      </c>
      <c r="C25" s="513">
        <v>196750213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12</v>
      </c>
      <c r="C26" s="515">
        <v>98628801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158</v>
      </c>
      <c r="C27" s="515">
        <v>123561789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504</v>
      </c>
      <c r="C28" s="515">
        <v>99793585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125</v>
      </c>
      <c r="C29" s="515">
        <v>23768204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808</v>
      </c>
      <c r="C30" s="515">
        <v>495806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140</v>
      </c>
      <c r="C31" s="518">
        <v>30854209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161</v>
      </c>
      <c r="C32" s="517">
        <f>SUM(C26+C27+C30)</f>
        <v>222686396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105</v>
      </c>
      <c r="C33" s="517">
        <f>SUM(C25+C32)</f>
        <v>419436609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426</v>
      </c>
      <c r="B35" s="509" t="s">
        <v>30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255</v>
      </c>
      <c r="C36" s="514">
        <f>SUM(C14+C25)</f>
        <v>402183381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256</v>
      </c>
      <c r="C37" s="518">
        <f>SUM(C21+C32)</f>
        <v>703351122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30</v>
      </c>
      <c r="C38" s="517">
        <f>SUM(+C36+C37)</f>
        <v>1105534503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711</v>
      </c>
      <c r="B40" s="509" t="s">
        <v>170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33</v>
      </c>
      <c r="C41" s="513">
        <v>81155490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12</v>
      </c>
      <c r="C42" s="515">
        <v>115290249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158</v>
      </c>
      <c r="C43" s="515">
        <v>37120678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504</v>
      </c>
      <c r="C44" s="515">
        <v>33865096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125</v>
      </c>
      <c r="C45" s="515">
        <v>3255582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808</v>
      </c>
      <c r="C46" s="515">
        <v>347123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140</v>
      </c>
      <c r="C47" s="515">
        <v>1020113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171</v>
      </c>
      <c r="C48" s="517">
        <f>SUM(C42+C43+C46)</f>
        <v>152758050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100</v>
      </c>
      <c r="C49" s="517">
        <f>SUM(C41+C48)</f>
        <v>233913540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732</v>
      </c>
      <c r="B51" s="509" t="s">
        <v>172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33</v>
      </c>
      <c r="C52" s="513">
        <v>59371699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12</v>
      </c>
      <c r="C53" s="515">
        <v>21525380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158</v>
      </c>
      <c r="C54" s="515">
        <v>24981150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504</v>
      </c>
      <c r="C55" s="515">
        <v>21995843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125</v>
      </c>
      <c r="C56" s="515">
        <v>2985307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808</v>
      </c>
      <c r="C57" s="515">
        <v>131600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140</v>
      </c>
      <c r="C58" s="515">
        <v>1755156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173</v>
      </c>
      <c r="C59" s="517">
        <f>SUM(C53+C54+C57)</f>
        <v>46638130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106</v>
      </c>
      <c r="C60" s="517">
        <f>SUM(C52+C59)</f>
        <v>106009829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744</v>
      </c>
      <c r="B62" s="521" t="s">
        <v>31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257</v>
      </c>
      <c r="C63" s="514">
        <f>SUM(C41+C52)</f>
        <v>140527189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258</v>
      </c>
      <c r="C64" s="518">
        <f>SUM(C48+C59)</f>
        <v>199396180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31</v>
      </c>
      <c r="C65" s="517">
        <f>SUM(+C63+C64)</f>
        <v>339923369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434</v>
      </c>
      <c r="B67" s="501" t="s">
        <v>259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404</v>
      </c>
      <c r="B69" s="509" t="s">
        <v>260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33</v>
      </c>
      <c r="C70" s="530">
        <v>7016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12</v>
      </c>
      <c r="C71" s="530">
        <v>7107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158</v>
      </c>
      <c r="C72" s="530">
        <v>5662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504</v>
      </c>
      <c r="C73" s="530">
        <v>4962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125</v>
      </c>
      <c r="C74" s="530">
        <v>700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808</v>
      </c>
      <c r="C75" s="545">
        <v>23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140</v>
      </c>
      <c r="C76" s="545">
        <v>398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188</v>
      </c>
      <c r="C77" s="532">
        <f>SUM(C71+C72+C75)</f>
        <v>12792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102</v>
      </c>
      <c r="C78" s="596">
        <f>SUM(C70+C77)</f>
        <v>19808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416</v>
      </c>
      <c r="B80" s="509" t="s">
        <v>193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33</v>
      </c>
      <c r="C81" s="541">
        <v>1.13717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12</v>
      </c>
      <c r="C82" s="541">
        <v>1.64252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158</v>
      </c>
      <c r="C83" s="541">
        <f>((C73*C84)+(C74*C85))/(C73+C74)</f>
        <v>0.9557791133874955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504</v>
      </c>
      <c r="C84" s="541">
        <v>0.96157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125</v>
      </c>
      <c r="C85" s="541">
        <v>0.91473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808</v>
      </c>
      <c r="C86" s="541">
        <v>1.42796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140</v>
      </c>
      <c r="C87" s="541">
        <v>1.21574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194</v>
      </c>
      <c r="C88" s="543">
        <f>((C71*C82)+(C73*C84)+(C74*C85)+(C75*C86))/(C71+C73+C74+C75)</f>
        <v>1.3381687038774233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103</v>
      </c>
      <c r="C89" s="543">
        <f>((C70*C81)+(C71*C82)+(C73*C84)+(C74*C85)+(C75*C86))/(C70+C71+C73+C74+C75)</f>
        <v>1.2669748980210016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426</v>
      </c>
      <c r="B91" s="509" t="s">
        <v>195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196</v>
      </c>
      <c r="C92" s="513">
        <v>340205958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197</v>
      </c>
      <c r="C93" s="546">
        <v>137366697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45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129</v>
      </c>
      <c r="C95" s="513">
        <f>+C92-C93</f>
        <v>202839261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47</v>
      </c>
      <c r="C96" s="597">
        <f>(+C92-C93)/C92</f>
        <v>0.5962248932747968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144</v>
      </c>
      <c r="C98" s="513">
        <v>1218589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130</v>
      </c>
      <c r="C99" s="513">
        <v>833366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261</v>
      </c>
      <c r="C101" s="513">
        <v>3383714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199</v>
      </c>
      <c r="C103" s="513">
        <v>15999852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200</v>
      </c>
      <c r="C104" s="513">
        <v>32293223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201</v>
      </c>
      <c r="C105" s="578">
        <f>+C103+C104</f>
        <v>48293075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202</v>
      </c>
      <c r="C107" s="513">
        <v>6491465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87</v>
      </c>
      <c r="C108" s="513">
        <v>351055000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525</v>
      </c>
      <c r="B110" s="501" t="s">
        <v>232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404</v>
      </c>
      <c r="B112" s="509" t="s">
        <v>233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31</v>
      </c>
      <c r="C114" s="514">
        <f>+C65</f>
        <v>339923369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234</v>
      </c>
      <c r="C115" s="546">
        <f>+C101</f>
        <v>3383714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235</v>
      </c>
      <c r="C116" s="517">
        <f>+C114+C115</f>
        <v>343307083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236</v>
      </c>
      <c r="C118" s="578">
        <v>6176917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237</v>
      </c>
      <c r="C119" s="580">
        <f>+C116+C118</f>
        <v>349484000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238</v>
      </c>
      <c r="C121" s="513">
        <v>349484000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239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416</v>
      </c>
      <c r="B125" s="509" t="s">
        <v>240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241</v>
      </c>
      <c r="C127" s="514">
        <f>+C38</f>
        <v>1105534503</v>
      </c>
      <c r="D127" s="588"/>
      <c r="AR127" s="507"/>
    </row>
    <row r="128" spans="1:44" s="506" customFormat="1" ht="12.75">
      <c r="A128" s="512">
        <v>2</v>
      </c>
      <c r="B128" s="583" t="s">
        <v>242</v>
      </c>
      <c r="C128" s="513">
        <v>0</v>
      </c>
      <c r="D128" s="588"/>
      <c r="AR128" s="507"/>
    </row>
    <row r="129" spans="1:44" s="506" customFormat="1" ht="12.75">
      <c r="A129" s="512"/>
      <c r="B129" s="516" t="s">
        <v>243</v>
      </c>
      <c r="C129" s="581">
        <f>C127+C128</f>
        <v>1105534503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244</v>
      </c>
      <c r="C131" s="513">
        <v>1105535000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239</v>
      </c>
      <c r="C133" s="581">
        <f>C129-C131</f>
        <v>-497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426</v>
      </c>
      <c r="B135" s="509" t="s">
        <v>245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246</v>
      </c>
      <c r="C137" s="513">
        <f>C105</f>
        <v>48293075</v>
      </c>
      <c r="D137" s="588"/>
      <c r="AR137" s="507"/>
    </row>
    <row r="138" spans="1:44" s="506" customFormat="1" ht="12.75">
      <c r="A138" s="512">
        <v>2</v>
      </c>
      <c r="B138" s="511" t="s">
        <v>262</v>
      </c>
      <c r="C138" s="513">
        <v>0</v>
      </c>
      <c r="D138" s="588"/>
      <c r="AR138" s="507"/>
    </row>
    <row r="139" spans="1:44" s="506" customFormat="1" ht="12.75">
      <c r="A139" s="512"/>
      <c r="B139" s="516" t="s">
        <v>248</v>
      </c>
      <c r="C139" s="581">
        <f>C137+C138</f>
        <v>48293075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263</v>
      </c>
      <c r="C141" s="513">
        <v>48293075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250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FILING&amp;RBRIDGEPORT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3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390</v>
      </c>
      <c r="B2" s="715"/>
      <c r="C2" s="715"/>
      <c r="D2" s="715"/>
      <c r="E2" s="715"/>
      <c r="F2" s="716"/>
    </row>
    <row r="3" spans="1:6" ht="15.75" customHeight="1">
      <c r="A3" s="714" t="s">
        <v>3</v>
      </c>
      <c r="B3" s="715"/>
      <c r="C3" s="715"/>
      <c r="D3" s="715"/>
      <c r="E3" s="715"/>
      <c r="F3" s="716"/>
    </row>
    <row r="4" spans="1:6" ht="15.75" customHeight="1">
      <c r="A4" s="714" t="s">
        <v>4</v>
      </c>
      <c r="B4" s="715"/>
      <c r="C4" s="715"/>
      <c r="D4" s="715"/>
      <c r="E4" s="715"/>
      <c r="F4" s="716"/>
    </row>
    <row r="5" spans="1:6" ht="15.75" customHeight="1">
      <c r="A5" s="714" t="s">
        <v>264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</v>
      </c>
      <c r="D8" s="35" t="s">
        <v>7</v>
      </c>
      <c r="E8" s="35" t="s">
        <v>396</v>
      </c>
      <c r="F8" s="35" t="s">
        <v>397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398</v>
      </c>
      <c r="B9" s="606" t="s">
        <v>399</v>
      </c>
      <c r="C9" s="607" t="s">
        <v>9</v>
      </c>
      <c r="D9" s="607" t="s">
        <v>10</v>
      </c>
      <c r="E9" s="605" t="s">
        <v>401</v>
      </c>
      <c r="F9" s="605" t="s">
        <v>401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404</v>
      </c>
      <c r="B11" s="606" t="s">
        <v>265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266</v>
      </c>
      <c r="C12" s="49">
        <v>1637</v>
      </c>
      <c r="D12" s="49">
        <v>1815</v>
      </c>
      <c r="E12" s="49">
        <f>+D12-C12</f>
        <v>178</v>
      </c>
      <c r="F12" s="70">
        <f>IF(C12=0,0,+E12/C12)</f>
        <v>0.10873549175320708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267</v>
      </c>
      <c r="C13" s="49">
        <v>1069</v>
      </c>
      <c r="D13" s="49">
        <v>1149</v>
      </c>
      <c r="E13" s="49">
        <f>+D13-C13</f>
        <v>80</v>
      </c>
      <c r="F13" s="70">
        <f>IF(C13=0,0,+E13/C13)</f>
        <v>0.07483629560336763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268</v>
      </c>
      <c r="C15" s="51">
        <v>11818000</v>
      </c>
      <c r="D15" s="51">
        <v>15999852</v>
      </c>
      <c r="E15" s="51">
        <f>+D15-C15</f>
        <v>4181852</v>
      </c>
      <c r="F15" s="70">
        <f>IF(C15=0,0,+E15/C15)</f>
        <v>0.3538544592993738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269</v>
      </c>
      <c r="C16" s="27">
        <f>IF(C13=0,0,+C15/+C13)</f>
        <v>11055.191768007484</v>
      </c>
      <c r="D16" s="27">
        <f>IF(D13=0,0,+D15/+D13)</f>
        <v>13925.023498694516</v>
      </c>
      <c r="E16" s="27">
        <f>+D16-C16</f>
        <v>2869.831730687032</v>
      </c>
      <c r="F16" s="28">
        <f>IF(C16=0,0,+E16/C16)</f>
        <v>0.2595913115674765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270</v>
      </c>
      <c r="C18" s="210">
        <v>0.319114</v>
      </c>
      <c r="D18" s="210">
        <v>0.318348</v>
      </c>
      <c r="E18" s="210">
        <f>+D18-C18</f>
        <v>-0.0007659999999999889</v>
      </c>
      <c r="F18" s="70">
        <f>IF(C18=0,0,+E18/C18)</f>
        <v>-0.0024003960966926833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271</v>
      </c>
      <c r="C19" s="27">
        <f>+C15*C18</f>
        <v>3771289.2520000003</v>
      </c>
      <c r="D19" s="27">
        <f>+D15*D18</f>
        <v>5093520.884496001</v>
      </c>
      <c r="E19" s="27">
        <f>+D19-C19</f>
        <v>1322231.6324960003</v>
      </c>
      <c r="F19" s="28">
        <f>IF(C19=0,0,+E19/C19)</f>
        <v>0.35060467233978165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272</v>
      </c>
      <c r="C20" s="27">
        <f>IF(C13=0,0,+C19/C13)</f>
        <v>3527.8664658559405</v>
      </c>
      <c r="D20" s="27">
        <f>IF(D13=0,0,+D19/D13)</f>
        <v>4433.003380762402</v>
      </c>
      <c r="E20" s="27">
        <f>+D20-C20</f>
        <v>905.1369149064617</v>
      </c>
      <c r="F20" s="28">
        <f>IF(C20=0,0,+E20/C20)</f>
        <v>0.2565677934997619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273</v>
      </c>
      <c r="C22" s="51">
        <v>632073</v>
      </c>
      <c r="D22" s="51">
        <v>782393</v>
      </c>
      <c r="E22" s="51">
        <f>+D22-C22</f>
        <v>150320</v>
      </c>
      <c r="F22" s="70">
        <f>IF(C22=0,0,+E22/C22)</f>
        <v>0.23782063147769325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274</v>
      </c>
      <c r="C23" s="49">
        <v>7669146</v>
      </c>
      <c r="D23" s="49">
        <v>9652710</v>
      </c>
      <c r="E23" s="49">
        <f>+D23-C23</f>
        <v>1983564</v>
      </c>
      <c r="F23" s="70">
        <f>IF(C23=0,0,+E23/C23)</f>
        <v>0.25864209652548015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275</v>
      </c>
      <c r="C24" s="49">
        <v>3516781</v>
      </c>
      <c r="D24" s="49">
        <v>5564749</v>
      </c>
      <c r="E24" s="49">
        <f>+D24-C24</f>
        <v>2047968</v>
      </c>
      <c r="F24" s="70">
        <f>IF(C24=0,0,+E24/C24)</f>
        <v>0.5823416357174359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268</v>
      </c>
      <c r="C25" s="27">
        <f>+C22+C23+C24</f>
        <v>11818000</v>
      </c>
      <c r="D25" s="27">
        <f>+D22+D23+D24</f>
        <v>15999852</v>
      </c>
      <c r="E25" s="27">
        <f>+E22+E23+E24</f>
        <v>4181852</v>
      </c>
      <c r="F25" s="28">
        <f>IF(C25=0,0,+E25/C25)</f>
        <v>0.3538544592993738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276</v>
      </c>
      <c r="C27" s="49">
        <v>2397</v>
      </c>
      <c r="D27" s="49">
        <v>2668</v>
      </c>
      <c r="E27" s="49">
        <f>+D27-C27</f>
        <v>271</v>
      </c>
      <c r="F27" s="70">
        <f>IF(C27=0,0,+E27/C27)</f>
        <v>0.11305798915310805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277</v>
      </c>
      <c r="C28" s="49">
        <v>360</v>
      </c>
      <c r="D28" s="49">
        <v>370</v>
      </c>
      <c r="E28" s="49">
        <f>+D28-C28</f>
        <v>10</v>
      </c>
      <c r="F28" s="70">
        <f>IF(C28=0,0,+E28/C28)</f>
        <v>0.027777777777777776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278</v>
      </c>
      <c r="C29" s="49">
        <v>2003</v>
      </c>
      <c r="D29" s="49">
        <v>2459</v>
      </c>
      <c r="E29" s="49">
        <f>+D29-C29</f>
        <v>456</v>
      </c>
      <c r="F29" s="70">
        <f>IF(C29=0,0,+E29/C29)</f>
        <v>0.2276585122316525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279</v>
      </c>
      <c r="C30" s="49">
        <v>4368</v>
      </c>
      <c r="D30" s="49">
        <v>4745</v>
      </c>
      <c r="E30" s="49">
        <f>+D30-C30</f>
        <v>377</v>
      </c>
      <c r="F30" s="70">
        <f>IF(C30=0,0,+E30/C30)</f>
        <v>0.08630952380952381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416</v>
      </c>
      <c r="B32" s="606" t="s">
        <v>280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281</v>
      </c>
      <c r="C33" s="51">
        <v>1720362</v>
      </c>
      <c r="D33" s="51">
        <v>1579139</v>
      </c>
      <c r="E33" s="51">
        <f>+D33-C33</f>
        <v>-141223</v>
      </c>
      <c r="F33" s="70">
        <f>IF(C33=0,0,+E33/C33)</f>
        <v>-0.08208911845297676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282</v>
      </c>
      <c r="C34" s="49">
        <v>20873732</v>
      </c>
      <c r="D34" s="49">
        <v>19482501</v>
      </c>
      <c r="E34" s="49">
        <f>+D34-C34</f>
        <v>-1391231</v>
      </c>
      <c r="F34" s="70">
        <f>IF(C34=0,0,+E34/C34)</f>
        <v>-0.0666498448863864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283</v>
      </c>
      <c r="C35" s="49">
        <v>9571906</v>
      </c>
      <c r="D35" s="49">
        <v>11231583</v>
      </c>
      <c r="E35" s="49">
        <f>+D35-C35</f>
        <v>1659677</v>
      </c>
      <c r="F35" s="70">
        <f>IF(C35=0,0,+E35/C35)</f>
        <v>0.17339044073353835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284</v>
      </c>
      <c r="C36" s="27">
        <f>+C33+C34+C35</f>
        <v>32166000</v>
      </c>
      <c r="D36" s="27">
        <f>+D33+D34+D35</f>
        <v>32293223</v>
      </c>
      <c r="E36" s="27">
        <f>+E33+E34+E35</f>
        <v>127223</v>
      </c>
      <c r="F36" s="28">
        <f>IF(C36=0,0,+E36/C36)</f>
        <v>0.003955201144065162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426</v>
      </c>
      <c r="B38" s="606" t="s">
        <v>285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286</v>
      </c>
      <c r="C39" s="51">
        <f>+C25</f>
        <v>11818000</v>
      </c>
      <c r="D39" s="51">
        <f>+D25</f>
        <v>15999852</v>
      </c>
      <c r="E39" s="51">
        <f>+D39-C39</f>
        <v>4181852</v>
      </c>
      <c r="F39" s="70">
        <f>IF(C39=0,0,+E39/C39)</f>
        <v>0.3538544592993738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287</v>
      </c>
      <c r="C40" s="49">
        <f>+C36</f>
        <v>32166000</v>
      </c>
      <c r="D40" s="49">
        <f>+D36</f>
        <v>32293223</v>
      </c>
      <c r="E40" s="49">
        <f>+D40-C40</f>
        <v>127223</v>
      </c>
      <c r="F40" s="70">
        <f>IF(C40=0,0,+E40/C40)</f>
        <v>0.003955201144065162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288</v>
      </c>
      <c r="C41" s="27">
        <f>+C39+C40</f>
        <v>43984000</v>
      </c>
      <c r="D41" s="27">
        <f>+D39+D40</f>
        <v>48293075</v>
      </c>
      <c r="E41" s="27">
        <f>+E39+E40</f>
        <v>4309075</v>
      </c>
      <c r="F41" s="28">
        <f>IF(C41=0,0,+E41/C41)</f>
        <v>0.09796914787195343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289</v>
      </c>
      <c r="C43" s="51">
        <f aca="true" t="shared" si="0" ref="C43:D45">+C22+C33</f>
        <v>2352435</v>
      </c>
      <c r="D43" s="51">
        <f t="shared" si="0"/>
        <v>2361532</v>
      </c>
      <c r="E43" s="51">
        <f>+D43-C43</f>
        <v>9097</v>
      </c>
      <c r="F43" s="70">
        <f>IF(C43=0,0,+E43/C43)</f>
        <v>0.003867056900615745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290</v>
      </c>
      <c r="C44" s="49">
        <f t="shared" si="0"/>
        <v>28542878</v>
      </c>
      <c r="D44" s="49">
        <f t="shared" si="0"/>
        <v>29135211</v>
      </c>
      <c r="E44" s="49">
        <f>+D44-C44</f>
        <v>592333</v>
      </c>
      <c r="F44" s="70">
        <f>IF(C44=0,0,+E44/C44)</f>
        <v>0.02075239224299666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291</v>
      </c>
      <c r="C45" s="49">
        <f t="shared" si="0"/>
        <v>13088687</v>
      </c>
      <c r="D45" s="49">
        <f t="shared" si="0"/>
        <v>16796332</v>
      </c>
      <c r="E45" s="49">
        <f>+D45-C45</f>
        <v>3707645</v>
      </c>
      <c r="F45" s="70">
        <f>IF(C45=0,0,+E45/C45)</f>
        <v>0.28327096522363165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288</v>
      </c>
      <c r="C46" s="27">
        <f>+C43+C44+C45</f>
        <v>43984000</v>
      </c>
      <c r="D46" s="27">
        <f>+D43+D44+D45</f>
        <v>48293075</v>
      </c>
      <c r="E46" s="27">
        <f>+E43+E44+E45</f>
        <v>4309075</v>
      </c>
      <c r="F46" s="28">
        <f>IF(C46=0,0,+E46/C46)</f>
        <v>0.09796914787195343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292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FILING&amp;RBRIDGEPORT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390</v>
      </c>
      <c r="B2" s="715"/>
      <c r="C2" s="715"/>
      <c r="D2" s="715"/>
      <c r="E2" s="715"/>
      <c r="F2" s="716"/>
    </row>
    <row r="3" spans="1:6" ht="15.75" customHeight="1">
      <c r="A3" s="714" t="s">
        <v>3</v>
      </c>
      <c r="B3" s="715"/>
      <c r="C3" s="715"/>
      <c r="D3" s="715"/>
      <c r="E3" s="715"/>
      <c r="F3" s="716"/>
    </row>
    <row r="4" spans="1:6" ht="15.75" customHeight="1">
      <c r="A4" s="714" t="s">
        <v>4</v>
      </c>
      <c r="B4" s="715"/>
      <c r="C4" s="715"/>
      <c r="D4" s="715"/>
      <c r="E4" s="715"/>
      <c r="F4" s="716"/>
    </row>
    <row r="5" spans="1:6" ht="15.75" customHeight="1">
      <c r="A5" s="714" t="s">
        <v>293</v>
      </c>
      <c r="B5" s="715"/>
      <c r="C5" s="715"/>
      <c r="D5" s="715"/>
      <c r="E5" s="715"/>
      <c r="F5" s="716"/>
    </row>
    <row r="6" spans="1:6" ht="15.75" customHeight="1">
      <c r="A6" s="714" t="s">
        <v>294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9</v>
      </c>
      <c r="D9" s="35" t="s">
        <v>10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295</v>
      </c>
      <c r="D10" s="35" t="s">
        <v>295</v>
      </c>
      <c r="E10" s="35" t="s">
        <v>396</v>
      </c>
      <c r="F10" s="35" t="s">
        <v>397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398</v>
      </c>
      <c r="B11" s="606" t="s">
        <v>399</v>
      </c>
      <c r="C11" s="605" t="s">
        <v>296</v>
      </c>
      <c r="D11" s="605" t="s">
        <v>296</v>
      </c>
      <c r="E11" s="605" t="s">
        <v>401</v>
      </c>
      <c r="F11" s="605" t="s">
        <v>401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297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715</v>
      </c>
      <c r="C15" s="51">
        <v>331733199</v>
      </c>
      <c r="D15" s="51">
        <v>340205958</v>
      </c>
      <c r="E15" s="51">
        <f>+D15-C15</f>
        <v>8472759</v>
      </c>
      <c r="F15" s="70">
        <f>+E15/C15</f>
        <v>0.02554088353393897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894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298</v>
      </c>
      <c r="C17" s="51">
        <v>210619713</v>
      </c>
      <c r="D17" s="51">
        <v>202839261</v>
      </c>
      <c r="E17" s="51">
        <f>+D17-C17</f>
        <v>-7780452</v>
      </c>
      <c r="F17" s="70">
        <f>+E17/C17</f>
        <v>-0.0369407587218581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299</v>
      </c>
      <c r="C19" s="27">
        <f>+C15-C17</f>
        <v>121113486</v>
      </c>
      <c r="D19" s="27">
        <f>+D15-D17</f>
        <v>137366697</v>
      </c>
      <c r="E19" s="27">
        <f>+D19-C19</f>
        <v>16253211</v>
      </c>
      <c r="F19" s="28">
        <f>+E19/C19</f>
        <v>0.13419819325487833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300</v>
      </c>
      <c r="C21" s="628">
        <f>+C17/C15</f>
        <v>0.6349069482189511</v>
      </c>
      <c r="D21" s="628">
        <f>+D17/D15</f>
        <v>0.5962248932747968</v>
      </c>
      <c r="E21" s="628">
        <f>+D21-C21</f>
        <v>-0.03868205494415433</v>
      </c>
      <c r="F21" s="28">
        <f>+E21/C21</f>
        <v>-0.06092554988201927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894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894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894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894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301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FILING&amp;R&amp;12BRIDGEPORT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3" width="18.28125" style="0" customWidth="1"/>
    <col min="4" max="5" width="19.421875" style="0" bestFit="1" customWidth="1"/>
  </cols>
  <sheetData>
    <row r="1" spans="1:6" ht="25.5" customHeight="1">
      <c r="A1" s="718" t="s">
        <v>390</v>
      </c>
      <c r="B1" s="718"/>
      <c r="C1" s="718"/>
      <c r="D1" s="718"/>
      <c r="E1" s="718"/>
      <c r="F1" s="630"/>
    </row>
    <row r="2" spans="1:6" ht="25.5" customHeight="1">
      <c r="A2" s="718" t="s">
        <v>391</v>
      </c>
      <c r="B2" s="718"/>
      <c r="C2" s="718"/>
      <c r="D2" s="718"/>
      <c r="E2" s="718"/>
      <c r="F2" s="630"/>
    </row>
    <row r="3" spans="1:6" ht="25.5" customHeight="1">
      <c r="A3" s="718" t="s">
        <v>392</v>
      </c>
      <c r="B3" s="718"/>
      <c r="C3" s="718"/>
      <c r="D3" s="718"/>
      <c r="E3" s="718"/>
      <c r="F3" s="630"/>
    </row>
    <row r="4" spans="1:6" ht="25.5" customHeight="1">
      <c r="A4" s="718" t="s">
        <v>302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303</v>
      </c>
      <c r="B6" s="632" t="s">
        <v>304</v>
      </c>
      <c r="C6" s="632" t="s">
        <v>305</v>
      </c>
      <c r="D6" s="632" t="s">
        <v>306</v>
      </c>
      <c r="E6" s="632" t="s">
        <v>307</v>
      </c>
    </row>
    <row r="7" spans="1:5" ht="37.5" customHeight="1">
      <c r="A7" s="633" t="s">
        <v>398</v>
      </c>
      <c r="B7" s="634" t="s">
        <v>308</v>
      </c>
      <c r="C7" s="631" t="s">
        <v>309</v>
      </c>
      <c r="D7" s="631" t="s">
        <v>310</v>
      </c>
      <c r="E7" s="631" t="s">
        <v>311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404</v>
      </c>
      <c r="B9" s="637" t="s">
        <v>312</v>
      </c>
      <c r="C9" s="638"/>
      <c r="D9" s="638"/>
      <c r="E9" s="638"/>
    </row>
    <row r="10" spans="1:5" ht="25.5" customHeight="1">
      <c r="A10" s="639">
        <v>1</v>
      </c>
      <c r="B10" s="640" t="s">
        <v>313</v>
      </c>
      <c r="C10" s="641">
        <v>609554006</v>
      </c>
      <c r="D10" s="641">
        <v>674215405</v>
      </c>
      <c r="E10" s="641">
        <v>686097894</v>
      </c>
    </row>
    <row r="11" spans="1:5" ht="25.5" customHeight="1">
      <c r="A11" s="639">
        <v>2</v>
      </c>
      <c r="B11" s="640" t="s">
        <v>314</v>
      </c>
      <c r="C11" s="641">
        <v>317670451</v>
      </c>
      <c r="D11" s="641">
        <v>365885083</v>
      </c>
      <c r="E11" s="641">
        <v>419436609</v>
      </c>
    </row>
    <row r="12" spans="1:5" ht="25.5" customHeight="1">
      <c r="A12" s="639">
        <v>3</v>
      </c>
      <c r="B12" s="640" t="s">
        <v>461</v>
      </c>
      <c r="C12" s="641">
        <f>+C11+C10</f>
        <v>927224457</v>
      </c>
      <c r="D12" s="641">
        <f>+D11+D10</f>
        <v>1040100488</v>
      </c>
      <c r="E12" s="641">
        <f>+E11+E10</f>
        <v>1105534503</v>
      </c>
    </row>
    <row r="13" spans="1:5" ht="25.5" customHeight="1">
      <c r="A13" s="639">
        <v>4</v>
      </c>
      <c r="B13" s="640" t="s">
        <v>874</v>
      </c>
      <c r="C13" s="641">
        <v>297562000</v>
      </c>
      <c r="D13" s="641">
        <v>326474000</v>
      </c>
      <c r="E13" s="641">
        <v>349484000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416</v>
      </c>
      <c r="B15" s="642" t="s">
        <v>714</v>
      </c>
      <c r="C15" s="641"/>
      <c r="D15" s="641"/>
      <c r="E15" s="641"/>
    </row>
    <row r="16" spans="1:5" ht="25.5" customHeight="1">
      <c r="A16" s="639">
        <v>1</v>
      </c>
      <c r="B16" s="640" t="s">
        <v>315</v>
      </c>
      <c r="C16" s="641">
        <v>303901000</v>
      </c>
      <c r="D16" s="641">
        <v>333509000</v>
      </c>
      <c r="E16" s="641">
        <v>351055000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426</v>
      </c>
      <c r="B18" s="642" t="s">
        <v>316</v>
      </c>
      <c r="C18" s="643"/>
      <c r="D18" s="643"/>
      <c r="E18" s="641"/>
    </row>
    <row r="19" spans="1:5" ht="25.5" customHeight="1">
      <c r="A19" s="639">
        <v>1</v>
      </c>
      <c r="B19" s="640" t="s">
        <v>762</v>
      </c>
      <c r="C19" s="644">
        <v>104291</v>
      </c>
      <c r="D19" s="644">
        <v>106845</v>
      </c>
      <c r="E19" s="644">
        <v>103601</v>
      </c>
    </row>
    <row r="20" spans="1:5" ht="25.5" customHeight="1">
      <c r="A20" s="639">
        <v>2</v>
      </c>
      <c r="B20" s="640" t="s">
        <v>763</v>
      </c>
      <c r="C20" s="645">
        <v>19675</v>
      </c>
      <c r="D20" s="645">
        <v>20022</v>
      </c>
      <c r="E20" s="645">
        <v>19808</v>
      </c>
    </row>
    <row r="21" spans="1:5" ht="25.5" customHeight="1">
      <c r="A21" s="639">
        <v>3</v>
      </c>
      <c r="B21" s="640" t="s">
        <v>317</v>
      </c>
      <c r="C21" s="646">
        <f>IF(C20=0,0,+C19/C20)</f>
        <v>5.3006861499364675</v>
      </c>
      <c r="D21" s="646">
        <f>IF(D20=0,0,+D19/D20)</f>
        <v>5.336379982019778</v>
      </c>
      <c r="E21" s="646">
        <f>IF(E20=0,0,+E19/E20)</f>
        <v>5.230260500807755</v>
      </c>
    </row>
    <row r="22" spans="1:5" ht="25.5" customHeight="1">
      <c r="A22" s="639">
        <v>4</v>
      </c>
      <c r="B22" s="640" t="s">
        <v>318</v>
      </c>
      <c r="C22" s="645">
        <f>IF(C10=0,0,C19*(C12/C10))</f>
        <v>158642.49089191778</v>
      </c>
      <c r="D22" s="645">
        <f>IF(D10=0,0,D19*(D12/D10))</f>
        <v>164827.94047157673</v>
      </c>
      <c r="E22" s="645">
        <f>IF(E10=0,0,E19*(E12/E10))</f>
        <v>166936.0612340008</v>
      </c>
    </row>
    <row r="23" spans="1:5" ht="25.5" customHeight="1">
      <c r="A23" s="639">
        <v>0</v>
      </c>
      <c r="B23" s="640" t="s">
        <v>319</v>
      </c>
      <c r="C23" s="645">
        <f>IF(C10=0,0,C20*(C12/C10))</f>
        <v>29928.670818176855</v>
      </c>
      <c r="D23" s="645">
        <f>IF(D10=0,0,D20*(D12/D10))</f>
        <v>30887.594404248295</v>
      </c>
      <c r="E23" s="645">
        <f>IF(E10=0,0,E20*(E12/E10))</f>
        <v>31917.35119277891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711</v>
      </c>
      <c r="B25" s="642" t="s">
        <v>320</v>
      </c>
      <c r="C25" s="645"/>
      <c r="D25" s="645"/>
      <c r="E25" s="645"/>
    </row>
    <row r="26" spans="1:5" ht="25.5" customHeight="1">
      <c r="A26" s="639">
        <v>1</v>
      </c>
      <c r="B26" s="640" t="s">
        <v>812</v>
      </c>
      <c r="C26" s="647">
        <v>1.2557402795425667</v>
      </c>
      <c r="D26" s="647">
        <v>1.2687761911896913</v>
      </c>
      <c r="E26" s="647">
        <v>1.2669748980210016</v>
      </c>
    </row>
    <row r="27" spans="1:5" ht="25.5" customHeight="1">
      <c r="A27" s="639">
        <v>2</v>
      </c>
      <c r="B27" s="640" t="s">
        <v>321</v>
      </c>
      <c r="C27" s="645">
        <f>C19*C26</f>
        <v>130962.40949377383</v>
      </c>
      <c r="D27" s="645">
        <f>D19*D26</f>
        <v>135562.39214766255</v>
      </c>
      <c r="E27" s="645">
        <f>E19*E26</f>
        <v>131259.8664098738</v>
      </c>
    </row>
    <row r="28" spans="1:5" ht="25.5" customHeight="1">
      <c r="A28" s="639">
        <v>3</v>
      </c>
      <c r="B28" s="640" t="s">
        <v>322</v>
      </c>
      <c r="C28" s="645">
        <f>C20*C26</f>
        <v>24706.69</v>
      </c>
      <c r="D28" s="645">
        <f>D20*D26</f>
        <v>25403.4369</v>
      </c>
      <c r="E28" s="645">
        <f>E20*E26</f>
        <v>25096.23878</v>
      </c>
    </row>
    <row r="29" spans="1:5" ht="25.5" customHeight="1">
      <c r="A29" s="639">
        <v>4</v>
      </c>
      <c r="B29" s="640" t="s">
        <v>323</v>
      </c>
      <c r="C29" s="645">
        <f>C22*C26</f>
        <v>199213.76585994594</v>
      </c>
      <c r="D29" s="645">
        <f>D22*D26</f>
        <v>209129.7665131683</v>
      </c>
      <c r="E29" s="645">
        <f>E22*E26</f>
        <v>211503.79915797585</v>
      </c>
    </row>
    <row r="30" spans="1:5" ht="25.5" customHeight="1">
      <c r="A30" s="639">
        <v>5</v>
      </c>
      <c r="B30" s="640" t="s">
        <v>324</v>
      </c>
      <c r="C30" s="645">
        <f>C23*C26</f>
        <v>37582.63745955486</v>
      </c>
      <c r="D30" s="645">
        <f>D23*D26</f>
        <v>39189.44438323417</v>
      </c>
      <c r="E30" s="645">
        <f>E23*E26</f>
        <v>40438.48277257156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732</v>
      </c>
      <c r="B32" s="634" t="s">
        <v>325</v>
      </c>
      <c r="C32" s="648"/>
      <c r="D32" s="648"/>
      <c r="E32" s="645"/>
    </row>
    <row r="33" spans="1:5" ht="25.5" customHeight="1">
      <c r="A33" s="639">
        <v>1</v>
      </c>
      <c r="B33" s="640" t="s">
        <v>326</v>
      </c>
      <c r="C33" s="641">
        <f>IF(C19=0,0,C12/C19)</f>
        <v>8890.74279659798</v>
      </c>
      <c r="D33" s="641">
        <f>IF(D19=0,0,D12/D19)</f>
        <v>9734.666928728531</v>
      </c>
      <c r="E33" s="641">
        <f>IF(E19=0,0,E12/E19)</f>
        <v>10671.079458692484</v>
      </c>
    </row>
    <row r="34" spans="1:5" ht="25.5" customHeight="1">
      <c r="A34" s="639">
        <v>2</v>
      </c>
      <c r="B34" s="640" t="s">
        <v>327</v>
      </c>
      <c r="C34" s="641">
        <f>IF(C20=0,0,C12/C20)</f>
        <v>47127.037204574335</v>
      </c>
      <c r="D34" s="641">
        <f>IF(D20=0,0,D12/D20)</f>
        <v>51947.881730096895</v>
      </c>
      <c r="E34" s="641">
        <f>IF(E20=0,0,E12/E20)</f>
        <v>55812.52539378029</v>
      </c>
    </row>
    <row r="35" spans="1:5" ht="25.5" customHeight="1">
      <c r="A35" s="639">
        <v>3</v>
      </c>
      <c r="B35" s="640" t="s">
        <v>328</v>
      </c>
      <c r="C35" s="641">
        <f>IF(C22=0,0,C12/C22)</f>
        <v>5844.7421733419</v>
      </c>
      <c r="D35" s="641">
        <f>IF(D22=0,0,D12/D22)</f>
        <v>6310.2195236089665</v>
      </c>
      <c r="E35" s="641">
        <f>IF(E22=0,0,E12/E22)</f>
        <v>6622.502620631075</v>
      </c>
    </row>
    <row r="36" spans="1:5" ht="25.5" customHeight="1">
      <c r="A36" s="639">
        <v>4</v>
      </c>
      <c r="B36" s="640" t="s">
        <v>329</v>
      </c>
      <c r="C36" s="641">
        <f>IF(C23=0,0,C12/C23)</f>
        <v>30981.143888182974</v>
      </c>
      <c r="D36" s="641">
        <f>IF(D23=0,0,D12/D23)</f>
        <v>33673.72914793727</v>
      </c>
      <c r="E36" s="641">
        <f>IF(E23=0,0,E12/E23)</f>
        <v>34637.41387318255</v>
      </c>
    </row>
    <row r="37" spans="1:5" ht="25.5" customHeight="1">
      <c r="A37" s="639">
        <v>5</v>
      </c>
      <c r="B37" s="640" t="s">
        <v>330</v>
      </c>
      <c r="C37" s="641">
        <f>IF(C29=0,0,C12/C29)</f>
        <v>4654.41960296996</v>
      </c>
      <c r="D37" s="641">
        <f>IF(D29=0,0,D12/D29)</f>
        <v>4973.469369481211</v>
      </c>
      <c r="E37" s="641">
        <f>IF(E29=0,0,E12/E29)</f>
        <v>5227.019596817063</v>
      </c>
    </row>
    <row r="38" spans="1:5" ht="25.5" customHeight="1">
      <c r="A38" s="639">
        <v>6</v>
      </c>
      <c r="B38" s="640" t="s">
        <v>331</v>
      </c>
      <c r="C38" s="641">
        <f>IF(C30=0,0,C12/C30)</f>
        <v>24671.61752545566</v>
      </c>
      <c r="D38" s="641">
        <f>IF(D30=0,0,D12/D30)</f>
        <v>26540.322384488067</v>
      </c>
      <c r="E38" s="641">
        <f>IF(E30=0,0,E12/E30)</f>
        <v>27338.674134180357</v>
      </c>
    </row>
    <row r="39" spans="1:5" ht="25.5" customHeight="1">
      <c r="A39" s="639">
        <v>7</v>
      </c>
      <c r="B39" s="640" t="s">
        <v>332</v>
      </c>
      <c r="C39" s="641">
        <f>IF(C22=0,0,C10/C22)</f>
        <v>3842.3123752846623</v>
      </c>
      <c r="D39" s="641">
        <f>IF(D22=0,0,D10/D22)</f>
        <v>4090.4193977735413</v>
      </c>
      <c r="E39" s="641">
        <f>IF(E22=0,0,E10/E22)</f>
        <v>4109.944184188398</v>
      </c>
    </row>
    <row r="40" spans="1:5" ht="25.5" customHeight="1">
      <c r="A40" s="639">
        <v>8</v>
      </c>
      <c r="B40" s="640" t="s">
        <v>333</v>
      </c>
      <c r="C40" s="641">
        <f>IF(C23=0,0,C10/C23)</f>
        <v>20366.8919914009</v>
      </c>
      <c r="D40" s="641">
        <f>IF(D23=0,0,D10/D23)</f>
        <v>21828.032192344122</v>
      </c>
      <c r="E40" s="641">
        <f>IF(E23=0,0,E10/E23)</f>
        <v>21496.078727085132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744</v>
      </c>
      <c r="B42" s="634" t="s">
        <v>334</v>
      </c>
      <c r="C42" s="641"/>
      <c r="D42" s="641"/>
      <c r="E42" s="641"/>
    </row>
    <row r="43" spans="1:5" ht="25.5" customHeight="1">
      <c r="A43" s="639">
        <v>1</v>
      </c>
      <c r="B43" s="640" t="s">
        <v>335</v>
      </c>
      <c r="C43" s="641">
        <f>IF(C19=0,0,C13/C19)</f>
        <v>2853.1896328542252</v>
      </c>
      <c r="D43" s="641">
        <f>IF(D19=0,0,D13/D19)</f>
        <v>3055.5851935046094</v>
      </c>
      <c r="E43" s="641">
        <f>IF(E19=0,0,E13/E19)</f>
        <v>3373.365121958282</v>
      </c>
    </row>
    <row r="44" spans="1:5" ht="25.5" customHeight="1">
      <c r="A44" s="639">
        <v>2</v>
      </c>
      <c r="B44" s="640" t="s">
        <v>336</v>
      </c>
      <c r="C44" s="641">
        <f>IF(C20=0,0,C13/C20)</f>
        <v>15123.862770012707</v>
      </c>
      <c r="D44" s="641">
        <f>IF(D20=0,0,D13/D20)</f>
        <v>16305.763659974029</v>
      </c>
      <c r="E44" s="641">
        <f>IF(E20=0,0,E13/E20)</f>
        <v>17643.578352180935</v>
      </c>
    </row>
    <row r="45" spans="1:5" ht="25.5" customHeight="1">
      <c r="A45" s="639">
        <v>3</v>
      </c>
      <c r="B45" s="640" t="s">
        <v>337</v>
      </c>
      <c r="C45" s="641">
        <f>IF(C22=0,0,C13/C22)</f>
        <v>1875.6765500027814</v>
      </c>
      <c r="D45" s="641">
        <f>IF(D22=0,0,D13/D22)</f>
        <v>1980.6957428816374</v>
      </c>
      <c r="E45" s="641">
        <f>IF(E22=0,0,E13/E22)</f>
        <v>2093.5201023469376</v>
      </c>
    </row>
    <row r="46" spans="1:5" ht="25.5" customHeight="1">
      <c r="A46" s="639">
        <v>4</v>
      </c>
      <c r="B46" s="640" t="s">
        <v>338</v>
      </c>
      <c r="C46" s="641">
        <f>IF(C23=0,0,C13/C23)</f>
        <v>9942.37271036036</v>
      </c>
      <c r="D46" s="641">
        <f>IF(D23=0,0,D13/D23)</f>
        <v>10569.745112785366</v>
      </c>
      <c r="E46" s="641">
        <f>IF(E23=0,0,E13/E23)</f>
        <v>10949.655498952196</v>
      </c>
    </row>
    <row r="47" spans="1:5" ht="25.5" customHeight="1">
      <c r="A47" s="639">
        <v>5</v>
      </c>
      <c r="B47" s="640" t="s">
        <v>339</v>
      </c>
      <c r="C47" s="641">
        <f>IF(C29=0,0,C13/C29)</f>
        <v>1493.6819185938998</v>
      </c>
      <c r="D47" s="641">
        <f>IF(D29=0,0,D13/D29)</f>
        <v>1561.1072753693477</v>
      </c>
      <c r="E47" s="641">
        <f>IF(E29=0,0,E13/E29)</f>
        <v>1652.3769378675054</v>
      </c>
    </row>
    <row r="48" spans="1:5" ht="25.5" customHeight="1">
      <c r="A48" s="639">
        <v>6</v>
      </c>
      <c r="B48" s="640" t="s">
        <v>340</v>
      </c>
      <c r="C48" s="641">
        <f>IF(C30=0,0,C13/C30)</f>
        <v>7917.539058301216</v>
      </c>
      <c r="D48" s="641">
        <f>IF(D30=0,0,D13/D30)</f>
        <v>8330.661614066426</v>
      </c>
      <c r="E48" s="641">
        <f>IF(E30=0,0,E13/E30)</f>
        <v>8642.361830574082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756</v>
      </c>
      <c r="B50" s="634" t="s">
        <v>341</v>
      </c>
      <c r="C50" s="648"/>
      <c r="D50" s="648"/>
      <c r="E50" s="641"/>
    </row>
    <row r="51" spans="1:5" ht="25.5" customHeight="1">
      <c r="A51" s="639">
        <v>1</v>
      </c>
      <c r="B51" s="640" t="s">
        <v>342</v>
      </c>
      <c r="C51" s="641">
        <f>IF(C19=0,0,C16/C19)</f>
        <v>2913.971483637131</v>
      </c>
      <c r="D51" s="641">
        <f>IF(D19=0,0,D16/D19)</f>
        <v>3121.4282371659883</v>
      </c>
      <c r="E51" s="641">
        <f>IF(E19=0,0,E16/E19)</f>
        <v>3388.529068252237</v>
      </c>
    </row>
    <row r="52" spans="1:5" ht="25.5" customHeight="1">
      <c r="A52" s="639">
        <v>2</v>
      </c>
      <c r="B52" s="640" t="s">
        <v>343</v>
      </c>
      <c r="C52" s="641">
        <f>IF(C20=0,0,C16/C20)</f>
        <v>15446.048284625158</v>
      </c>
      <c r="D52" s="641">
        <f>IF(D20=0,0,D16/D20)</f>
        <v>16657.127160123862</v>
      </c>
      <c r="E52" s="641">
        <f>IF(E20=0,0,E16/E20)</f>
        <v>17722.88974151858</v>
      </c>
    </row>
    <row r="53" spans="1:5" ht="25.5" customHeight="1">
      <c r="A53" s="639">
        <v>3</v>
      </c>
      <c r="B53" s="640" t="s">
        <v>344</v>
      </c>
      <c r="C53" s="641">
        <f>IF(C22=0,0,C16/C22)</f>
        <v>1915.634318973509</v>
      </c>
      <c r="D53" s="641">
        <f>IF(D22=0,0,D16/D22)</f>
        <v>2023.3766134905445</v>
      </c>
      <c r="E53" s="641">
        <f>IF(E22=0,0,E16/E22)</f>
        <v>2102.9308910548243</v>
      </c>
    </row>
    <row r="54" spans="1:5" ht="25.5" customHeight="1">
      <c r="A54" s="639">
        <v>4</v>
      </c>
      <c r="B54" s="640" t="s">
        <v>345</v>
      </c>
      <c r="C54" s="641">
        <f>IF(C23=0,0,C16/C23)</f>
        <v>10154.176302925856</v>
      </c>
      <c r="D54" s="641">
        <f>IF(D23=0,0,D16/D23)</f>
        <v>10797.506456317913</v>
      </c>
      <c r="E54" s="641">
        <f>IF(E23=0,0,E16/E23)</f>
        <v>10998.876375412501</v>
      </c>
    </row>
    <row r="55" spans="1:5" ht="25.5" customHeight="1">
      <c r="A55" s="639">
        <v>5</v>
      </c>
      <c r="B55" s="640" t="s">
        <v>346</v>
      </c>
      <c r="C55" s="641">
        <f>IF(C29=0,0,C16/C29)</f>
        <v>1525.5020088001988</v>
      </c>
      <c r="D55" s="641">
        <f>IF(D29=0,0,D16/D29)</f>
        <v>1594.7466760022414</v>
      </c>
      <c r="E55" s="641">
        <f>IF(E29=0,0,E16/E29)</f>
        <v>1659.8047004242744</v>
      </c>
    </row>
    <row r="56" spans="1:5" ht="25.5" customHeight="1">
      <c r="A56" s="639">
        <v>6</v>
      </c>
      <c r="B56" s="640" t="s">
        <v>347</v>
      </c>
      <c r="C56" s="641">
        <f>IF(C30=0,0,C16/C30)</f>
        <v>8086.207369747473</v>
      </c>
      <c r="D56" s="641">
        <f>IF(D30=0,0,D16/D30)</f>
        <v>8510.174238210944</v>
      </c>
      <c r="E56" s="641">
        <f>IF(E30=0,0,E16/E30)</f>
        <v>8681.210963684129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760</v>
      </c>
      <c r="B58" s="642" t="s">
        <v>348</v>
      </c>
      <c r="C58" s="641"/>
      <c r="D58" s="641"/>
      <c r="E58" s="641"/>
    </row>
    <row r="59" spans="1:5" ht="25.5" customHeight="1">
      <c r="A59" s="639">
        <v>1</v>
      </c>
      <c r="B59" s="640" t="s">
        <v>349</v>
      </c>
      <c r="C59" s="649">
        <v>36483000</v>
      </c>
      <c r="D59" s="649">
        <v>41382100</v>
      </c>
      <c r="E59" s="649">
        <v>42767886</v>
      </c>
    </row>
    <row r="60" spans="1:5" ht="25.5" customHeight="1">
      <c r="A60" s="639">
        <v>2</v>
      </c>
      <c r="B60" s="640" t="s">
        <v>350</v>
      </c>
      <c r="C60" s="649">
        <v>8829000</v>
      </c>
      <c r="D60" s="649">
        <v>9692122</v>
      </c>
      <c r="E60" s="649">
        <v>10711918</v>
      </c>
    </row>
    <row r="61" spans="1:5" ht="25.5" customHeight="1">
      <c r="A61" s="650">
        <v>3</v>
      </c>
      <c r="B61" s="651" t="s">
        <v>351</v>
      </c>
      <c r="C61" s="652">
        <f>C59+C60</f>
        <v>45312000</v>
      </c>
      <c r="D61" s="652">
        <f>D59+D60</f>
        <v>51074222</v>
      </c>
      <c r="E61" s="652">
        <f>E59+E60</f>
        <v>53479804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402</v>
      </c>
      <c r="B63" s="642" t="s">
        <v>352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353</v>
      </c>
      <c r="C64" s="641">
        <v>8075000</v>
      </c>
      <c r="D64" s="641">
        <v>8413688</v>
      </c>
      <c r="E64" s="649">
        <v>8311122</v>
      </c>
      <c r="F64" s="653"/>
    </row>
    <row r="65" spans="1:6" ht="25.5" customHeight="1">
      <c r="A65" s="639">
        <v>2</v>
      </c>
      <c r="B65" s="640" t="s">
        <v>354</v>
      </c>
      <c r="C65" s="649">
        <v>2105000</v>
      </c>
      <c r="D65" s="649">
        <v>2243039</v>
      </c>
      <c r="E65" s="649">
        <v>2452306</v>
      </c>
      <c r="F65" s="653"/>
    </row>
    <row r="66" spans="1:6" ht="25.5" customHeight="1">
      <c r="A66" s="650">
        <v>3</v>
      </c>
      <c r="B66" s="651" t="s">
        <v>355</v>
      </c>
      <c r="C66" s="654">
        <f>C64+C65</f>
        <v>10180000</v>
      </c>
      <c r="D66" s="654">
        <f>D64+D65</f>
        <v>10656727</v>
      </c>
      <c r="E66" s="654">
        <f>E64+E65</f>
        <v>10763428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786</v>
      </c>
      <c r="B68" s="642" t="s">
        <v>356</v>
      </c>
      <c r="C68" s="649"/>
      <c r="D68" s="649"/>
      <c r="E68" s="649"/>
    </row>
    <row r="69" spans="1:5" ht="25.5" customHeight="1">
      <c r="A69" s="639">
        <v>1</v>
      </c>
      <c r="B69" s="640" t="s">
        <v>357</v>
      </c>
      <c r="C69" s="649">
        <v>63830000</v>
      </c>
      <c r="D69" s="649">
        <v>65423212</v>
      </c>
      <c r="E69" s="649">
        <v>79408992</v>
      </c>
    </row>
    <row r="70" spans="1:5" ht="25.5" customHeight="1">
      <c r="A70" s="639">
        <v>2</v>
      </c>
      <c r="B70" s="640" t="s">
        <v>358</v>
      </c>
      <c r="C70" s="649">
        <v>22979000</v>
      </c>
      <c r="D70" s="649">
        <v>24240839</v>
      </c>
      <c r="E70" s="649">
        <v>25392776</v>
      </c>
    </row>
    <row r="71" spans="1:5" ht="25.5" customHeight="1">
      <c r="A71" s="650">
        <v>3</v>
      </c>
      <c r="B71" s="651" t="s">
        <v>359</v>
      </c>
      <c r="C71" s="652">
        <f>C69+C70</f>
        <v>86809000</v>
      </c>
      <c r="D71" s="652">
        <f>D69+D70</f>
        <v>89664051</v>
      </c>
      <c r="E71" s="652">
        <f>E69+E70</f>
        <v>104801768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802</v>
      </c>
      <c r="B74" s="642" t="s">
        <v>360</v>
      </c>
      <c r="C74" s="641"/>
      <c r="D74" s="641"/>
      <c r="E74" s="641"/>
    </row>
    <row r="75" spans="1:5" ht="25.5" customHeight="1">
      <c r="A75" s="639">
        <v>1</v>
      </c>
      <c r="B75" s="640" t="s">
        <v>361</v>
      </c>
      <c r="C75" s="641">
        <f aca="true" t="shared" si="0" ref="C75:E76">+C59+C64+C69</f>
        <v>108388000</v>
      </c>
      <c r="D75" s="641">
        <f t="shared" si="0"/>
        <v>115219000</v>
      </c>
      <c r="E75" s="641">
        <f t="shared" si="0"/>
        <v>130488000</v>
      </c>
    </row>
    <row r="76" spans="1:5" ht="25.5" customHeight="1">
      <c r="A76" s="639">
        <v>2</v>
      </c>
      <c r="B76" s="640" t="s">
        <v>362</v>
      </c>
      <c r="C76" s="641">
        <f t="shared" si="0"/>
        <v>33913000</v>
      </c>
      <c r="D76" s="641">
        <f t="shared" si="0"/>
        <v>36176000</v>
      </c>
      <c r="E76" s="641">
        <f t="shared" si="0"/>
        <v>38557000</v>
      </c>
    </row>
    <row r="77" spans="1:5" ht="25.5" customHeight="1">
      <c r="A77" s="650">
        <v>3</v>
      </c>
      <c r="B77" s="651" t="s">
        <v>360</v>
      </c>
      <c r="C77" s="654">
        <f>C75+C76</f>
        <v>142301000</v>
      </c>
      <c r="D77" s="654">
        <f>D75+D76</f>
        <v>151395000</v>
      </c>
      <c r="E77" s="654">
        <f>E75+E76</f>
        <v>169045000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811</v>
      </c>
      <c r="B79" s="642" t="s">
        <v>363</v>
      </c>
      <c r="C79" s="649"/>
      <c r="D79" s="649"/>
      <c r="E79" s="649"/>
    </row>
    <row r="80" spans="1:5" ht="25.5" customHeight="1">
      <c r="A80" s="639">
        <v>1</v>
      </c>
      <c r="B80" s="640" t="s">
        <v>968</v>
      </c>
      <c r="C80" s="646">
        <v>522.7</v>
      </c>
      <c r="D80" s="646">
        <v>557.2</v>
      </c>
      <c r="E80" s="646">
        <v>566.6</v>
      </c>
    </row>
    <row r="81" spans="1:5" ht="25.5" customHeight="1">
      <c r="A81" s="639">
        <v>2</v>
      </c>
      <c r="B81" s="640" t="s">
        <v>969</v>
      </c>
      <c r="C81" s="646">
        <v>124.7</v>
      </c>
      <c r="D81" s="646">
        <v>129</v>
      </c>
      <c r="E81" s="646">
        <v>129.7</v>
      </c>
    </row>
    <row r="82" spans="1:5" ht="25.5" customHeight="1">
      <c r="A82" s="639">
        <v>3</v>
      </c>
      <c r="B82" s="640" t="s">
        <v>364</v>
      </c>
      <c r="C82" s="646">
        <v>1360.4</v>
      </c>
      <c r="D82" s="646">
        <v>1393.6</v>
      </c>
      <c r="E82" s="646">
        <v>1343.2</v>
      </c>
    </row>
    <row r="83" spans="1:5" ht="25.5" customHeight="1">
      <c r="A83" s="650">
        <v>4</v>
      </c>
      <c r="B83" s="651" t="s">
        <v>363</v>
      </c>
      <c r="C83" s="656">
        <f>C80+C81+C82</f>
        <v>2007.8000000000002</v>
      </c>
      <c r="D83" s="656">
        <f>D80+D81+D82</f>
        <v>2079.8</v>
      </c>
      <c r="E83" s="656">
        <f>E80+E81+E82</f>
        <v>2039.5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814</v>
      </c>
      <c r="B85" s="642" t="s">
        <v>365</v>
      </c>
      <c r="C85" s="657"/>
      <c r="D85" s="657"/>
      <c r="E85" s="657"/>
    </row>
    <row r="86" spans="1:5" ht="25.5" customHeight="1">
      <c r="A86" s="639">
        <v>1</v>
      </c>
      <c r="B86" s="640" t="s">
        <v>366</v>
      </c>
      <c r="C86" s="649">
        <f>IF(C80=0,0,C59/C80)</f>
        <v>69797.20681079013</v>
      </c>
      <c r="D86" s="649">
        <f>IF(D80=0,0,D59/D80)</f>
        <v>74267.94687724335</v>
      </c>
      <c r="E86" s="649">
        <f>IF(E80=0,0,E59/E80)</f>
        <v>75481.62019061066</v>
      </c>
    </row>
    <row r="87" spans="1:5" ht="25.5" customHeight="1">
      <c r="A87" s="639">
        <v>2</v>
      </c>
      <c r="B87" s="640" t="s">
        <v>367</v>
      </c>
      <c r="C87" s="649">
        <f>IF(C80=0,0,C60/C80)</f>
        <v>16891.142146546776</v>
      </c>
      <c r="D87" s="649">
        <f>IF(D80=0,0,D60/D80)</f>
        <v>17394.332376166545</v>
      </c>
      <c r="E87" s="649">
        <f>IF(E80=0,0,E60/E80)</f>
        <v>18905.608895164136</v>
      </c>
    </row>
    <row r="88" spans="1:5" ht="25.5" customHeight="1">
      <c r="A88" s="650">
        <v>3</v>
      </c>
      <c r="B88" s="651" t="s">
        <v>368</v>
      </c>
      <c r="C88" s="652">
        <f>+C86+C87</f>
        <v>86688.3489573369</v>
      </c>
      <c r="D88" s="652">
        <f>+D86+D87</f>
        <v>91662.27925340988</v>
      </c>
      <c r="E88" s="652">
        <f>+E86+E87</f>
        <v>94387.2290857748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966</v>
      </c>
      <c r="B90" s="642" t="s">
        <v>369</v>
      </c>
    </row>
    <row r="91" spans="1:5" ht="25.5" customHeight="1">
      <c r="A91" s="639">
        <v>1</v>
      </c>
      <c r="B91" s="640" t="s">
        <v>370</v>
      </c>
      <c r="C91" s="641">
        <f>IF(C81=0,0,C64/C81)</f>
        <v>64755.412991178826</v>
      </c>
      <c r="D91" s="641">
        <f>IF(D81=0,0,D64/D81)</f>
        <v>65222.38759689922</v>
      </c>
      <c r="E91" s="641">
        <f>IF(E81=0,0,E64/E81)</f>
        <v>64079.58365458751</v>
      </c>
    </row>
    <row r="92" spans="1:5" ht="25.5" customHeight="1">
      <c r="A92" s="639">
        <v>2</v>
      </c>
      <c r="B92" s="640" t="s">
        <v>371</v>
      </c>
      <c r="C92" s="641">
        <f>IF(C81=0,0,C65/C81)</f>
        <v>16880.513231756213</v>
      </c>
      <c r="D92" s="641">
        <f>IF(D81=0,0,D65/D81)</f>
        <v>17387.899224806202</v>
      </c>
      <c r="E92" s="641">
        <f>IF(E81=0,0,E65/E81)</f>
        <v>18907.525057825755</v>
      </c>
    </row>
    <row r="93" spans="1:5" ht="25.5" customHeight="1">
      <c r="A93" s="650">
        <v>3</v>
      </c>
      <c r="B93" s="651" t="s">
        <v>372</v>
      </c>
      <c r="C93" s="654">
        <f>+C91+C92</f>
        <v>81635.92622293504</v>
      </c>
      <c r="D93" s="654">
        <f>+D91+D92</f>
        <v>82610.28682170542</v>
      </c>
      <c r="E93" s="654">
        <f>+E91+E92</f>
        <v>82987.10871241326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373</v>
      </c>
      <c r="B95" s="642" t="s">
        <v>374</v>
      </c>
      <c r="C95" s="649"/>
      <c r="D95" s="649"/>
      <c r="E95" s="649"/>
    </row>
    <row r="96" spans="1:5" ht="25.5" customHeight="1">
      <c r="A96" s="639">
        <v>1</v>
      </c>
      <c r="B96" s="640" t="s">
        <v>375</v>
      </c>
      <c r="C96" s="649">
        <f>IF(C82=0,0,C69/C82)</f>
        <v>46920.02352249338</v>
      </c>
      <c r="D96" s="649">
        <f>IF(D82=0,0,D69/D82)</f>
        <v>46945.47359357061</v>
      </c>
      <c r="E96" s="649">
        <f>IF(E82=0,0,E69/E82)</f>
        <v>59119.26146515783</v>
      </c>
    </row>
    <row r="97" spans="1:5" ht="25.5" customHeight="1">
      <c r="A97" s="639">
        <v>2</v>
      </c>
      <c r="B97" s="640" t="s">
        <v>376</v>
      </c>
      <c r="C97" s="649">
        <f>IF(C82=0,0,C70/C82)</f>
        <v>16891.35548368127</v>
      </c>
      <c r="D97" s="649">
        <f>IF(D82=0,0,D70/D82)</f>
        <v>17394.402267508613</v>
      </c>
      <c r="E97" s="649">
        <f>IF(E82=0,0,E70/E82)</f>
        <v>18904.687313877308</v>
      </c>
    </row>
    <row r="98" spans="1:5" ht="25.5" customHeight="1">
      <c r="A98" s="650">
        <v>3</v>
      </c>
      <c r="B98" s="651" t="s">
        <v>377</v>
      </c>
      <c r="C98" s="654">
        <f>+C96+C97</f>
        <v>63811.37900617465</v>
      </c>
      <c r="D98" s="654">
        <f>+D96+D97</f>
        <v>64339.87586107923</v>
      </c>
      <c r="E98" s="654">
        <f>+E96+E97</f>
        <v>78023.94877903514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378</v>
      </c>
      <c r="B100" s="642" t="s">
        <v>379</v>
      </c>
    </row>
    <row r="101" spans="1:5" ht="25.5" customHeight="1">
      <c r="A101" s="639">
        <v>1</v>
      </c>
      <c r="B101" s="640" t="s">
        <v>380</v>
      </c>
      <c r="C101" s="641">
        <f>IF(C83=0,0,C75/C83)</f>
        <v>53983.464488494865</v>
      </c>
      <c r="D101" s="641">
        <f>IF(D83=0,0,D75/D83)</f>
        <v>55399.07683431099</v>
      </c>
      <c r="E101" s="641">
        <f>IF(E83=0,0,E75/E83)</f>
        <v>63980.38734984065</v>
      </c>
    </row>
    <row r="102" spans="1:5" ht="25.5" customHeight="1">
      <c r="A102" s="639">
        <v>2</v>
      </c>
      <c r="B102" s="640" t="s">
        <v>381</v>
      </c>
      <c r="C102" s="658">
        <f>IF(C83=0,0,C76/C83)</f>
        <v>16890.62655642992</v>
      </c>
      <c r="D102" s="658">
        <f>IF(D83=0,0,D76/D83)</f>
        <v>17393.980190402923</v>
      </c>
      <c r="E102" s="658">
        <f>IF(E83=0,0,E76/E83)</f>
        <v>18905.12380485413</v>
      </c>
    </row>
    <row r="103" spans="1:5" ht="25.5" customHeight="1">
      <c r="A103" s="650">
        <v>3</v>
      </c>
      <c r="B103" s="651" t="s">
        <v>379</v>
      </c>
      <c r="C103" s="654">
        <f>+C101+C102</f>
        <v>70874.09104492479</v>
      </c>
      <c r="D103" s="654">
        <f>+D101+D102</f>
        <v>72793.05702471391</v>
      </c>
      <c r="E103" s="654">
        <f>+E101+E102</f>
        <v>82885.51115469477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382</v>
      </c>
      <c r="B107" s="634" t="s">
        <v>383</v>
      </c>
      <c r="C107" s="659"/>
      <c r="D107" s="659"/>
      <c r="E107" s="641"/>
    </row>
    <row r="108" spans="1:5" ht="25.5" customHeight="1">
      <c r="A108" s="639">
        <v>1</v>
      </c>
      <c r="B108" s="640" t="s">
        <v>384</v>
      </c>
      <c r="C108" s="641">
        <f>IF(C19=0,0,C77/C19)</f>
        <v>1364.460979375018</v>
      </c>
      <c r="D108" s="641">
        <f>IF(D19=0,0,D77/D19)</f>
        <v>1416.9591464270673</v>
      </c>
      <c r="E108" s="641">
        <f>IF(E19=0,0,E77/E19)</f>
        <v>1631.6927442785302</v>
      </c>
    </row>
    <row r="109" spans="1:5" ht="25.5" customHeight="1">
      <c r="A109" s="639">
        <v>2</v>
      </c>
      <c r="B109" s="640" t="s">
        <v>385</v>
      </c>
      <c r="C109" s="641">
        <f>IF(C20=0,0,C77/C20)</f>
        <v>7232.579415501906</v>
      </c>
      <c r="D109" s="641">
        <f>IF(D20=0,0,D77/D20)</f>
        <v>7561.432424333233</v>
      </c>
      <c r="E109" s="641">
        <f>IF(E20=0,0,E77/E20)</f>
        <v>8534.178109854603</v>
      </c>
    </row>
    <row r="110" spans="1:5" ht="25.5" customHeight="1">
      <c r="A110" s="639">
        <v>3</v>
      </c>
      <c r="B110" s="640" t="s">
        <v>386</v>
      </c>
      <c r="C110" s="641">
        <f>IF(C22=0,0,C77/C22)</f>
        <v>896.9917151448968</v>
      </c>
      <c r="D110" s="641">
        <f>IF(D22=0,0,D77/D22)</f>
        <v>918.5032559823003</v>
      </c>
      <c r="E110" s="641">
        <f>IF(E22=0,0,E77/E22)</f>
        <v>1012.6332126828069</v>
      </c>
    </row>
    <row r="111" spans="1:5" ht="25.5" customHeight="1">
      <c r="A111" s="639">
        <v>4</v>
      </c>
      <c r="B111" s="640" t="s">
        <v>387</v>
      </c>
      <c r="C111" s="641">
        <f>IF(C23=0,0,C77/C23)</f>
        <v>4754.671561076311</v>
      </c>
      <c r="D111" s="641">
        <f>IF(D23=0,0,D77/D23)</f>
        <v>4901.482388643936</v>
      </c>
      <c r="E111" s="641">
        <f>IF(E23=0,0,E77/E23)</f>
        <v>5296.335494100942</v>
      </c>
    </row>
    <row r="112" spans="1:5" ht="25.5" customHeight="1">
      <c r="A112" s="639">
        <v>5</v>
      </c>
      <c r="B112" s="640" t="s">
        <v>388</v>
      </c>
      <c r="C112" s="641">
        <f>IF(C29=0,0,C77/C29)</f>
        <v>714.313086677165</v>
      </c>
      <c r="D112" s="641">
        <f>IF(D29=0,0,D77/D29)</f>
        <v>723.9285087159848</v>
      </c>
      <c r="E112" s="641">
        <f>IF(E29=0,0,E77/E29)</f>
        <v>799.2527825646165</v>
      </c>
    </row>
    <row r="113" spans="1:5" ht="25.5" customHeight="1">
      <c r="A113" s="639">
        <v>6</v>
      </c>
      <c r="B113" s="640" t="s">
        <v>389</v>
      </c>
      <c r="C113" s="641">
        <f>IF(C30=0,0,C77/C30)</f>
        <v>3786.3494852680155</v>
      </c>
      <c r="D113" s="641">
        <f>IF(D30=0,0,D77/D30)</f>
        <v>3863.157602325412</v>
      </c>
      <c r="E113" s="641">
        <f>IF(E30=0,0,E77/E30)</f>
        <v>4180.300258808402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/>
  <headerFooter alignWithMargins="0">
    <oddHeader>&amp;L&amp;12OFFICE OF HEALTH CARE ACCESS&amp;C&amp;12TWELVE MONTHS ACTUAL FILING&amp;R&amp;12BRIDGEPORT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390</v>
      </c>
      <c r="C1" s="57"/>
      <c r="D1" s="57"/>
      <c r="E1" s="57"/>
      <c r="F1" s="58"/>
    </row>
    <row r="2" spans="1:6" ht="22.5" customHeight="1">
      <c r="A2" s="57"/>
      <c r="B2" s="57" t="s">
        <v>391</v>
      </c>
      <c r="C2" s="57"/>
      <c r="D2" s="57"/>
      <c r="E2" s="57"/>
      <c r="F2" s="58"/>
    </row>
    <row r="3" spans="1:6" ht="22.5" customHeight="1">
      <c r="A3" s="57"/>
      <c r="B3" s="57" t="s">
        <v>392</v>
      </c>
      <c r="C3" s="57"/>
      <c r="D3" s="57"/>
      <c r="E3" s="57"/>
      <c r="F3" s="58"/>
    </row>
    <row r="4" spans="1:6" ht="22.5" customHeight="1">
      <c r="A4" s="57"/>
      <c r="B4" s="57" t="s">
        <v>459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394</v>
      </c>
      <c r="D6" s="10" t="s">
        <v>395</v>
      </c>
      <c r="E6" s="59" t="s">
        <v>396</v>
      </c>
      <c r="F6" s="59" t="s">
        <v>397</v>
      </c>
    </row>
    <row r="7" spans="1:8" ht="15.75" customHeight="1">
      <c r="A7" s="61" t="s">
        <v>398</v>
      </c>
      <c r="B7" s="62" t="s">
        <v>399</v>
      </c>
      <c r="C7" s="14" t="s">
        <v>400</v>
      </c>
      <c r="D7" s="14" t="s">
        <v>400</v>
      </c>
      <c r="E7" s="63" t="s">
        <v>401</v>
      </c>
      <c r="F7" s="63" t="s">
        <v>401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404</v>
      </c>
      <c r="B11" s="30" t="s">
        <v>460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461</v>
      </c>
      <c r="C12" s="51">
        <v>1040100000</v>
      </c>
      <c r="D12" s="51">
        <v>1105535000</v>
      </c>
      <c r="E12" s="51">
        <f aca="true" t="shared" si="0" ref="E12:E19">D12-C12</f>
        <v>65435000</v>
      </c>
      <c r="F12" s="70">
        <f aca="true" t="shared" si="1" ref="F12:F19">IF(C12=0,0,E12/C12)</f>
        <v>0.06291221997884819</v>
      </c>
    </row>
    <row r="13" spans="1:6" ht="22.5" customHeight="1">
      <c r="A13" s="25">
        <v>2</v>
      </c>
      <c r="B13" s="48" t="s">
        <v>462</v>
      </c>
      <c r="C13" s="51">
        <v>675301000</v>
      </c>
      <c r="D13" s="51">
        <v>720998000</v>
      </c>
      <c r="E13" s="51">
        <f t="shared" si="0"/>
        <v>45697000</v>
      </c>
      <c r="F13" s="70">
        <f t="shared" si="1"/>
        <v>0.06766908386038226</v>
      </c>
    </row>
    <row r="14" spans="1:6" ht="22.5" customHeight="1">
      <c r="A14" s="25">
        <v>3</v>
      </c>
      <c r="B14" s="48" t="s">
        <v>463</v>
      </c>
      <c r="C14" s="51">
        <v>38325000</v>
      </c>
      <c r="D14" s="51">
        <v>35053000</v>
      </c>
      <c r="E14" s="51">
        <f t="shared" si="0"/>
        <v>-3272000</v>
      </c>
      <c r="F14" s="70">
        <f t="shared" si="1"/>
        <v>-0.0853750815394651</v>
      </c>
    </row>
    <row r="15" spans="1:7" ht="22.5" customHeight="1">
      <c r="A15" s="25">
        <v>4</v>
      </c>
      <c r="B15" s="48" t="s">
        <v>464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465</v>
      </c>
      <c r="C16" s="27">
        <f>C12-C13-C14-C15</f>
        <v>326474000</v>
      </c>
      <c r="D16" s="27">
        <f>D12-D13-D14-D15</f>
        <v>349484000</v>
      </c>
      <c r="E16" s="27">
        <f t="shared" si="0"/>
        <v>23010000</v>
      </c>
      <c r="F16" s="28">
        <f t="shared" si="1"/>
        <v>0.07048034452973284</v>
      </c>
    </row>
    <row r="17" spans="1:7" ht="22.5" customHeight="1">
      <c r="A17" s="25">
        <v>5</v>
      </c>
      <c r="B17" s="48" t="s">
        <v>466</v>
      </c>
      <c r="C17" s="51">
        <v>8225000</v>
      </c>
      <c r="D17" s="51">
        <v>4458000</v>
      </c>
      <c r="E17" s="51">
        <f t="shared" si="0"/>
        <v>-3767000</v>
      </c>
      <c r="F17" s="70">
        <f t="shared" si="1"/>
        <v>-0.45799392097264435</v>
      </c>
      <c r="G17" s="64"/>
    </row>
    <row r="18" spans="1:7" ht="22.5" customHeight="1">
      <c r="A18" s="25">
        <v>6</v>
      </c>
      <c r="B18" s="45" t="s">
        <v>467</v>
      </c>
      <c r="C18" s="51">
        <v>2807000</v>
      </c>
      <c r="D18" s="51">
        <v>1853000</v>
      </c>
      <c r="E18" s="51">
        <f t="shared" si="0"/>
        <v>-954000</v>
      </c>
      <c r="F18" s="70">
        <f t="shared" si="1"/>
        <v>-0.33986462415390095</v>
      </c>
      <c r="G18" s="64"/>
    </row>
    <row r="19" spans="1:6" ht="22.5" customHeight="1">
      <c r="A19" s="29"/>
      <c r="B19" s="71" t="s">
        <v>468</v>
      </c>
      <c r="C19" s="27">
        <f>SUM(C16:C18)</f>
        <v>337506000</v>
      </c>
      <c r="D19" s="27">
        <f>SUM(D16:D18)</f>
        <v>355795000</v>
      </c>
      <c r="E19" s="27">
        <f t="shared" si="0"/>
        <v>18289000</v>
      </c>
      <c r="F19" s="28">
        <f t="shared" si="1"/>
        <v>0.05418866627556251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416</v>
      </c>
      <c r="B21" s="30" t="s">
        <v>469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470</v>
      </c>
      <c r="C22" s="51">
        <v>115219000</v>
      </c>
      <c r="D22" s="51">
        <v>130488000</v>
      </c>
      <c r="E22" s="51">
        <f aca="true" t="shared" si="2" ref="E22:E31">D22-C22</f>
        <v>15269000</v>
      </c>
      <c r="F22" s="70">
        <f aca="true" t="shared" si="3" ref="F22:F31">IF(C22=0,0,E22/C22)</f>
        <v>0.13252154592558518</v>
      </c>
    </row>
    <row r="23" spans="1:6" ht="22.5" customHeight="1">
      <c r="A23" s="25">
        <v>2</v>
      </c>
      <c r="B23" s="48" t="s">
        <v>471</v>
      </c>
      <c r="C23" s="51">
        <v>36176000</v>
      </c>
      <c r="D23" s="51">
        <v>38557000</v>
      </c>
      <c r="E23" s="51">
        <f t="shared" si="2"/>
        <v>2381000</v>
      </c>
      <c r="F23" s="70">
        <f t="shared" si="3"/>
        <v>0.0658171163202123</v>
      </c>
    </row>
    <row r="24" spans="1:7" ht="22.5" customHeight="1">
      <c r="A24" s="25">
        <v>3</v>
      </c>
      <c r="B24" s="48" t="s">
        <v>472</v>
      </c>
      <c r="C24" s="51">
        <v>13977000</v>
      </c>
      <c r="D24" s="51">
        <v>15538000</v>
      </c>
      <c r="E24" s="51">
        <f t="shared" si="2"/>
        <v>1561000</v>
      </c>
      <c r="F24" s="70">
        <f t="shared" si="3"/>
        <v>0.11168348000286185</v>
      </c>
      <c r="G24" s="64"/>
    </row>
    <row r="25" spans="1:6" ht="22.5" customHeight="1">
      <c r="A25" s="25">
        <v>4</v>
      </c>
      <c r="B25" s="48" t="s">
        <v>473</v>
      </c>
      <c r="C25" s="51">
        <v>46927000</v>
      </c>
      <c r="D25" s="51">
        <v>45415000</v>
      </c>
      <c r="E25" s="51">
        <f t="shared" si="2"/>
        <v>-1512000</v>
      </c>
      <c r="F25" s="70">
        <f t="shared" si="3"/>
        <v>-0.032220256994906986</v>
      </c>
    </row>
    <row r="26" spans="1:6" ht="22.5" customHeight="1">
      <c r="A26" s="25">
        <v>5</v>
      </c>
      <c r="B26" s="48" t="s">
        <v>474</v>
      </c>
      <c r="C26" s="51">
        <v>17159000</v>
      </c>
      <c r="D26" s="51">
        <v>18962000</v>
      </c>
      <c r="E26" s="51">
        <f t="shared" si="2"/>
        <v>1803000</v>
      </c>
      <c r="F26" s="70">
        <f t="shared" si="3"/>
        <v>0.10507605338306428</v>
      </c>
    </row>
    <row r="27" spans="1:6" ht="22.5" customHeight="1">
      <c r="A27" s="25">
        <v>6</v>
      </c>
      <c r="B27" s="48" t="s">
        <v>475</v>
      </c>
      <c r="C27" s="51">
        <v>5659000</v>
      </c>
      <c r="D27" s="51">
        <v>13240000</v>
      </c>
      <c r="E27" s="51">
        <f t="shared" si="2"/>
        <v>7581000</v>
      </c>
      <c r="F27" s="70">
        <f t="shared" si="3"/>
        <v>1.3396359780880014</v>
      </c>
    </row>
    <row r="28" spans="1:6" ht="22.5" customHeight="1">
      <c r="A28" s="25">
        <v>7</v>
      </c>
      <c r="B28" s="48" t="s">
        <v>476</v>
      </c>
      <c r="C28" s="51">
        <v>3483000</v>
      </c>
      <c r="D28" s="51">
        <v>3200000</v>
      </c>
      <c r="E28" s="51">
        <f t="shared" si="2"/>
        <v>-283000</v>
      </c>
      <c r="F28" s="70">
        <f t="shared" si="3"/>
        <v>-0.08125179443008901</v>
      </c>
    </row>
    <row r="29" spans="1:6" ht="22.5" customHeight="1">
      <c r="A29" s="25">
        <v>8</v>
      </c>
      <c r="B29" s="48" t="s">
        <v>477</v>
      </c>
      <c r="C29" s="51">
        <v>8622000</v>
      </c>
      <c r="D29" s="51">
        <v>12652000</v>
      </c>
      <c r="E29" s="51">
        <f t="shared" si="2"/>
        <v>4030000</v>
      </c>
      <c r="F29" s="70">
        <f t="shared" si="3"/>
        <v>0.4674089538390165</v>
      </c>
    </row>
    <row r="30" spans="1:6" ht="22.5" customHeight="1">
      <c r="A30" s="25">
        <v>9</v>
      </c>
      <c r="B30" s="48" t="s">
        <v>478</v>
      </c>
      <c r="C30" s="51">
        <v>86287000</v>
      </c>
      <c r="D30" s="51">
        <v>73003000</v>
      </c>
      <c r="E30" s="51">
        <f t="shared" si="2"/>
        <v>-13284000</v>
      </c>
      <c r="F30" s="70">
        <f t="shared" si="3"/>
        <v>-0.15395134840706015</v>
      </c>
    </row>
    <row r="31" spans="1:6" ht="22.5" customHeight="1">
      <c r="A31" s="29"/>
      <c r="B31" s="71" t="s">
        <v>479</v>
      </c>
      <c r="C31" s="27">
        <f>SUM(C22:C30)</f>
        <v>333509000</v>
      </c>
      <c r="D31" s="27">
        <f>SUM(D22:D30)</f>
        <v>351055000</v>
      </c>
      <c r="E31" s="27">
        <f t="shared" si="2"/>
        <v>17546000</v>
      </c>
      <c r="F31" s="28">
        <f t="shared" si="3"/>
        <v>0.05261027438539889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480</v>
      </c>
      <c r="C33" s="27">
        <f>+C19-C31</f>
        <v>3997000</v>
      </c>
      <c r="D33" s="27">
        <f>+D19-D31</f>
        <v>4740000</v>
      </c>
      <c r="E33" s="27">
        <f>D33-C33</f>
        <v>743000</v>
      </c>
      <c r="F33" s="28">
        <f>IF(C33=0,0,E33/C33)</f>
        <v>0.1858894170627971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426</v>
      </c>
      <c r="B35" s="30" t="s">
        <v>481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482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2.5" customHeight="1">
      <c r="A37" s="44">
        <v>2</v>
      </c>
      <c r="B37" s="48" t="s">
        <v>483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484</v>
      </c>
      <c r="C38" s="51">
        <v>-5238000</v>
      </c>
      <c r="D38" s="51">
        <v>-3150000</v>
      </c>
      <c r="E38" s="51">
        <f>D38-C38</f>
        <v>2088000</v>
      </c>
      <c r="F38" s="70">
        <f>IF(C38=0,0,E38/C38)</f>
        <v>-0.39862542955326463</v>
      </c>
    </row>
    <row r="39" spans="1:6" ht="22.5" customHeight="1">
      <c r="A39" s="20"/>
      <c r="B39" s="71" t="s">
        <v>485</v>
      </c>
      <c r="C39" s="27">
        <f>SUM(C36:C38)</f>
        <v>-5238000</v>
      </c>
      <c r="D39" s="27">
        <f>SUM(D36:D38)</f>
        <v>-3150000</v>
      </c>
      <c r="E39" s="27">
        <f>D39-C39</f>
        <v>2088000</v>
      </c>
      <c r="F39" s="28">
        <f>IF(C39=0,0,E39/C39)</f>
        <v>-0.39862542955326463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486</v>
      </c>
      <c r="C41" s="27">
        <f>C33+C39</f>
        <v>-1241000</v>
      </c>
      <c r="D41" s="27">
        <f>D33+D39</f>
        <v>1590000</v>
      </c>
      <c r="E41" s="27">
        <f>D41-C41</f>
        <v>2831000</v>
      </c>
      <c r="F41" s="28">
        <f>IF(C41=0,0,E41/C41)</f>
        <v>-2.281224818694601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487</v>
      </c>
      <c r="C43" s="27"/>
      <c r="D43" s="27"/>
      <c r="E43" s="27"/>
      <c r="F43" s="28"/>
    </row>
    <row r="44" spans="1:6" ht="22.5" customHeight="1">
      <c r="A44" s="44"/>
      <c r="B44" s="48" t="s">
        <v>488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489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490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491</v>
      </c>
      <c r="C48" s="27">
        <f>C41+C46</f>
        <v>-1241000</v>
      </c>
      <c r="D48" s="27">
        <f>D41+D46</f>
        <v>1590000</v>
      </c>
      <c r="E48" s="27">
        <f>D48-C48</f>
        <v>2831000</v>
      </c>
      <c r="F48" s="28">
        <f>IF(C48=0,0,E48/C48)</f>
        <v>-2.281224818694601</v>
      </c>
    </row>
    <row r="49" spans="1:6" ht="22.5" customHeight="1">
      <c r="A49" s="44"/>
      <c r="B49" s="48" t="s">
        <v>492</v>
      </c>
      <c r="C49" s="51">
        <v>0</v>
      </c>
      <c r="D49" s="51">
        <v>2795000</v>
      </c>
      <c r="E49" s="51">
        <f>D49-C49</f>
        <v>2795000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FILING&amp;RBRIDGEPORT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8.2812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390</v>
      </c>
      <c r="B2" s="672"/>
      <c r="C2" s="672"/>
      <c r="D2" s="672"/>
      <c r="E2" s="672"/>
      <c r="F2" s="672"/>
    </row>
    <row r="3" spans="1:6" ht="18" customHeight="1">
      <c r="A3" s="672" t="s">
        <v>391</v>
      </c>
      <c r="B3" s="672"/>
      <c r="C3" s="672"/>
      <c r="D3" s="672"/>
      <c r="E3" s="672"/>
      <c r="F3" s="672"/>
    </row>
    <row r="4" spans="1:6" ht="18" customHeight="1">
      <c r="A4" s="672" t="s">
        <v>392</v>
      </c>
      <c r="B4" s="672"/>
      <c r="C4" s="672"/>
      <c r="D4" s="672"/>
      <c r="E4" s="672"/>
      <c r="F4" s="672"/>
    </row>
    <row r="5" spans="1:6" ht="18" customHeight="1">
      <c r="A5" s="672" t="s">
        <v>493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398</v>
      </c>
      <c r="B8" s="87" t="s">
        <v>494</v>
      </c>
      <c r="C8" s="88" t="s">
        <v>495</v>
      </c>
      <c r="D8" s="89" t="s">
        <v>496</v>
      </c>
      <c r="E8" s="90" t="s">
        <v>497</v>
      </c>
      <c r="F8" s="91" t="s">
        <v>498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402</v>
      </c>
      <c r="B10" s="664" t="s">
        <v>499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500</v>
      </c>
      <c r="B13" s="95" t="s">
        <v>501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502</v>
      </c>
      <c r="C14" s="97">
        <v>227770029</v>
      </c>
      <c r="D14" s="97">
        <v>226475519</v>
      </c>
      <c r="E14" s="97">
        <f aca="true" t="shared" si="0" ref="E14:E25">D14-C14</f>
        <v>-1294510</v>
      </c>
      <c r="F14" s="98">
        <f aca="true" t="shared" si="1" ref="F14:F25">IF(C14=0,0,E14/C14)</f>
        <v>-0.00568340797814097</v>
      </c>
    </row>
    <row r="15" spans="1:6" ht="18" customHeight="1">
      <c r="A15" s="99">
        <v>2</v>
      </c>
      <c r="B15" s="100" t="s">
        <v>503</v>
      </c>
      <c r="C15" s="97">
        <v>91403243</v>
      </c>
      <c r="D15" s="97">
        <v>98347270</v>
      </c>
      <c r="E15" s="97">
        <f t="shared" si="0"/>
        <v>6944027</v>
      </c>
      <c r="F15" s="98">
        <f t="shared" si="1"/>
        <v>0.07597134162953058</v>
      </c>
    </row>
    <row r="16" spans="1:6" ht="18" customHeight="1">
      <c r="A16" s="99">
        <v>3</v>
      </c>
      <c r="B16" s="100" t="s">
        <v>504</v>
      </c>
      <c r="C16" s="97">
        <v>79726712</v>
      </c>
      <c r="D16" s="97">
        <v>76995271</v>
      </c>
      <c r="E16" s="97">
        <f t="shared" si="0"/>
        <v>-2731441</v>
      </c>
      <c r="F16" s="98">
        <f t="shared" si="1"/>
        <v>-0.03426004825082966</v>
      </c>
    </row>
    <row r="17" spans="1:6" ht="18" customHeight="1">
      <c r="A17" s="99">
        <v>4</v>
      </c>
      <c r="B17" s="100" t="s">
        <v>505</v>
      </c>
      <c r="C17" s="97">
        <v>39484839</v>
      </c>
      <c r="D17" s="97">
        <v>52059570</v>
      </c>
      <c r="E17" s="97">
        <f t="shared" si="0"/>
        <v>12574731</v>
      </c>
      <c r="F17" s="98">
        <f t="shared" si="1"/>
        <v>0.3184698562402648</v>
      </c>
    </row>
    <row r="18" spans="1:6" ht="18" customHeight="1">
      <c r="A18" s="99">
        <v>5</v>
      </c>
      <c r="B18" s="100" t="s">
        <v>506</v>
      </c>
      <c r="C18" s="97">
        <v>781871</v>
      </c>
      <c r="D18" s="97">
        <v>1196962</v>
      </c>
      <c r="E18" s="97">
        <f t="shared" si="0"/>
        <v>415091</v>
      </c>
      <c r="F18" s="98">
        <f t="shared" si="1"/>
        <v>0.5308944825936759</v>
      </c>
    </row>
    <row r="19" spans="1:6" ht="18" customHeight="1">
      <c r="A19" s="99">
        <v>6</v>
      </c>
      <c r="B19" s="100" t="s">
        <v>507</v>
      </c>
      <c r="C19" s="97">
        <v>81824556</v>
      </c>
      <c r="D19" s="97">
        <v>74600114</v>
      </c>
      <c r="E19" s="97">
        <f t="shared" si="0"/>
        <v>-7224442</v>
      </c>
      <c r="F19" s="98">
        <f t="shared" si="1"/>
        <v>-0.08829185703128044</v>
      </c>
    </row>
    <row r="20" spans="1:6" ht="18" customHeight="1">
      <c r="A20" s="99">
        <v>7</v>
      </c>
      <c r="B20" s="100" t="s">
        <v>508</v>
      </c>
      <c r="C20" s="97">
        <v>108969245</v>
      </c>
      <c r="D20" s="97">
        <v>106239595</v>
      </c>
      <c r="E20" s="97">
        <f t="shared" si="0"/>
        <v>-2729650</v>
      </c>
      <c r="F20" s="98">
        <f t="shared" si="1"/>
        <v>-0.02504972848072867</v>
      </c>
    </row>
    <row r="21" spans="1:6" ht="18" customHeight="1">
      <c r="A21" s="99">
        <v>8</v>
      </c>
      <c r="B21" s="100" t="s">
        <v>509</v>
      </c>
      <c r="C21" s="97">
        <v>9418096</v>
      </c>
      <c r="D21" s="97">
        <v>10783647</v>
      </c>
      <c r="E21" s="97">
        <f t="shared" si="0"/>
        <v>1365551</v>
      </c>
      <c r="F21" s="98">
        <f t="shared" si="1"/>
        <v>0.14499225745840774</v>
      </c>
    </row>
    <row r="22" spans="1:6" ht="18" customHeight="1">
      <c r="A22" s="99">
        <v>9</v>
      </c>
      <c r="B22" s="100" t="s">
        <v>510</v>
      </c>
      <c r="C22" s="97">
        <v>14399365</v>
      </c>
      <c r="D22" s="97">
        <v>13809812</v>
      </c>
      <c r="E22" s="97">
        <f t="shared" si="0"/>
        <v>-589553</v>
      </c>
      <c r="F22" s="98">
        <f t="shared" si="1"/>
        <v>-0.04094298602750885</v>
      </c>
    </row>
    <row r="23" spans="1:6" ht="18" customHeight="1">
      <c r="A23" s="99">
        <v>10</v>
      </c>
      <c r="B23" s="100" t="s">
        <v>511</v>
      </c>
      <c r="C23" s="97">
        <v>20437449</v>
      </c>
      <c r="D23" s="97">
        <v>25590134</v>
      </c>
      <c r="E23" s="97">
        <f t="shared" si="0"/>
        <v>5152685</v>
      </c>
      <c r="F23" s="98">
        <f t="shared" si="1"/>
        <v>0.2521197728738063</v>
      </c>
    </row>
    <row r="24" spans="1:6" ht="18" customHeight="1">
      <c r="A24" s="99">
        <v>11</v>
      </c>
      <c r="B24" s="100" t="s">
        <v>512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513</v>
      </c>
      <c r="C25" s="103">
        <f>SUM(C14:C24)</f>
        <v>674215405</v>
      </c>
      <c r="D25" s="103">
        <f>SUM(D14:D24)</f>
        <v>686097894</v>
      </c>
      <c r="E25" s="103">
        <f t="shared" si="0"/>
        <v>11882489</v>
      </c>
      <c r="F25" s="104">
        <f t="shared" si="1"/>
        <v>0.017624173093464097</v>
      </c>
    </row>
    <row r="26" spans="1:6" ht="18" customHeight="1">
      <c r="A26" s="94" t="s">
        <v>514</v>
      </c>
      <c r="B26" s="95" t="s">
        <v>515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502</v>
      </c>
      <c r="C27" s="97">
        <v>64782118</v>
      </c>
      <c r="D27" s="97">
        <v>67032799</v>
      </c>
      <c r="E27" s="97">
        <f aca="true" t="shared" si="2" ref="E27:E38">D27-C27</f>
        <v>2250681</v>
      </c>
      <c r="F27" s="98">
        <f aca="true" t="shared" si="3" ref="F27:F38">IF(C27=0,0,E27/C27)</f>
        <v>0.03474231886027561</v>
      </c>
    </row>
    <row r="28" spans="1:6" ht="18" customHeight="1">
      <c r="A28" s="99">
        <v>2</v>
      </c>
      <c r="B28" s="100" t="s">
        <v>503</v>
      </c>
      <c r="C28" s="97">
        <v>25739420</v>
      </c>
      <c r="D28" s="97">
        <v>31596002</v>
      </c>
      <c r="E28" s="97">
        <f t="shared" si="2"/>
        <v>5856582</v>
      </c>
      <c r="F28" s="98">
        <f t="shared" si="3"/>
        <v>0.22753356524739096</v>
      </c>
    </row>
    <row r="29" spans="1:6" ht="18" customHeight="1">
      <c r="A29" s="99">
        <v>3</v>
      </c>
      <c r="B29" s="100" t="s">
        <v>504</v>
      </c>
      <c r="C29" s="97">
        <v>32611511</v>
      </c>
      <c r="D29" s="97">
        <v>35384392</v>
      </c>
      <c r="E29" s="97">
        <f t="shared" si="2"/>
        <v>2772881</v>
      </c>
      <c r="F29" s="98">
        <f t="shared" si="3"/>
        <v>0.0850276762705046</v>
      </c>
    </row>
    <row r="30" spans="1:6" ht="18" customHeight="1">
      <c r="A30" s="99">
        <v>4</v>
      </c>
      <c r="B30" s="100" t="s">
        <v>505</v>
      </c>
      <c r="C30" s="97">
        <v>49180672</v>
      </c>
      <c r="D30" s="97">
        <v>64409193</v>
      </c>
      <c r="E30" s="97">
        <f t="shared" si="2"/>
        <v>15228521</v>
      </c>
      <c r="F30" s="98">
        <f t="shared" si="3"/>
        <v>0.30964442698139627</v>
      </c>
    </row>
    <row r="31" spans="1:6" ht="18" customHeight="1">
      <c r="A31" s="99">
        <v>5</v>
      </c>
      <c r="B31" s="100" t="s">
        <v>506</v>
      </c>
      <c r="C31" s="97">
        <v>486906</v>
      </c>
      <c r="D31" s="97">
        <v>495806</v>
      </c>
      <c r="E31" s="97">
        <f t="shared" si="2"/>
        <v>8900</v>
      </c>
      <c r="F31" s="98">
        <f t="shared" si="3"/>
        <v>0.01827868212755645</v>
      </c>
    </row>
    <row r="32" spans="1:6" ht="18" customHeight="1">
      <c r="A32" s="99">
        <v>6</v>
      </c>
      <c r="B32" s="100" t="s">
        <v>507</v>
      </c>
      <c r="C32" s="97">
        <v>63398476</v>
      </c>
      <c r="D32" s="97">
        <v>69685147</v>
      </c>
      <c r="E32" s="97">
        <f t="shared" si="2"/>
        <v>6286671</v>
      </c>
      <c r="F32" s="98">
        <f t="shared" si="3"/>
        <v>0.09916123220375203</v>
      </c>
    </row>
    <row r="33" spans="1:6" ht="18" customHeight="1">
      <c r="A33" s="99">
        <v>7</v>
      </c>
      <c r="B33" s="100" t="s">
        <v>508</v>
      </c>
      <c r="C33" s="97">
        <v>78805416</v>
      </c>
      <c r="D33" s="97">
        <v>90899692</v>
      </c>
      <c r="E33" s="97">
        <f t="shared" si="2"/>
        <v>12094276</v>
      </c>
      <c r="F33" s="98">
        <f t="shared" si="3"/>
        <v>0.15347011174967976</v>
      </c>
    </row>
    <row r="34" spans="1:6" ht="18" customHeight="1">
      <c r="A34" s="99">
        <v>8</v>
      </c>
      <c r="B34" s="100" t="s">
        <v>509</v>
      </c>
      <c r="C34" s="97">
        <v>4370841</v>
      </c>
      <c r="D34" s="97">
        <v>5311165</v>
      </c>
      <c r="E34" s="97">
        <f t="shared" si="2"/>
        <v>940324</v>
      </c>
      <c r="F34" s="98">
        <f t="shared" si="3"/>
        <v>0.21513571415661198</v>
      </c>
    </row>
    <row r="35" spans="1:6" ht="18" customHeight="1">
      <c r="A35" s="99">
        <v>9</v>
      </c>
      <c r="B35" s="100" t="s">
        <v>510</v>
      </c>
      <c r="C35" s="97">
        <v>27594113</v>
      </c>
      <c r="D35" s="97">
        <v>30854209</v>
      </c>
      <c r="E35" s="97">
        <f t="shared" si="2"/>
        <v>3260096</v>
      </c>
      <c r="F35" s="98">
        <f t="shared" si="3"/>
        <v>0.11814462019489447</v>
      </c>
    </row>
    <row r="36" spans="1:6" ht="18" customHeight="1">
      <c r="A36" s="99">
        <v>10</v>
      </c>
      <c r="B36" s="100" t="s">
        <v>511</v>
      </c>
      <c r="C36" s="97">
        <v>18915610</v>
      </c>
      <c r="D36" s="97">
        <v>23768204</v>
      </c>
      <c r="E36" s="97">
        <f t="shared" si="2"/>
        <v>4852594</v>
      </c>
      <c r="F36" s="98">
        <f t="shared" si="3"/>
        <v>0.2565391229783232</v>
      </c>
    </row>
    <row r="37" spans="1:6" ht="18" customHeight="1">
      <c r="A37" s="99">
        <v>11</v>
      </c>
      <c r="B37" s="100" t="s">
        <v>512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516</v>
      </c>
      <c r="C38" s="103">
        <f>SUM(C27:C37)</f>
        <v>365885083</v>
      </c>
      <c r="D38" s="103">
        <f>SUM(D27:D37)</f>
        <v>419436609</v>
      </c>
      <c r="E38" s="103">
        <f t="shared" si="2"/>
        <v>53551526</v>
      </c>
      <c r="F38" s="104">
        <f t="shared" si="3"/>
        <v>0.14636159955173686</v>
      </c>
    </row>
    <row r="39" spans="1:6" ht="18" customHeight="1">
      <c r="A39" s="662" t="s">
        <v>517</v>
      </c>
      <c r="B39" s="664" t="s">
        <v>518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502</v>
      </c>
      <c r="C41" s="103">
        <f aca="true" t="shared" si="4" ref="C41:D51">+C27+C14</f>
        <v>292552147</v>
      </c>
      <c r="D41" s="103">
        <f t="shared" si="4"/>
        <v>293508318</v>
      </c>
      <c r="E41" s="107">
        <f aca="true" t="shared" si="5" ref="E41:E52">D41-C41</f>
        <v>956171</v>
      </c>
      <c r="F41" s="108">
        <f aca="true" t="shared" si="6" ref="F41:F52">IF(C41=0,0,E41/C41)</f>
        <v>0.0032683779962141245</v>
      </c>
    </row>
    <row r="42" spans="1:6" ht="18" customHeight="1">
      <c r="A42" s="105">
        <v>2</v>
      </c>
      <c r="B42" s="106" t="s">
        <v>503</v>
      </c>
      <c r="C42" s="103">
        <f t="shared" si="4"/>
        <v>117142663</v>
      </c>
      <c r="D42" s="103">
        <f t="shared" si="4"/>
        <v>129943272</v>
      </c>
      <c r="E42" s="107">
        <f t="shared" si="5"/>
        <v>12800609</v>
      </c>
      <c r="F42" s="108">
        <f t="shared" si="6"/>
        <v>0.10927367256453782</v>
      </c>
    </row>
    <row r="43" spans="1:6" ht="18" customHeight="1">
      <c r="A43" s="105">
        <v>3</v>
      </c>
      <c r="B43" s="106" t="s">
        <v>504</v>
      </c>
      <c r="C43" s="103">
        <f t="shared" si="4"/>
        <v>112338223</v>
      </c>
      <c r="D43" s="103">
        <f t="shared" si="4"/>
        <v>112379663</v>
      </c>
      <c r="E43" s="107">
        <f t="shared" si="5"/>
        <v>41440</v>
      </c>
      <c r="F43" s="108">
        <f t="shared" si="6"/>
        <v>0.00036888602021059206</v>
      </c>
    </row>
    <row r="44" spans="1:6" ht="18" customHeight="1">
      <c r="A44" s="105">
        <v>4</v>
      </c>
      <c r="B44" s="106" t="s">
        <v>505</v>
      </c>
      <c r="C44" s="103">
        <f t="shared" si="4"/>
        <v>88665511</v>
      </c>
      <c r="D44" s="103">
        <f t="shared" si="4"/>
        <v>116468763</v>
      </c>
      <c r="E44" s="107">
        <f t="shared" si="5"/>
        <v>27803252</v>
      </c>
      <c r="F44" s="108">
        <f t="shared" si="6"/>
        <v>0.313574598357641</v>
      </c>
    </row>
    <row r="45" spans="1:6" ht="18" customHeight="1">
      <c r="A45" s="105">
        <v>5</v>
      </c>
      <c r="B45" s="106" t="s">
        <v>506</v>
      </c>
      <c r="C45" s="103">
        <f t="shared" si="4"/>
        <v>1268777</v>
      </c>
      <c r="D45" s="103">
        <f t="shared" si="4"/>
        <v>1692768</v>
      </c>
      <c r="E45" s="107">
        <f t="shared" si="5"/>
        <v>423991</v>
      </c>
      <c r="F45" s="108">
        <f t="shared" si="6"/>
        <v>0.33417298705761533</v>
      </c>
    </row>
    <row r="46" spans="1:6" ht="18" customHeight="1">
      <c r="A46" s="105">
        <v>6</v>
      </c>
      <c r="B46" s="106" t="s">
        <v>507</v>
      </c>
      <c r="C46" s="103">
        <f t="shared" si="4"/>
        <v>145223032</v>
      </c>
      <c r="D46" s="103">
        <f t="shared" si="4"/>
        <v>144285261</v>
      </c>
      <c r="E46" s="107">
        <f t="shared" si="5"/>
        <v>-937771</v>
      </c>
      <c r="F46" s="108">
        <f t="shared" si="6"/>
        <v>-0.006457453663410636</v>
      </c>
    </row>
    <row r="47" spans="1:6" ht="18" customHeight="1">
      <c r="A47" s="105">
        <v>7</v>
      </c>
      <c r="B47" s="106" t="s">
        <v>508</v>
      </c>
      <c r="C47" s="103">
        <f t="shared" si="4"/>
        <v>187774661</v>
      </c>
      <c r="D47" s="103">
        <f t="shared" si="4"/>
        <v>197139287</v>
      </c>
      <c r="E47" s="107">
        <f t="shared" si="5"/>
        <v>9364626</v>
      </c>
      <c r="F47" s="108">
        <f t="shared" si="6"/>
        <v>0.049871617129427274</v>
      </c>
    </row>
    <row r="48" spans="1:6" ht="18" customHeight="1">
      <c r="A48" s="105">
        <v>8</v>
      </c>
      <c r="B48" s="106" t="s">
        <v>509</v>
      </c>
      <c r="C48" s="103">
        <f t="shared" si="4"/>
        <v>13788937</v>
      </c>
      <c r="D48" s="103">
        <f t="shared" si="4"/>
        <v>16094812</v>
      </c>
      <c r="E48" s="107">
        <f t="shared" si="5"/>
        <v>2305875</v>
      </c>
      <c r="F48" s="108">
        <f t="shared" si="6"/>
        <v>0.16722645117604062</v>
      </c>
    </row>
    <row r="49" spans="1:6" ht="18" customHeight="1">
      <c r="A49" s="105">
        <v>9</v>
      </c>
      <c r="B49" s="106" t="s">
        <v>510</v>
      </c>
      <c r="C49" s="103">
        <f t="shared" si="4"/>
        <v>41993478</v>
      </c>
      <c r="D49" s="103">
        <f t="shared" si="4"/>
        <v>44664021</v>
      </c>
      <c r="E49" s="107">
        <f t="shared" si="5"/>
        <v>2670543</v>
      </c>
      <c r="F49" s="108">
        <f t="shared" si="6"/>
        <v>0.06359423241866273</v>
      </c>
    </row>
    <row r="50" spans="1:6" ht="18" customHeight="1">
      <c r="A50" s="105">
        <v>10</v>
      </c>
      <c r="B50" s="106" t="s">
        <v>511</v>
      </c>
      <c r="C50" s="103">
        <f t="shared" si="4"/>
        <v>39353059</v>
      </c>
      <c r="D50" s="103">
        <f t="shared" si="4"/>
        <v>49358338</v>
      </c>
      <c r="E50" s="107">
        <f t="shared" si="5"/>
        <v>10005279</v>
      </c>
      <c r="F50" s="108">
        <f t="shared" si="6"/>
        <v>0.2542439966356872</v>
      </c>
    </row>
    <row r="51" spans="1:6" ht="18" customHeight="1" thickBot="1">
      <c r="A51" s="105">
        <v>11</v>
      </c>
      <c r="B51" s="106" t="s">
        <v>512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518</v>
      </c>
      <c r="C52" s="111">
        <f>SUM(C41:C51)</f>
        <v>1040100488</v>
      </c>
      <c r="D52" s="112">
        <f>SUM(D41:D51)</f>
        <v>1105534503</v>
      </c>
      <c r="E52" s="111">
        <f t="shared" si="5"/>
        <v>65434015</v>
      </c>
      <c r="F52" s="113">
        <f t="shared" si="6"/>
        <v>0.06291124343747063</v>
      </c>
    </row>
    <row r="53" spans="1:6" ht="18" customHeight="1">
      <c r="A53" s="662" t="s">
        <v>434</v>
      </c>
      <c r="B53" s="664" t="s">
        <v>519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500</v>
      </c>
      <c r="B56" s="95" t="s">
        <v>520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502</v>
      </c>
      <c r="C57" s="97">
        <v>87728970</v>
      </c>
      <c r="D57" s="97">
        <v>84031667</v>
      </c>
      <c r="E57" s="97">
        <f aca="true" t="shared" si="7" ref="E57:E68">D57-C57</f>
        <v>-3697303</v>
      </c>
      <c r="F57" s="98">
        <f aca="true" t="shared" si="8" ref="F57:F68">IF(C57=0,0,E57/C57)</f>
        <v>-0.0421446074198751</v>
      </c>
    </row>
    <row r="58" spans="1:6" ht="18" customHeight="1">
      <c r="A58" s="99">
        <v>2</v>
      </c>
      <c r="B58" s="100" t="s">
        <v>503</v>
      </c>
      <c r="C58" s="97">
        <v>28216147</v>
      </c>
      <c r="D58" s="97">
        <v>31258582</v>
      </c>
      <c r="E58" s="97">
        <f t="shared" si="7"/>
        <v>3042435</v>
      </c>
      <c r="F58" s="98">
        <f t="shared" si="8"/>
        <v>0.1078260259985178</v>
      </c>
    </row>
    <row r="59" spans="1:6" ht="18" customHeight="1">
      <c r="A59" s="99">
        <v>3</v>
      </c>
      <c r="B59" s="100" t="s">
        <v>504</v>
      </c>
      <c r="C59" s="97">
        <v>23849057</v>
      </c>
      <c r="D59" s="97">
        <v>21156066</v>
      </c>
      <c r="E59" s="97">
        <f t="shared" si="7"/>
        <v>-2692991</v>
      </c>
      <c r="F59" s="98">
        <f t="shared" si="8"/>
        <v>-0.11291813340879683</v>
      </c>
    </row>
    <row r="60" spans="1:6" ht="18" customHeight="1">
      <c r="A60" s="99">
        <v>4</v>
      </c>
      <c r="B60" s="100" t="s">
        <v>505</v>
      </c>
      <c r="C60" s="97">
        <v>9383326</v>
      </c>
      <c r="D60" s="97">
        <v>12709030</v>
      </c>
      <c r="E60" s="97">
        <f t="shared" si="7"/>
        <v>3325704</v>
      </c>
      <c r="F60" s="98">
        <f t="shared" si="8"/>
        <v>0.35442699102642283</v>
      </c>
    </row>
    <row r="61" spans="1:6" ht="18" customHeight="1">
      <c r="A61" s="99">
        <v>5</v>
      </c>
      <c r="B61" s="100" t="s">
        <v>506</v>
      </c>
      <c r="C61" s="97">
        <v>162671</v>
      </c>
      <c r="D61" s="97">
        <v>347123</v>
      </c>
      <c r="E61" s="97">
        <f t="shared" si="7"/>
        <v>184452</v>
      </c>
      <c r="F61" s="98">
        <f t="shared" si="8"/>
        <v>1.1338960232616755</v>
      </c>
    </row>
    <row r="62" spans="1:6" ht="18" customHeight="1">
      <c r="A62" s="99">
        <v>6</v>
      </c>
      <c r="B62" s="100" t="s">
        <v>507</v>
      </c>
      <c r="C62" s="97">
        <v>27764576</v>
      </c>
      <c r="D62" s="97">
        <v>28254555</v>
      </c>
      <c r="E62" s="97">
        <f t="shared" si="7"/>
        <v>489979</v>
      </c>
      <c r="F62" s="98">
        <f t="shared" si="8"/>
        <v>0.01764763128383448</v>
      </c>
    </row>
    <row r="63" spans="1:6" ht="18" customHeight="1">
      <c r="A63" s="99">
        <v>7</v>
      </c>
      <c r="B63" s="100" t="s">
        <v>508</v>
      </c>
      <c r="C63" s="97">
        <v>39872522</v>
      </c>
      <c r="D63" s="97">
        <v>41384792</v>
      </c>
      <c r="E63" s="97">
        <f t="shared" si="7"/>
        <v>1512270</v>
      </c>
      <c r="F63" s="98">
        <f t="shared" si="8"/>
        <v>0.03792762343952058</v>
      </c>
    </row>
    <row r="64" spans="1:6" ht="18" customHeight="1">
      <c r="A64" s="99">
        <v>8</v>
      </c>
      <c r="B64" s="100" t="s">
        <v>509</v>
      </c>
      <c r="C64" s="97">
        <v>9255688</v>
      </c>
      <c r="D64" s="97">
        <v>10496030</v>
      </c>
      <c r="E64" s="97">
        <f t="shared" si="7"/>
        <v>1240342</v>
      </c>
      <c r="F64" s="98">
        <f t="shared" si="8"/>
        <v>0.13400862258969837</v>
      </c>
    </row>
    <row r="65" spans="1:6" ht="18" customHeight="1">
      <c r="A65" s="99">
        <v>9</v>
      </c>
      <c r="B65" s="100" t="s">
        <v>510</v>
      </c>
      <c r="C65" s="97">
        <v>2733608</v>
      </c>
      <c r="D65" s="97">
        <v>1020113</v>
      </c>
      <c r="E65" s="97">
        <f t="shared" si="7"/>
        <v>-1713495</v>
      </c>
      <c r="F65" s="98">
        <f t="shared" si="8"/>
        <v>-0.6268254263230134</v>
      </c>
    </row>
    <row r="66" spans="1:6" ht="18" customHeight="1">
      <c r="A66" s="99">
        <v>10</v>
      </c>
      <c r="B66" s="100" t="s">
        <v>511</v>
      </c>
      <c r="C66" s="97">
        <v>2655597</v>
      </c>
      <c r="D66" s="97">
        <v>3255583</v>
      </c>
      <c r="E66" s="97">
        <f t="shared" si="7"/>
        <v>599986</v>
      </c>
      <c r="F66" s="98">
        <f t="shared" si="8"/>
        <v>0.22593262456615218</v>
      </c>
    </row>
    <row r="67" spans="1:6" ht="18" customHeight="1">
      <c r="A67" s="99">
        <v>11</v>
      </c>
      <c r="B67" s="100" t="s">
        <v>512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521</v>
      </c>
      <c r="C68" s="103">
        <f>SUM(C57:C67)</f>
        <v>231622162</v>
      </c>
      <c r="D68" s="103">
        <f>SUM(D57:D67)</f>
        <v>233913541</v>
      </c>
      <c r="E68" s="103">
        <f t="shared" si="7"/>
        <v>2291379</v>
      </c>
      <c r="F68" s="104">
        <f t="shared" si="8"/>
        <v>0.00989274506469722</v>
      </c>
    </row>
    <row r="69" spans="1:6" ht="18" customHeight="1">
      <c r="A69" s="94" t="s">
        <v>514</v>
      </c>
      <c r="B69" s="95" t="s">
        <v>522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502</v>
      </c>
      <c r="C70" s="97">
        <v>13190036</v>
      </c>
      <c r="D70" s="97">
        <v>13545525</v>
      </c>
      <c r="E70" s="97">
        <f aca="true" t="shared" si="9" ref="E70:E81">D70-C70</f>
        <v>355489</v>
      </c>
      <c r="F70" s="98">
        <f aca="true" t="shared" si="10" ref="F70:F81">IF(C70=0,0,E70/C70)</f>
        <v>0.02695132901835901</v>
      </c>
    </row>
    <row r="71" spans="1:6" ht="18" customHeight="1">
      <c r="A71" s="99">
        <v>2</v>
      </c>
      <c r="B71" s="100" t="s">
        <v>503</v>
      </c>
      <c r="C71" s="97">
        <v>6144708</v>
      </c>
      <c r="D71" s="97">
        <v>7979855</v>
      </c>
      <c r="E71" s="97">
        <f t="shared" si="9"/>
        <v>1835147</v>
      </c>
      <c r="F71" s="98">
        <f t="shared" si="10"/>
        <v>0.29865487505671545</v>
      </c>
    </row>
    <row r="72" spans="1:6" ht="18" customHeight="1">
      <c r="A72" s="99">
        <v>3</v>
      </c>
      <c r="B72" s="100" t="s">
        <v>504</v>
      </c>
      <c r="C72" s="97">
        <v>7362083</v>
      </c>
      <c r="D72" s="97">
        <v>7492810</v>
      </c>
      <c r="E72" s="97">
        <f t="shared" si="9"/>
        <v>130727</v>
      </c>
      <c r="F72" s="98">
        <f t="shared" si="10"/>
        <v>0.017756795189622285</v>
      </c>
    </row>
    <row r="73" spans="1:6" ht="18" customHeight="1">
      <c r="A73" s="99">
        <v>4</v>
      </c>
      <c r="B73" s="100" t="s">
        <v>505</v>
      </c>
      <c r="C73" s="97">
        <v>10931798</v>
      </c>
      <c r="D73" s="97">
        <v>14503033</v>
      </c>
      <c r="E73" s="97">
        <f t="shared" si="9"/>
        <v>3571235</v>
      </c>
      <c r="F73" s="98">
        <f t="shared" si="10"/>
        <v>0.3266832226501075</v>
      </c>
    </row>
    <row r="74" spans="1:6" ht="18" customHeight="1">
      <c r="A74" s="99">
        <v>5</v>
      </c>
      <c r="B74" s="100" t="s">
        <v>506</v>
      </c>
      <c r="C74" s="97">
        <v>149967</v>
      </c>
      <c r="D74" s="97">
        <v>131600</v>
      </c>
      <c r="E74" s="97">
        <f t="shared" si="9"/>
        <v>-18367</v>
      </c>
      <c r="F74" s="98">
        <f t="shared" si="10"/>
        <v>-0.1224736108610561</v>
      </c>
    </row>
    <row r="75" spans="1:6" ht="18" customHeight="1">
      <c r="A75" s="99">
        <v>6</v>
      </c>
      <c r="B75" s="100" t="s">
        <v>507</v>
      </c>
      <c r="C75" s="97">
        <v>21232629</v>
      </c>
      <c r="D75" s="97">
        <v>23024444</v>
      </c>
      <c r="E75" s="97">
        <f t="shared" si="9"/>
        <v>1791815</v>
      </c>
      <c r="F75" s="98">
        <f t="shared" si="10"/>
        <v>0.08438969097985935</v>
      </c>
    </row>
    <row r="76" spans="1:6" ht="18" customHeight="1">
      <c r="A76" s="99">
        <v>7</v>
      </c>
      <c r="B76" s="100" t="s">
        <v>508</v>
      </c>
      <c r="C76" s="97">
        <v>26891008</v>
      </c>
      <c r="D76" s="97">
        <v>29417205</v>
      </c>
      <c r="E76" s="97">
        <f t="shared" si="9"/>
        <v>2526197</v>
      </c>
      <c r="F76" s="98">
        <f t="shared" si="10"/>
        <v>0.09394207163970945</v>
      </c>
    </row>
    <row r="77" spans="1:6" ht="18" customHeight="1">
      <c r="A77" s="99">
        <v>8</v>
      </c>
      <c r="B77" s="100" t="s">
        <v>509</v>
      </c>
      <c r="C77" s="97">
        <v>4295028</v>
      </c>
      <c r="D77" s="97">
        <v>5174894</v>
      </c>
      <c r="E77" s="97">
        <f t="shared" si="9"/>
        <v>879866</v>
      </c>
      <c r="F77" s="98">
        <f t="shared" si="10"/>
        <v>0.20485687171305986</v>
      </c>
    </row>
    <row r="78" spans="1:6" ht="18" customHeight="1">
      <c r="A78" s="99">
        <v>9</v>
      </c>
      <c r="B78" s="100" t="s">
        <v>510</v>
      </c>
      <c r="C78" s="97">
        <v>1268636</v>
      </c>
      <c r="D78" s="97">
        <v>1755156</v>
      </c>
      <c r="E78" s="97">
        <f t="shared" si="9"/>
        <v>486520</v>
      </c>
      <c r="F78" s="98">
        <f t="shared" si="10"/>
        <v>0.38349849759899607</v>
      </c>
    </row>
    <row r="79" spans="1:6" ht="18" customHeight="1">
      <c r="A79" s="99">
        <v>10</v>
      </c>
      <c r="B79" s="100" t="s">
        <v>511</v>
      </c>
      <c r="C79" s="97">
        <v>2559567</v>
      </c>
      <c r="D79" s="97">
        <v>2985307</v>
      </c>
      <c r="E79" s="97">
        <f t="shared" si="9"/>
        <v>425740</v>
      </c>
      <c r="F79" s="98">
        <f t="shared" si="10"/>
        <v>0.16633282113732517</v>
      </c>
    </row>
    <row r="80" spans="1:6" ht="18" customHeight="1">
      <c r="A80" s="99">
        <v>11</v>
      </c>
      <c r="B80" s="100" t="s">
        <v>512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523</v>
      </c>
      <c r="C81" s="103">
        <f>SUM(C70:C80)</f>
        <v>94025460</v>
      </c>
      <c r="D81" s="103">
        <f>SUM(D70:D80)</f>
        <v>106009829</v>
      </c>
      <c r="E81" s="103">
        <f t="shared" si="9"/>
        <v>11984369</v>
      </c>
      <c r="F81" s="104">
        <f t="shared" si="10"/>
        <v>0.12745876489197713</v>
      </c>
    </row>
    <row r="82" spans="1:6" ht="18" customHeight="1">
      <c r="A82" s="662" t="s">
        <v>517</v>
      </c>
      <c r="B82" s="664" t="s">
        <v>524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502</v>
      </c>
      <c r="C84" s="103">
        <f aca="true" t="shared" si="11" ref="C84:D94">+C70+C57</f>
        <v>100919006</v>
      </c>
      <c r="D84" s="103">
        <f t="shared" si="11"/>
        <v>97577192</v>
      </c>
      <c r="E84" s="103">
        <f aca="true" t="shared" si="12" ref="E84:E95">D84-C84</f>
        <v>-3341814</v>
      </c>
      <c r="F84" s="104">
        <f aca="true" t="shared" si="13" ref="F84:F95">IF(C84=0,0,E84/C84)</f>
        <v>-0.033113821989090936</v>
      </c>
    </row>
    <row r="85" spans="1:6" ht="18" customHeight="1">
      <c r="A85" s="114">
        <v>2</v>
      </c>
      <c r="B85" s="106" t="s">
        <v>503</v>
      </c>
      <c r="C85" s="103">
        <f t="shared" si="11"/>
        <v>34360855</v>
      </c>
      <c r="D85" s="103">
        <f t="shared" si="11"/>
        <v>39238437</v>
      </c>
      <c r="E85" s="103">
        <f t="shared" si="12"/>
        <v>4877582</v>
      </c>
      <c r="F85" s="104">
        <f t="shared" si="13"/>
        <v>0.14195170638216076</v>
      </c>
    </row>
    <row r="86" spans="1:6" ht="18" customHeight="1">
      <c r="A86" s="114">
        <v>3</v>
      </c>
      <c r="B86" s="106" t="s">
        <v>504</v>
      </c>
      <c r="C86" s="103">
        <f t="shared" si="11"/>
        <v>31211140</v>
      </c>
      <c r="D86" s="103">
        <f t="shared" si="11"/>
        <v>28648876</v>
      </c>
      <c r="E86" s="103">
        <f t="shared" si="12"/>
        <v>-2562264</v>
      </c>
      <c r="F86" s="104">
        <f t="shared" si="13"/>
        <v>-0.08209453419516237</v>
      </c>
    </row>
    <row r="87" spans="1:6" ht="18" customHeight="1">
      <c r="A87" s="114">
        <v>4</v>
      </c>
      <c r="B87" s="106" t="s">
        <v>505</v>
      </c>
      <c r="C87" s="103">
        <f t="shared" si="11"/>
        <v>20315124</v>
      </c>
      <c r="D87" s="103">
        <f t="shared" si="11"/>
        <v>27212063</v>
      </c>
      <c r="E87" s="103">
        <f t="shared" si="12"/>
        <v>6896939</v>
      </c>
      <c r="F87" s="104">
        <f t="shared" si="13"/>
        <v>0.33949775546533706</v>
      </c>
    </row>
    <row r="88" spans="1:6" ht="18" customHeight="1">
      <c r="A88" s="114">
        <v>5</v>
      </c>
      <c r="B88" s="106" t="s">
        <v>506</v>
      </c>
      <c r="C88" s="103">
        <f t="shared" si="11"/>
        <v>312638</v>
      </c>
      <c r="D88" s="103">
        <f t="shared" si="11"/>
        <v>478723</v>
      </c>
      <c r="E88" s="103">
        <f t="shared" si="12"/>
        <v>166085</v>
      </c>
      <c r="F88" s="104">
        <f t="shared" si="13"/>
        <v>0.531237405561704</v>
      </c>
    </row>
    <row r="89" spans="1:6" ht="18" customHeight="1">
      <c r="A89" s="114">
        <v>6</v>
      </c>
      <c r="B89" s="106" t="s">
        <v>507</v>
      </c>
      <c r="C89" s="103">
        <f t="shared" si="11"/>
        <v>48997205</v>
      </c>
      <c r="D89" s="103">
        <f t="shared" si="11"/>
        <v>51278999</v>
      </c>
      <c r="E89" s="103">
        <f t="shared" si="12"/>
        <v>2281794</v>
      </c>
      <c r="F89" s="104">
        <f t="shared" si="13"/>
        <v>0.04656988087381719</v>
      </c>
    </row>
    <row r="90" spans="1:6" ht="18" customHeight="1">
      <c r="A90" s="114">
        <v>7</v>
      </c>
      <c r="B90" s="106" t="s">
        <v>508</v>
      </c>
      <c r="C90" s="103">
        <f t="shared" si="11"/>
        <v>66763530</v>
      </c>
      <c r="D90" s="103">
        <f t="shared" si="11"/>
        <v>70801997</v>
      </c>
      <c r="E90" s="103">
        <f t="shared" si="12"/>
        <v>4038467</v>
      </c>
      <c r="F90" s="104">
        <f t="shared" si="13"/>
        <v>0.060489117336965256</v>
      </c>
    </row>
    <row r="91" spans="1:6" ht="18" customHeight="1">
      <c r="A91" s="114">
        <v>8</v>
      </c>
      <c r="B91" s="106" t="s">
        <v>509</v>
      </c>
      <c r="C91" s="103">
        <f t="shared" si="11"/>
        <v>13550716</v>
      </c>
      <c r="D91" s="103">
        <f t="shared" si="11"/>
        <v>15670924</v>
      </c>
      <c r="E91" s="103">
        <f t="shared" si="12"/>
        <v>2120208</v>
      </c>
      <c r="F91" s="104">
        <f t="shared" si="13"/>
        <v>0.15646464732933668</v>
      </c>
    </row>
    <row r="92" spans="1:6" ht="18" customHeight="1">
      <c r="A92" s="114">
        <v>9</v>
      </c>
      <c r="B92" s="106" t="s">
        <v>510</v>
      </c>
      <c r="C92" s="103">
        <f t="shared" si="11"/>
        <v>4002244</v>
      </c>
      <c r="D92" s="103">
        <f t="shared" si="11"/>
        <v>2775269</v>
      </c>
      <c r="E92" s="103">
        <f t="shared" si="12"/>
        <v>-1226975</v>
      </c>
      <c r="F92" s="104">
        <f t="shared" si="13"/>
        <v>-0.3065717632408219</v>
      </c>
    </row>
    <row r="93" spans="1:6" ht="18" customHeight="1">
      <c r="A93" s="114">
        <v>10</v>
      </c>
      <c r="B93" s="106" t="s">
        <v>511</v>
      </c>
      <c r="C93" s="103">
        <f t="shared" si="11"/>
        <v>5215164</v>
      </c>
      <c r="D93" s="103">
        <f t="shared" si="11"/>
        <v>6240890</v>
      </c>
      <c r="E93" s="103">
        <f t="shared" si="12"/>
        <v>1025726</v>
      </c>
      <c r="F93" s="104">
        <f t="shared" si="13"/>
        <v>0.19668144664290518</v>
      </c>
    </row>
    <row r="94" spans="1:6" ht="18" customHeight="1" thickBot="1">
      <c r="A94" s="114">
        <v>11</v>
      </c>
      <c r="B94" s="106" t="s">
        <v>512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524</v>
      </c>
      <c r="C95" s="112">
        <f>SUM(C84:C94)</f>
        <v>325647622</v>
      </c>
      <c r="D95" s="112">
        <f>SUM(D84:D94)</f>
        <v>339923370</v>
      </c>
      <c r="E95" s="112">
        <f t="shared" si="12"/>
        <v>14275748</v>
      </c>
      <c r="F95" s="113">
        <f t="shared" si="13"/>
        <v>0.04383802317463261</v>
      </c>
    </row>
    <row r="96" spans="1:6" ht="18" customHeight="1">
      <c r="A96" s="662" t="s">
        <v>525</v>
      </c>
      <c r="B96" s="664" t="s">
        <v>526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500</v>
      </c>
      <c r="B99" s="95" t="s">
        <v>527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502</v>
      </c>
      <c r="C100" s="117">
        <v>5088</v>
      </c>
      <c r="D100" s="117">
        <v>4976</v>
      </c>
      <c r="E100" s="117">
        <f aca="true" t="shared" si="14" ref="E100:E111">D100-C100</f>
        <v>-112</v>
      </c>
      <c r="F100" s="98">
        <f aca="true" t="shared" si="15" ref="F100:F111">IF(C100=0,0,E100/C100)</f>
        <v>-0.0220125786163522</v>
      </c>
    </row>
    <row r="101" spans="1:6" ht="18" customHeight="1">
      <c r="A101" s="99">
        <v>2</v>
      </c>
      <c r="B101" s="100" t="s">
        <v>503</v>
      </c>
      <c r="C101" s="117">
        <v>2008</v>
      </c>
      <c r="D101" s="117">
        <v>2131</v>
      </c>
      <c r="E101" s="117">
        <f t="shared" si="14"/>
        <v>123</v>
      </c>
      <c r="F101" s="98">
        <f t="shared" si="15"/>
        <v>0.061254980079681276</v>
      </c>
    </row>
    <row r="102" spans="1:6" ht="18" customHeight="1">
      <c r="A102" s="99">
        <v>3</v>
      </c>
      <c r="B102" s="100" t="s">
        <v>504</v>
      </c>
      <c r="C102" s="117">
        <v>2404</v>
      </c>
      <c r="D102" s="117">
        <v>2402</v>
      </c>
      <c r="E102" s="117">
        <f t="shared" si="14"/>
        <v>-2</v>
      </c>
      <c r="F102" s="98">
        <f t="shared" si="15"/>
        <v>-0.0008319467554076539</v>
      </c>
    </row>
    <row r="103" spans="1:6" ht="18" customHeight="1">
      <c r="A103" s="99">
        <v>4</v>
      </c>
      <c r="B103" s="100" t="s">
        <v>505</v>
      </c>
      <c r="C103" s="117">
        <v>2355</v>
      </c>
      <c r="D103" s="117">
        <v>2560</v>
      </c>
      <c r="E103" s="117">
        <f t="shared" si="14"/>
        <v>205</v>
      </c>
      <c r="F103" s="98">
        <f t="shared" si="15"/>
        <v>0.0870488322717622</v>
      </c>
    </row>
    <row r="104" spans="1:6" ht="18" customHeight="1">
      <c r="A104" s="99">
        <v>5</v>
      </c>
      <c r="B104" s="100" t="s">
        <v>506</v>
      </c>
      <c r="C104" s="117">
        <v>33</v>
      </c>
      <c r="D104" s="117">
        <v>23</v>
      </c>
      <c r="E104" s="117">
        <f t="shared" si="14"/>
        <v>-10</v>
      </c>
      <c r="F104" s="98">
        <f t="shared" si="15"/>
        <v>-0.30303030303030304</v>
      </c>
    </row>
    <row r="105" spans="1:6" ht="18" customHeight="1">
      <c r="A105" s="99">
        <v>6</v>
      </c>
      <c r="B105" s="100" t="s">
        <v>507</v>
      </c>
      <c r="C105" s="117">
        <v>3036</v>
      </c>
      <c r="D105" s="117">
        <v>2778</v>
      </c>
      <c r="E105" s="117">
        <f t="shared" si="14"/>
        <v>-258</v>
      </c>
      <c r="F105" s="98">
        <f t="shared" si="15"/>
        <v>-0.08498023715415019</v>
      </c>
    </row>
    <row r="106" spans="1:6" ht="18" customHeight="1">
      <c r="A106" s="99">
        <v>7</v>
      </c>
      <c r="B106" s="100" t="s">
        <v>508</v>
      </c>
      <c r="C106" s="117">
        <v>3891</v>
      </c>
      <c r="D106" s="117">
        <v>3650</v>
      </c>
      <c r="E106" s="117">
        <f t="shared" si="14"/>
        <v>-241</v>
      </c>
      <c r="F106" s="98">
        <f t="shared" si="15"/>
        <v>-0.061937805191467486</v>
      </c>
    </row>
    <row r="107" spans="1:6" ht="18" customHeight="1">
      <c r="A107" s="99">
        <v>8</v>
      </c>
      <c r="B107" s="100" t="s">
        <v>509</v>
      </c>
      <c r="C107" s="117">
        <v>176</v>
      </c>
      <c r="D107" s="117">
        <v>190</v>
      </c>
      <c r="E107" s="117">
        <f t="shared" si="14"/>
        <v>14</v>
      </c>
      <c r="F107" s="98">
        <f t="shared" si="15"/>
        <v>0.07954545454545454</v>
      </c>
    </row>
    <row r="108" spans="1:6" ht="18" customHeight="1">
      <c r="A108" s="99">
        <v>9</v>
      </c>
      <c r="B108" s="100" t="s">
        <v>510</v>
      </c>
      <c r="C108" s="117">
        <v>375</v>
      </c>
      <c r="D108" s="117">
        <v>398</v>
      </c>
      <c r="E108" s="117">
        <f t="shared" si="14"/>
        <v>23</v>
      </c>
      <c r="F108" s="98">
        <f t="shared" si="15"/>
        <v>0.06133333333333333</v>
      </c>
    </row>
    <row r="109" spans="1:6" ht="18" customHeight="1">
      <c r="A109" s="99">
        <v>10</v>
      </c>
      <c r="B109" s="100" t="s">
        <v>511</v>
      </c>
      <c r="C109" s="117">
        <v>656</v>
      </c>
      <c r="D109" s="117">
        <v>700</v>
      </c>
      <c r="E109" s="117">
        <f t="shared" si="14"/>
        <v>44</v>
      </c>
      <c r="F109" s="98">
        <f t="shared" si="15"/>
        <v>0.06707317073170732</v>
      </c>
    </row>
    <row r="110" spans="1:6" ht="18" customHeight="1">
      <c r="A110" s="99">
        <v>11</v>
      </c>
      <c r="B110" s="100" t="s">
        <v>512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528</v>
      </c>
      <c r="C111" s="118">
        <f>SUM(C100:C110)</f>
        <v>20022</v>
      </c>
      <c r="D111" s="118">
        <f>SUM(D100:D110)</f>
        <v>19808</v>
      </c>
      <c r="E111" s="118">
        <f t="shared" si="14"/>
        <v>-214</v>
      </c>
      <c r="F111" s="104">
        <f t="shared" si="15"/>
        <v>-0.010688242932773949</v>
      </c>
    </row>
    <row r="112" spans="1:6" ht="18" customHeight="1">
      <c r="A112" s="94" t="s">
        <v>514</v>
      </c>
      <c r="B112" s="95" t="s">
        <v>529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502</v>
      </c>
      <c r="C113" s="117">
        <v>36444</v>
      </c>
      <c r="D113" s="117">
        <v>34795</v>
      </c>
      <c r="E113" s="117">
        <f aca="true" t="shared" si="16" ref="E113:E124">D113-C113</f>
        <v>-1649</v>
      </c>
      <c r="F113" s="98">
        <f aca="true" t="shared" si="17" ref="F113:F124">IF(C113=0,0,E113/C113)</f>
        <v>-0.04524750301832949</v>
      </c>
    </row>
    <row r="114" spans="1:6" ht="18" customHeight="1">
      <c r="A114" s="99">
        <v>2</v>
      </c>
      <c r="B114" s="100" t="s">
        <v>503</v>
      </c>
      <c r="C114" s="117">
        <v>13682</v>
      </c>
      <c r="D114" s="117">
        <v>14929</v>
      </c>
      <c r="E114" s="117">
        <f t="shared" si="16"/>
        <v>1247</v>
      </c>
      <c r="F114" s="98">
        <f t="shared" si="17"/>
        <v>0.09114164595819324</v>
      </c>
    </row>
    <row r="115" spans="1:6" ht="18" customHeight="1">
      <c r="A115" s="99">
        <v>3</v>
      </c>
      <c r="B115" s="100" t="s">
        <v>504</v>
      </c>
      <c r="C115" s="117">
        <v>15388</v>
      </c>
      <c r="D115" s="117">
        <v>13728</v>
      </c>
      <c r="E115" s="117">
        <f t="shared" si="16"/>
        <v>-1660</v>
      </c>
      <c r="F115" s="98">
        <f t="shared" si="17"/>
        <v>-0.10787626722121134</v>
      </c>
    </row>
    <row r="116" spans="1:6" ht="18" customHeight="1">
      <c r="A116" s="99">
        <v>4</v>
      </c>
      <c r="B116" s="100" t="s">
        <v>505</v>
      </c>
      <c r="C116" s="117">
        <v>7763</v>
      </c>
      <c r="D116" s="117">
        <v>8763</v>
      </c>
      <c r="E116" s="117">
        <f t="shared" si="16"/>
        <v>1000</v>
      </c>
      <c r="F116" s="98">
        <f t="shared" si="17"/>
        <v>0.1288161793121216</v>
      </c>
    </row>
    <row r="117" spans="1:6" ht="18" customHeight="1">
      <c r="A117" s="99">
        <v>5</v>
      </c>
      <c r="B117" s="100" t="s">
        <v>506</v>
      </c>
      <c r="C117" s="117">
        <v>120</v>
      </c>
      <c r="D117" s="117">
        <v>161</v>
      </c>
      <c r="E117" s="117">
        <f t="shared" si="16"/>
        <v>41</v>
      </c>
      <c r="F117" s="98">
        <f t="shared" si="17"/>
        <v>0.3416666666666667</v>
      </c>
    </row>
    <row r="118" spans="1:6" ht="18" customHeight="1">
      <c r="A118" s="99">
        <v>6</v>
      </c>
      <c r="B118" s="100" t="s">
        <v>507</v>
      </c>
      <c r="C118" s="117">
        <v>11683</v>
      </c>
      <c r="D118" s="117">
        <v>10146</v>
      </c>
      <c r="E118" s="117">
        <f t="shared" si="16"/>
        <v>-1537</v>
      </c>
      <c r="F118" s="98">
        <f t="shared" si="17"/>
        <v>-0.13155867499786014</v>
      </c>
    </row>
    <row r="119" spans="1:6" ht="18" customHeight="1">
      <c r="A119" s="99">
        <v>7</v>
      </c>
      <c r="B119" s="100" t="s">
        <v>508</v>
      </c>
      <c r="C119" s="117">
        <v>15093</v>
      </c>
      <c r="D119" s="117">
        <v>14407</v>
      </c>
      <c r="E119" s="117">
        <f t="shared" si="16"/>
        <v>-686</v>
      </c>
      <c r="F119" s="98">
        <f t="shared" si="17"/>
        <v>-0.04545153382362685</v>
      </c>
    </row>
    <row r="120" spans="1:6" ht="18" customHeight="1">
      <c r="A120" s="99">
        <v>8</v>
      </c>
      <c r="B120" s="100" t="s">
        <v>509</v>
      </c>
      <c r="C120" s="117">
        <v>1104</v>
      </c>
      <c r="D120" s="117">
        <v>854</v>
      </c>
      <c r="E120" s="117">
        <f t="shared" si="16"/>
        <v>-250</v>
      </c>
      <c r="F120" s="98">
        <f t="shared" si="17"/>
        <v>-0.22644927536231885</v>
      </c>
    </row>
    <row r="121" spans="1:6" ht="18" customHeight="1">
      <c r="A121" s="99">
        <v>9</v>
      </c>
      <c r="B121" s="100" t="s">
        <v>510</v>
      </c>
      <c r="C121" s="117">
        <v>1939</v>
      </c>
      <c r="D121" s="117">
        <v>1724</v>
      </c>
      <c r="E121" s="117">
        <f t="shared" si="16"/>
        <v>-215</v>
      </c>
      <c r="F121" s="98">
        <f t="shared" si="17"/>
        <v>-0.110881897885508</v>
      </c>
    </row>
    <row r="122" spans="1:6" ht="18" customHeight="1">
      <c r="A122" s="99">
        <v>10</v>
      </c>
      <c r="B122" s="100" t="s">
        <v>511</v>
      </c>
      <c r="C122" s="117">
        <v>3629</v>
      </c>
      <c r="D122" s="117">
        <v>4094</v>
      </c>
      <c r="E122" s="117">
        <f t="shared" si="16"/>
        <v>465</v>
      </c>
      <c r="F122" s="98">
        <f t="shared" si="17"/>
        <v>0.1281344723064205</v>
      </c>
    </row>
    <row r="123" spans="1:6" ht="18" customHeight="1">
      <c r="A123" s="99">
        <v>11</v>
      </c>
      <c r="B123" s="100" t="s">
        <v>512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530</v>
      </c>
      <c r="C124" s="118">
        <f>SUM(C113:C123)</f>
        <v>106845</v>
      </c>
      <c r="D124" s="118">
        <f>SUM(D113:D123)</f>
        <v>103601</v>
      </c>
      <c r="E124" s="118">
        <f t="shared" si="16"/>
        <v>-3244</v>
      </c>
      <c r="F124" s="104">
        <f t="shared" si="17"/>
        <v>-0.030361738967663438</v>
      </c>
    </row>
    <row r="125" spans="1:6" ht="18" customHeight="1">
      <c r="A125" s="94" t="s">
        <v>531</v>
      </c>
      <c r="B125" s="95" t="s">
        <v>532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502</v>
      </c>
      <c r="C126" s="117">
        <v>22812</v>
      </c>
      <c r="D126" s="117">
        <v>22957</v>
      </c>
      <c r="E126" s="117">
        <f aca="true" t="shared" si="18" ref="E126:E137">D126-C126</f>
        <v>145</v>
      </c>
      <c r="F126" s="98">
        <f aca="true" t="shared" si="19" ref="F126:F137">IF(C126=0,0,E126/C126)</f>
        <v>0.006356303699807119</v>
      </c>
    </row>
    <row r="127" spans="1:6" ht="18" customHeight="1">
      <c r="A127" s="99">
        <v>2</v>
      </c>
      <c r="B127" s="100" t="s">
        <v>503</v>
      </c>
      <c r="C127" s="117">
        <v>7821</v>
      </c>
      <c r="D127" s="117">
        <v>9290</v>
      </c>
      <c r="E127" s="117">
        <f t="shared" si="18"/>
        <v>1469</v>
      </c>
      <c r="F127" s="98">
        <f t="shared" si="19"/>
        <v>0.18782764352384607</v>
      </c>
    </row>
    <row r="128" spans="1:6" ht="18" customHeight="1">
      <c r="A128" s="99">
        <v>3</v>
      </c>
      <c r="B128" s="100" t="s">
        <v>504</v>
      </c>
      <c r="C128" s="117">
        <v>20362</v>
      </c>
      <c r="D128" s="117">
        <v>19565</v>
      </c>
      <c r="E128" s="117">
        <f t="shared" si="18"/>
        <v>-797</v>
      </c>
      <c r="F128" s="98">
        <f t="shared" si="19"/>
        <v>-0.039141538159316376</v>
      </c>
    </row>
    <row r="129" spans="1:6" ht="18" customHeight="1">
      <c r="A129" s="99">
        <v>4</v>
      </c>
      <c r="B129" s="100" t="s">
        <v>505</v>
      </c>
      <c r="C129" s="117">
        <v>37130</v>
      </c>
      <c r="D129" s="117">
        <v>44946</v>
      </c>
      <c r="E129" s="117">
        <f t="shared" si="18"/>
        <v>7816</v>
      </c>
      <c r="F129" s="98">
        <f t="shared" si="19"/>
        <v>0.21050363587395637</v>
      </c>
    </row>
    <row r="130" spans="1:6" ht="18" customHeight="1">
      <c r="A130" s="99">
        <v>5</v>
      </c>
      <c r="B130" s="100" t="s">
        <v>506</v>
      </c>
      <c r="C130" s="117">
        <v>255</v>
      </c>
      <c r="D130" s="117">
        <v>307</v>
      </c>
      <c r="E130" s="117">
        <f t="shared" si="18"/>
        <v>52</v>
      </c>
      <c r="F130" s="98">
        <f t="shared" si="19"/>
        <v>0.20392156862745098</v>
      </c>
    </row>
    <row r="131" spans="1:6" ht="18" customHeight="1">
      <c r="A131" s="99">
        <v>6</v>
      </c>
      <c r="B131" s="100" t="s">
        <v>507</v>
      </c>
      <c r="C131" s="117">
        <v>5107</v>
      </c>
      <c r="D131" s="117">
        <v>28117</v>
      </c>
      <c r="E131" s="117">
        <f t="shared" si="18"/>
        <v>23010</v>
      </c>
      <c r="F131" s="98">
        <f t="shared" si="19"/>
        <v>4.505580575680439</v>
      </c>
    </row>
    <row r="132" spans="1:6" ht="18" customHeight="1">
      <c r="A132" s="99">
        <v>7</v>
      </c>
      <c r="B132" s="100" t="s">
        <v>508</v>
      </c>
      <c r="C132" s="117">
        <v>56484</v>
      </c>
      <c r="D132" s="117">
        <v>35138</v>
      </c>
      <c r="E132" s="117">
        <f t="shared" si="18"/>
        <v>-21346</v>
      </c>
      <c r="F132" s="98">
        <f t="shared" si="19"/>
        <v>-0.377912329155159</v>
      </c>
    </row>
    <row r="133" spans="1:6" ht="18" customHeight="1">
      <c r="A133" s="99">
        <v>8</v>
      </c>
      <c r="B133" s="100" t="s">
        <v>509</v>
      </c>
      <c r="C133" s="117">
        <v>1605</v>
      </c>
      <c r="D133" s="117">
        <v>1663</v>
      </c>
      <c r="E133" s="117">
        <f t="shared" si="18"/>
        <v>58</v>
      </c>
      <c r="F133" s="98">
        <f t="shared" si="19"/>
        <v>0.03613707165109034</v>
      </c>
    </row>
    <row r="134" spans="1:6" ht="18" customHeight="1">
      <c r="A134" s="99">
        <v>9</v>
      </c>
      <c r="B134" s="100" t="s">
        <v>510</v>
      </c>
      <c r="C134" s="117">
        <v>15047</v>
      </c>
      <c r="D134" s="117">
        <v>16944</v>
      </c>
      <c r="E134" s="117">
        <f t="shared" si="18"/>
        <v>1897</v>
      </c>
      <c r="F134" s="98">
        <f t="shared" si="19"/>
        <v>0.12607164218781153</v>
      </c>
    </row>
    <row r="135" spans="1:6" ht="18" customHeight="1">
      <c r="A135" s="99">
        <v>10</v>
      </c>
      <c r="B135" s="100" t="s">
        <v>511</v>
      </c>
      <c r="C135" s="117">
        <v>10506</v>
      </c>
      <c r="D135" s="117">
        <v>12921</v>
      </c>
      <c r="E135" s="117">
        <f t="shared" si="18"/>
        <v>2415</v>
      </c>
      <c r="F135" s="98">
        <f t="shared" si="19"/>
        <v>0.2298686464877213</v>
      </c>
    </row>
    <row r="136" spans="1:6" ht="18" customHeight="1">
      <c r="A136" s="99">
        <v>11</v>
      </c>
      <c r="B136" s="100" t="s">
        <v>512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533</v>
      </c>
      <c r="C137" s="118">
        <f>SUM(C126:C136)</f>
        <v>177129</v>
      </c>
      <c r="D137" s="118">
        <f>SUM(D126:D136)</f>
        <v>191848</v>
      </c>
      <c r="E137" s="118">
        <f t="shared" si="18"/>
        <v>14719</v>
      </c>
      <c r="F137" s="104">
        <f t="shared" si="19"/>
        <v>0.08309762941133299</v>
      </c>
    </row>
    <row r="138" spans="1:6" ht="18" customHeight="1">
      <c r="A138" s="662" t="s">
        <v>534</v>
      </c>
      <c r="B138" s="664" t="s">
        <v>535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500</v>
      </c>
      <c r="B141" s="95" t="s">
        <v>536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502</v>
      </c>
      <c r="C142" s="97">
        <v>14593645</v>
      </c>
      <c r="D142" s="97">
        <v>15535687</v>
      </c>
      <c r="E142" s="97">
        <f aca="true" t="shared" si="20" ref="E142:E153">D142-C142</f>
        <v>942042</v>
      </c>
      <c r="F142" s="98">
        <f aca="true" t="shared" si="21" ref="F142:F153">IF(C142=0,0,E142/C142)</f>
        <v>0.06455152225506376</v>
      </c>
    </row>
    <row r="143" spans="1:6" ht="18" customHeight="1">
      <c r="A143" s="99">
        <v>2</v>
      </c>
      <c r="B143" s="100" t="s">
        <v>503</v>
      </c>
      <c r="C143" s="97">
        <v>5165545</v>
      </c>
      <c r="D143" s="97">
        <v>6015830</v>
      </c>
      <c r="E143" s="97">
        <f t="shared" si="20"/>
        <v>850285</v>
      </c>
      <c r="F143" s="98">
        <f t="shared" si="21"/>
        <v>0.16460702597692983</v>
      </c>
    </row>
    <row r="144" spans="1:6" ht="18" customHeight="1">
      <c r="A144" s="99">
        <v>3</v>
      </c>
      <c r="B144" s="100" t="s">
        <v>504</v>
      </c>
      <c r="C144" s="97">
        <v>12324834</v>
      </c>
      <c r="D144" s="97">
        <v>13375671</v>
      </c>
      <c r="E144" s="97">
        <f t="shared" si="20"/>
        <v>1050837</v>
      </c>
      <c r="F144" s="98">
        <f t="shared" si="21"/>
        <v>0.08526175687234408</v>
      </c>
    </row>
    <row r="145" spans="1:6" ht="18" customHeight="1">
      <c r="A145" s="99">
        <v>4</v>
      </c>
      <c r="B145" s="100" t="s">
        <v>505</v>
      </c>
      <c r="C145" s="97">
        <v>22691174</v>
      </c>
      <c r="D145" s="97">
        <v>30597908</v>
      </c>
      <c r="E145" s="97">
        <f t="shared" si="20"/>
        <v>7906734</v>
      </c>
      <c r="F145" s="98">
        <f t="shared" si="21"/>
        <v>0.3484497540761884</v>
      </c>
    </row>
    <row r="146" spans="1:6" ht="18" customHeight="1">
      <c r="A146" s="99">
        <v>5</v>
      </c>
      <c r="B146" s="100" t="s">
        <v>506</v>
      </c>
      <c r="C146" s="97">
        <v>145783</v>
      </c>
      <c r="D146" s="97">
        <v>227654</v>
      </c>
      <c r="E146" s="97">
        <f t="shared" si="20"/>
        <v>81871</v>
      </c>
      <c r="F146" s="98">
        <f t="shared" si="21"/>
        <v>0.5615949733508022</v>
      </c>
    </row>
    <row r="147" spans="1:6" ht="18" customHeight="1">
      <c r="A147" s="99">
        <v>6</v>
      </c>
      <c r="B147" s="100" t="s">
        <v>507</v>
      </c>
      <c r="C147" s="97">
        <v>2691478</v>
      </c>
      <c r="D147" s="97">
        <v>16715928</v>
      </c>
      <c r="E147" s="97">
        <f t="shared" si="20"/>
        <v>14024450</v>
      </c>
      <c r="F147" s="98">
        <f t="shared" si="21"/>
        <v>5.21068721349385</v>
      </c>
    </row>
    <row r="148" spans="1:6" ht="18" customHeight="1">
      <c r="A148" s="99">
        <v>7</v>
      </c>
      <c r="B148" s="100" t="s">
        <v>508</v>
      </c>
      <c r="C148" s="97">
        <v>33322885</v>
      </c>
      <c r="D148" s="97">
        <v>21081519</v>
      </c>
      <c r="E148" s="97">
        <f t="shared" si="20"/>
        <v>-12241366</v>
      </c>
      <c r="F148" s="98">
        <f t="shared" si="21"/>
        <v>-0.3673561277782521</v>
      </c>
    </row>
    <row r="149" spans="1:6" ht="18" customHeight="1">
      <c r="A149" s="99">
        <v>8</v>
      </c>
      <c r="B149" s="100" t="s">
        <v>509</v>
      </c>
      <c r="C149" s="97">
        <v>998281</v>
      </c>
      <c r="D149" s="97">
        <v>1082253</v>
      </c>
      <c r="E149" s="97">
        <f t="shared" si="20"/>
        <v>83972</v>
      </c>
      <c r="F149" s="98">
        <f t="shared" si="21"/>
        <v>0.0841165964292619</v>
      </c>
    </row>
    <row r="150" spans="1:6" ht="18" customHeight="1">
      <c r="A150" s="99">
        <v>9</v>
      </c>
      <c r="B150" s="100" t="s">
        <v>510</v>
      </c>
      <c r="C150" s="97">
        <v>17980260</v>
      </c>
      <c r="D150" s="97">
        <v>20954690</v>
      </c>
      <c r="E150" s="97">
        <f t="shared" si="20"/>
        <v>2974430</v>
      </c>
      <c r="F150" s="98">
        <f t="shared" si="21"/>
        <v>0.16542752996897708</v>
      </c>
    </row>
    <row r="151" spans="1:6" ht="18" customHeight="1">
      <c r="A151" s="99">
        <v>10</v>
      </c>
      <c r="B151" s="100" t="s">
        <v>511</v>
      </c>
      <c r="C151" s="97">
        <v>9116487</v>
      </c>
      <c r="D151" s="97">
        <v>11426870</v>
      </c>
      <c r="E151" s="97">
        <f t="shared" si="20"/>
        <v>2310383</v>
      </c>
      <c r="F151" s="98">
        <f t="shared" si="21"/>
        <v>0.25342908951660875</v>
      </c>
    </row>
    <row r="152" spans="1:6" ht="18" customHeight="1">
      <c r="A152" s="99">
        <v>11</v>
      </c>
      <c r="B152" s="100" t="s">
        <v>512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537</v>
      </c>
      <c r="C153" s="103">
        <f>SUM(C142:C152)</f>
        <v>119030372</v>
      </c>
      <c r="D153" s="103">
        <f>SUM(D142:D152)</f>
        <v>137014010</v>
      </c>
      <c r="E153" s="103">
        <f t="shared" si="20"/>
        <v>17983638</v>
      </c>
      <c r="F153" s="104">
        <f t="shared" si="21"/>
        <v>0.15108444758956144</v>
      </c>
    </row>
    <row r="154" spans="1:6" ht="18" customHeight="1">
      <c r="A154" s="94" t="s">
        <v>514</v>
      </c>
      <c r="B154" s="95" t="s">
        <v>538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502</v>
      </c>
      <c r="C155" s="97">
        <v>4937735</v>
      </c>
      <c r="D155" s="97">
        <v>5198214</v>
      </c>
      <c r="E155" s="97">
        <f aca="true" t="shared" si="22" ref="E155:E166">D155-C155</f>
        <v>260479</v>
      </c>
      <c r="F155" s="98">
        <f aca="true" t="shared" si="23" ref="F155:F166">IF(C155=0,0,E155/C155)</f>
        <v>0.05275272974349575</v>
      </c>
    </row>
    <row r="156" spans="1:6" ht="18" customHeight="1">
      <c r="A156" s="99">
        <v>2</v>
      </c>
      <c r="B156" s="100" t="s">
        <v>503</v>
      </c>
      <c r="C156" s="97">
        <v>972888</v>
      </c>
      <c r="D156" s="97">
        <v>1455372</v>
      </c>
      <c r="E156" s="97">
        <f t="shared" si="22"/>
        <v>482484</v>
      </c>
      <c r="F156" s="98">
        <f t="shared" si="23"/>
        <v>0.49592964452228827</v>
      </c>
    </row>
    <row r="157" spans="1:6" ht="18" customHeight="1">
      <c r="A157" s="99">
        <v>3</v>
      </c>
      <c r="B157" s="100" t="s">
        <v>504</v>
      </c>
      <c r="C157" s="97">
        <v>2248618</v>
      </c>
      <c r="D157" s="97">
        <v>2411263</v>
      </c>
      <c r="E157" s="97">
        <f t="shared" si="22"/>
        <v>162645</v>
      </c>
      <c r="F157" s="98">
        <f t="shared" si="23"/>
        <v>0.07233109403197875</v>
      </c>
    </row>
    <row r="158" spans="1:6" ht="18" customHeight="1">
      <c r="A158" s="99">
        <v>4</v>
      </c>
      <c r="B158" s="100" t="s">
        <v>505</v>
      </c>
      <c r="C158" s="97">
        <v>4294987</v>
      </c>
      <c r="D158" s="97">
        <v>5723780</v>
      </c>
      <c r="E158" s="97">
        <f t="shared" si="22"/>
        <v>1428793</v>
      </c>
      <c r="F158" s="98">
        <f t="shared" si="23"/>
        <v>0.33266526767135735</v>
      </c>
    </row>
    <row r="159" spans="1:6" ht="18" customHeight="1">
      <c r="A159" s="99">
        <v>5</v>
      </c>
      <c r="B159" s="100" t="s">
        <v>506</v>
      </c>
      <c r="C159" s="97">
        <v>45187</v>
      </c>
      <c r="D159" s="97">
        <v>70314</v>
      </c>
      <c r="E159" s="97">
        <f t="shared" si="22"/>
        <v>25127</v>
      </c>
      <c r="F159" s="98">
        <f t="shared" si="23"/>
        <v>0.5560670104233518</v>
      </c>
    </row>
    <row r="160" spans="1:6" ht="18" customHeight="1">
      <c r="A160" s="99">
        <v>6</v>
      </c>
      <c r="B160" s="100" t="s">
        <v>507</v>
      </c>
      <c r="C160" s="97">
        <v>1870609</v>
      </c>
      <c r="D160" s="97">
        <v>6238455</v>
      </c>
      <c r="E160" s="97">
        <f t="shared" si="22"/>
        <v>4367846</v>
      </c>
      <c r="F160" s="98">
        <f t="shared" si="23"/>
        <v>2.334986092764442</v>
      </c>
    </row>
    <row r="161" spans="1:6" ht="18" customHeight="1">
      <c r="A161" s="99">
        <v>7</v>
      </c>
      <c r="B161" s="100" t="s">
        <v>508</v>
      </c>
      <c r="C161" s="97">
        <v>11286202</v>
      </c>
      <c r="D161" s="97">
        <v>7577315</v>
      </c>
      <c r="E161" s="97">
        <f t="shared" si="22"/>
        <v>-3708887</v>
      </c>
      <c r="F161" s="98">
        <f t="shared" si="23"/>
        <v>-0.32862135552774974</v>
      </c>
    </row>
    <row r="162" spans="1:6" ht="18" customHeight="1">
      <c r="A162" s="99">
        <v>8</v>
      </c>
      <c r="B162" s="100" t="s">
        <v>509</v>
      </c>
      <c r="C162" s="97">
        <v>708811</v>
      </c>
      <c r="D162" s="97">
        <v>670508</v>
      </c>
      <c r="E162" s="97">
        <f t="shared" si="22"/>
        <v>-38303</v>
      </c>
      <c r="F162" s="98">
        <f t="shared" si="23"/>
        <v>-0.054038382587177684</v>
      </c>
    </row>
    <row r="163" spans="1:6" ht="18" customHeight="1">
      <c r="A163" s="99">
        <v>9</v>
      </c>
      <c r="B163" s="100" t="s">
        <v>510</v>
      </c>
      <c r="C163" s="97">
        <v>17978821</v>
      </c>
      <c r="D163" s="97">
        <v>20772002</v>
      </c>
      <c r="E163" s="97">
        <f t="shared" si="22"/>
        <v>2793181</v>
      </c>
      <c r="F163" s="98">
        <f t="shared" si="23"/>
        <v>0.1553595199596236</v>
      </c>
    </row>
    <row r="164" spans="1:6" ht="18" customHeight="1">
      <c r="A164" s="99">
        <v>10</v>
      </c>
      <c r="B164" s="100" t="s">
        <v>511</v>
      </c>
      <c r="C164" s="97">
        <v>1516040</v>
      </c>
      <c r="D164" s="97">
        <v>1351334</v>
      </c>
      <c r="E164" s="97">
        <f t="shared" si="22"/>
        <v>-164706</v>
      </c>
      <c r="F164" s="98">
        <f t="shared" si="23"/>
        <v>-0.1086422521833197</v>
      </c>
    </row>
    <row r="165" spans="1:6" ht="18" customHeight="1">
      <c r="A165" s="99">
        <v>11</v>
      </c>
      <c r="B165" s="100" t="s">
        <v>512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539</v>
      </c>
      <c r="C166" s="103">
        <f>SUM(C155:C165)</f>
        <v>45859898</v>
      </c>
      <c r="D166" s="103">
        <f>SUM(D155:D165)</f>
        <v>51468557</v>
      </c>
      <c r="E166" s="103">
        <f t="shared" si="22"/>
        <v>5608659</v>
      </c>
      <c r="F166" s="104">
        <f t="shared" si="23"/>
        <v>0.12229985771010655</v>
      </c>
    </row>
    <row r="167" spans="1:6" ht="18" customHeight="1">
      <c r="A167" s="94" t="s">
        <v>531</v>
      </c>
      <c r="B167" s="95" t="s">
        <v>540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502</v>
      </c>
      <c r="C168" s="117">
        <v>5031</v>
      </c>
      <c r="D168" s="117">
        <v>5522</v>
      </c>
      <c r="E168" s="117">
        <f aca="true" t="shared" si="24" ref="E168:E179">D168-C168</f>
        <v>491</v>
      </c>
      <c r="F168" s="98">
        <f aca="true" t="shared" si="25" ref="F168:F179">IF(C168=0,0,E168/C168)</f>
        <v>0.09759491154839992</v>
      </c>
    </row>
    <row r="169" spans="1:6" ht="18" customHeight="1">
      <c r="A169" s="99">
        <v>2</v>
      </c>
      <c r="B169" s="100" t="s">
        <v>503</v>
      </c>
      <c r="C169" s="117">
        <v>1569</v>
      </c>
      <c r="D169" s="117">
        <v>1913</v>
      </c>
      <c r="E169" s="117">
        <f t="shared" si="24"/>
        <v>344</v>
      </c>
      <c r="F169" s="98">
        <f t="shared" si="25"/>
        <v>0.21924792861695347</v>
      </c>
    </row>
    <row r="170" spans="1:6" ht="18" customHeight="1">
      <c r="A170" s="99">
        <v>3</v>
      </c>
      <c r="B170" s="100" t="s">
        <v>504</v>
      </c>
      <c r="C170" s="117">
        <v>6537</v>
      </c>
      <c r="D170" s="117">
        <v>6965</v>
      </c>
      <c r="E170" s="117">
        <f t="shared" si="24"/>
        <v>428</v>
      </c>
      <c r="F170" s="98">
        <f t="shared" si="25"/>
        <v>0.06547345877313752</v>
      </c>
    </row>
    <row r="171" spans="1:6" ht="18" customHeight="1">
      <c r="A171" s="99">
        <v>4</v>
      </c>
      <c r="B171" s="100" t="s">
        <v>505</v>
      </c>
      <c r="C171" s="117">
        <v>14579</v>
      </c>
      <c r="D171" s="117">
        <v>19534</v>
      </c>
      <c r="E171" s="117">
        <f t="shared" si="24"/>
        <v>4955</v>
      </c>
      <c r="F171" s="98">
        <f t="shared" si="25"/>
        <v>0.33987241923314354</v>
      </c>
    </row>
    <row r="172" spans="1:6" ht="18" customHeight="1">
      <c r="A172" s="99">
        <v>5</v>
      </c>
      <c r="B172" s="100" t="s">
        <v>506</v>
      </c>
      <c r="C172" s="117">
        <v>90</v>
      </c>
      <c r="D172" s="117">
        <v>136</v>
      </c>
      <c r="E172" s="117">
        <f t="shared" si="24"/>
        <v>46</v>
      </c>
      <c r="F172" s="98">
        <f t="shared" si="25"/>
        <v>0.5111111111111111</v>
      </c>
    </row>
    <row r="173" spans="1:6" ht="18" customHeight="1">
      <c r="A173" s="99">
        <v>6</v>
      </c>
      <c r="B173" s="100" t="s">
        <v>507</v>
      </c>
      <c r="C173" s="117">
        <v>1035</v>
      </c>
      <c r="D173" s="117">
        <v>7093</v>
      </c>
      <c r="E173" s="117">
        <f t="shared" si="24"/>
        <v>6058</v>
      </c>
      <c r="F173" s="98">
        <f t="shared" si="25"/>
        <v>5.8531400966183575</v>
      </c>
    </row>
    <row r="174" spans="1:6" ht="18" customHeight="1">
      <c r="A174" s="99">
        <v>7</v>
      </c>
      <c r="B174" s="100" t="s">
        <v>508</v>
      </c>
      <c r="C174" s="117">
        <v>14023</v>
      </c>
      <c r="D174" s="117">
        <v>9052</v>
      </c>
      <c r="E174" s="117">
        <f t="shared" si="24"/>
        <v>-4971</v>
      </c>
      <c r="F174" s="98">
        <f t="shared" si="25"/>
        <v>-0.35448905369749695</v>
      </c>
    </row>
    <row r="175" spans="1:6" ht="18" customHeight="1">
      <c r="A175" s="99">
        <v>8</v>
      </c>
      <c r="B175" s="100" t="s">
        <v>509</v>
      </c>
      <c r="C175" s="117">
        <v>475</v>
      </c>
      <c r="D175" s="117">
        <v>529</v>
      </c>
      <c r="E175" s="117">
        <f t="shared" si="24"/>
        <v>54</v>
      </c>
      <c r="F175" s="98">
        <f t="shared" si="25"/>
        <v>0.11368421052631579</v>
      </c>
    </row>
    <row r="176" spans="1:6" ht="18" customHeight="1">
      <c r="A176" s="99">
        <v>9</v>
      </c>
      <c r="B176" s="100" t="s">
        <v>510</v>
      </c>
      <c r="C176" s="117">
        <v>8787</v>
      </c>
      <c r="D176" s="117">
        <v>10274</v>
      </c>
      <c r="E176" s="117">
        <f t="shared" si="24"/>
        <v>1487</v>
      </c>
      <c r="F176" s="98">
        <f t="shared" si="25"/>
        <v>0.16922726755434164</v>
      </c>
    </row>
    <row r="177" spans="1:6" ht="18" customHeight="1">
      <c r="A177" s="99">
        <v>10</v>
      </c>
      <c r="B177" s="100" t="s">
        <v>511</v>
      </c>
      <c r="C177" s="117">
        <v>4454</v>
      </c>
      <c r="D177" s="117">
        <v>5794</v>
      </c>
      <c r="E177" s="117">
        <f t="shared" si="24"/>
        <v>1340</v>
      </c>
      <c r="F177" s="98">
        <f t="shared" si="25"/>
        <v>0.3008531656937584</v>
      </c>
    </row>
    <row r="178" spans="1:6" ht="18" customHeight="1">
      <c r="A178" s="99">
        <v>11</v>
      </c>
      <c r="B178" s="100" t="s">
        <v>512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541</v>
      </c>
      <c r="C179" s="118">
        <f>SUM(C168:C178)</f>
        <v>56580</v>
      </c>
      <c r="D179" s="118">
        <f>SUM(D168:D178)</f>
        <v>66812</v>
      </c>
      <c r="E179" s="118">
        <f t="shared" si="24"/>
        <v>10232</v>
      </c>
      <c r="F179" s="104">
        <f t="shared" si="25"/>
        <v>0.1808412866737363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2" horizontalDpi="1200" verticalDpi="1200" orientation="portrait" paperSize="9" scale="65" r:id="rId1"/>
  <headerFooter alignWithMargins="0">
    <oddHeader>&amp;LOFFICE OF HEALTH CARE ACCESS&amp;CTWELVE MONTHS ACTUAL FILING&amp;RBRIDGEPORT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390</v>
      </c>
      <c r="E2" s="123"/>
      <c r="F2" s="123"/>
      <c r="G2" s="124"/>
    </row>
    <row r="3" spans="1:7" ht="15.75" customHeight="1">
      <c r="A3" s="121"/>
      <c r="C3" s="123" t="s">
        <v>391</v>
      </c>
      <c r="E3" s="123"/>
      <c r="F3" s="123"/>
      <c r="G3" s="124"/>
    </row>
    <row r="4" spans="1:7" ht="15.75" customHeight="1">
      <c r="A4" s="121"/>
      <c r="C4" s="123" t="s">
        <v>392</v>
      </c>
      <c r="E4" s="123"/>
      <c r="F4" s="123"/>
      <c r="G4" s="124"/>
    </row>
    <row r="5" spans="1:7" ht="15.75" customHeight="1">
      <c r="A5" s="121"/>
      <c r="C5" s="123" t="s">
        <v>542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394</v>
      </c>
      <c r="D9" s="127" t="s">
        <v>395</v>
      </c>
      <c r="E9" s="129" t="s">
        <v>396</v>
      </c>
      <c r="F9" s="130" t="s">
        <v>543</v>
      </c>
      <c r="G9" s="124"/>
    </row>
    <row r="10" spans="1:7" ht="15.75" customHeight="1">
      <c r="A10" s="131" t="s">
        <v>544</v>
      </c>
      <c r="B10" s="132" t="s">
        <v>399</v>
      </c>
      <c r="C10" s="133" t="s">
        <v>400</v>
      </c>
      <c r="D10" s="133" t="s">
        <v>400</v>
      </c>
      <c r="E10" s="134" t="s">
        <v>401</v>
      </c>
      <c r="F10" s="133" t="s">
        <v>401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402</v>
      </c>
      <c r="B12" s="139" t="s">
        <v>545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500</v>
      </c>
      <c r="B14" s="145" t="s">
        <v>546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547</v>
      </c>
      <c r="C15" s="146">
        <v>41382100</v>
      </c>
      <c r="D15" s="146">
        <v>42767886</v>
      </c>
      <c r="E15" s="146">
        <f>+D15-C15</f>
        <v>1385786</v>
      </c>
      <c r="F15" s="150">
        <f>IF(C15=0,0,E15/C15)</f>
        <v>0.0334875707129411</v>
      </c>
    </row>
    <row r="16" spans="1:6" ht="15" customHeight="1">
      <c r="A16" s="141">
        <v>2</v>
      </c>
      <c r="B16" s="149" t="s">
        <v>548</v>
      </c>
      <c r="C16" s="146">
        <v>8413688</v>
      </c>
      <c r="D16" s="146">
        <v>8311122</v>
      </c>
      <c r="E16" s="146">
        <f>+D16-C16</f>
        <v>-102566</v>
      </c>
      <c r="F16" s="150">
        <f>IF(C16=0,0,E16/C16)</f>
        <v>-0.012190373591224206</v>
      </c>
    </row>
    <row r="17" spans="1:6" ht="15" customHeight="1">
      <c r="A17" s="141">
        <v>3</v>
      </c>
      <c r="B17" s="149" t="s">
        <v>549</v>
      </c>
      <c r="C17" s="146">
        <v>65423212</v>
      </c>
      <c r="D17" s="146">
        <v>79408992</v>
      </c>
      <c r="E17" s="146">
        <f>+D17-C17</f>
        <v>13985780</v>
      </c>
      <c r="F17" s="150">
        <f>IF(C17=0,0,E17/C17)</f>
        <v>0.2137739736777216</v>
      </c>
    </row>
    <row r="18" spans="1:7" ht="15.75" customHeight="1">
      <c r="A18" s="141"/>
      <c r="B18" s="151" t="s">
        <v>550</v>
      </c>
      <c r="C18" s="147">
        <f>SUM(C15:C17)</f>
        <v>115219000</v>
      </c>
      <c r="D18" s="147">
        <f>SUM(D15:D17)</f>
        <v>130488000</v>
      </c>
      <c r="E18" s="147">
        <f>+D18-C18</f>
        <v>15269000</v>
      </c>
      <c r="F18" s="148">
        <f>IF(C18=0,0,E18/C18)</f>
        <v>0.13252154592558518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514</v>
      </c>
      <c r="B20" s="145" t="s">
        <v>551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552</v>
      </c>
      <c r="C21" s="146">
        <v>9692122</v>
      </c>
      <c r="D21" s="146">
        <v>10711918</v>
      </c>
      <c r="E21" s="146">
        <f>+D21-C21</f>
        <v>1019796</v>
      </c>
      <c r="F21" s="150">
        <f>IF(C21=0,0,E21/C21)</f>
        <v>0.10521906348269244</v>
      </c>
    </row>
    <row r="22" spans="1:6" ht="15" customHeight="1">
      <c r="A22" s="141">
        <v>2</v>
      </c>
      <c r="B22" s="149" t="s">
        <v>553</v>
      </c>
      <c r="C22" s="146">
        <v>2243039</v>
      </c>
      <c r="D22" s="146">
        <v>2452306</v>
      </c>
      <c r="E22" s="146">
        <f>+D22-C22</f>
        <v>209267</v>
      </c>
      <c r="F22" s="150">
        <f>IF(C22=0,0,E22/C22)</f>
        <v>0.0932961932449681</v>
      </c>
    </row>
    <row r="23" spans="1:6" ht="15" customHeight="1">
      <c r="A23" s="141">
        <v>3</v>
      </c>
      <c r="B23" s="149" t="s">
        <v>554</v>
      </c>
      <c r="C23" s="146">
        <v>24240839</v>
      </c>
      <c r="D23" s="146">
        <v>25392776</v>
      </c>
      <c r="E23" s="146">
        <f>+D23-C23</f>
        <v>1151937</v>
      </c>
      <c r="F23" s="150">
        <f>IF(C23=0,0,E23/C23)</f>
        <v>0.047520508675462925</v>
      </c>
    </row>
    <row r="24" spans="1:7" ht="15.75" customHeight="1">
      <c r="A24" s="141"/>
      <c r="B24" s="151" t="s">
        <v>555</v>
      </c>
      <c r="C24" s="147">
        <f>SUM(C21:C23)</f>
        <v>36176000</v>
      </c>
      <c r="D24" s="147">
        <f>SUM(D21:D23)</f>
        <v>38557000</v>
      </c>
      <c r="E24" s="147">
        <f>+D24-C24</f>
        <v>2381000</v>
      </c>
      <c r="F24" s="148">
        <f>IF(C24=0,0,E24/C24)</f>
        <v>0.0658171163202123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531</v>
      </c>
      <c r="B26" s="145" t="s">
        <v>556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557</v>
      </c>
      <c r="C27" s="146">
        <v>4453000</v>
      </c>
      <c r="D27" s="146">
        <v>2744248</v>
      </c>
      <c r="E27" s="146">
        <f>+D27-C27</f>
        <v>-1708752</v>
      </c>
      <c r="F27" s="150">
        <f>IF(C27=0,0,E27/C27)</f>
        <v>-0.38373051875140357</v>
      </c>
    </row>
    <row r="28" spans="1:6" ht="15" customHeight="1">
      <c r="A28" s="141">
        <v>2</v>
      </c>
      <c r="B28" s="149" t="s">
        <v>558</v>
      </c>
      <c r="C28" s="146">
        <v>13977000</v>
      </c>
      <c r="D28" s="146">
        <v>15538000</v>
      </c>
      <c r="E28" s="146">
        <f>+D28-C28</f>
        <v>1561000</v>
      </c>
      <c r="F28" s="150">
        <f>IF(C28=0,0,E28/C28)</f>
        <v>0.11168348000286185</v>
      </c>
    </row>
    <row r="29" spans="1:6" ht="15" customHeight="1">
      <c r="A29" s="141">
        <v>3</v>
      </c>
      <c r="B29" s="149" t="s">
        <v>559</v>
      </c>
      <c r="C29" s="146">
        <v>14605182</v>
      </c>
      <c r="D29" s="146">
        <v>20347594</v>
      </c>
      <c r="E29" s="146">
        <f>+D29-C29</f>
        <v>5742412</v>
      </c>
      <c r="F29" s="150">
        <f>IF(C29=0,0,E29/C29)</f>
        <v>0.3931763397402374</v>
      </c>
    </row>
    <row r="30" spans="1:7" ht="15.75" customHeight="1">
      <c r="A30" s="141"/>
      <c r="B30" s="151" t="s">
        <v>560</v>
      </c>
      <c r="C30" s="147">
        <f>SUM(C27:C29)</f>
        <v>33035182</v>
      </c>
      <c r="D30" s="147">
        <f>SUM(D27:D29)</f>
        <v>38629842</v>
      </c>
      <c r="E30" s="147">
        <f>+D30-C30</f>
        <v>5594660</v>
      </c>
      <c r="F30" s="148">
        <f>IF(C30=0,0,E30/C30)</f>
        <v>0.16935459898480354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561</v>
      </c>
      <c r="B32" s="145" t="s">
        <v>562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563</v>
      </c>
      <c r="C33" s="146">
        <v>36937000</v>
      </c>
      <c r="D33" s="146">
        <v>35569000</v>
      </c>
      <c r="E33" s="146">
        <f>+D33-C33</f>
        <v>-1368000</v>
      </c>
      <c r="F33" s="150">
        <f>IF(C33=0,0,E33/C33)</f>
        <v>-0.03703603432872188</v>
      </c>
    </row>
    <row r="34" spans="1:6" ht="15" customHeight="1">
      <c r="A34" s="141">
        <v>2</v>
      </c>
      <c r="B34" s="149" t="s">
        <v>564</v>
      </c>
      <c r="C34" s="146">
        <v>9990000</v>
      </c>
      <c r="D34" s="146">
        <v>9846000</v>
      </c>
      <c r="E34" s="146">
        <f>+D34-C34</f>
        <v>-144000</v>
      </c>
      <c r="F34" s="150">
        <f>IF(C34=0,0,E34/C34)</f>
        <v>-0.014414414414414415</v>
      </c>
    </row>
    <row r="35" spans="1:7" ht="15.75" customHeight="1">
      <c r="A35" s="141"/>
      <c r="B35" s="151" t="s">
        <v>565</v>
      </c>
      <c r="C35" s="147">
        <f>SUM(C33:C34)</f>
        <v>46927000</v>
      </c>
      <c r="D35" s="147">
        <f>SUM(D33:D34)</f>
        <v>45415000</v>
      </c>
      <c r="E35" s="147">
        <f>+D35-C35</f>
        <v>-1512000</v>
      </c>
      <c r="F35" s="148">
        <f>IF(C35=0,0,E35/C35)</f>
        <v>-0.032220256994906986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566</v>
      </c>
      <c r="B37" s="145" t="s">
        <v>567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568</v>
      </c>
      <c r="C38" s="146">
        <v>8928000</v>
      </c>
      <c r="D38" s="146">
        <v>9866000</v>
      </c>
      <c r="E38" s="146">
        <f>+D38-C38</f>
        <v>938000</v>
      </c>
      <c r="F38" s="150">
        <f>IF(C38=0,0,E38/C38)</f>
        <v>0.10506272401433692</v>
      </c>
    </row>
    <row r="39" spans="1:6" ht="15" customHeight="1">
      <c r="A39" s="141">
        <v>2</v>
      </c>
      <c r="B39" s="149" t="s">
        <v>569</v>
      </c>
      <c r="C39" s="146">
        <v>8231000</v>
      </c>
      <c r="D39" s="146">
        <v>9096000</v>
      </c>
      <c r="E39" s="146">
        <f>+D39-C39</f>
        <v>865000</v>
      </c>
      <c r="F39" s="150">
        <f>IF(C39=0,0,E39/C39)</f>
        <v>0.10509051148098651</v>
      </c>
    </row>
    <row r="40" spans="1:6" ht="15" customHeight="1">
      <c r="A40" s="141">
        <v>3</v>
      </c>
      <c r="B40" s="149" t="s">
        <v>570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571</v>
      </c>
      <c r="C41" s="147">
        <f>SUM(C38:C40)</f>
        <v>17159000</v>
      </c>
      <c r="D41" s="147">
        <f>SUM(D38:D40)</f>
        <v>18962000</v>
      </c>
      <c r="E41" s="147">
        <f>+D41-C41</f>
        <v>1803000</v>
      </c>
      <c r="F41" s="148">
        <f>IF(C41=0,0,E41/C41)</f>
        <v>0.10507605338306428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572</v>
      </c>
      <c r="B43" s="145" t="s">
        <v>573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475</v>
      </c>
      <c r="C44" s="146">
        <v>5659000</v>
      </c>
      <c r="D44" s="146">
        <v>13240000</v>
      </c>
      <c r="E44" s="146">
        <f>+D44-C44</f>
        <v>7581000</v>
      </c>
      <c r="F44" s="150">
        <f>IF(C44=0,0,E44/C44)</f>
        <v>1.3396359780880014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574</v>
      </c>
      <c r="B46" s="145" t="s">
        <v>575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576</v>
      </c>
      <c r="C47" s="146">
        <v>3483000</v>
      </c>
      <c r="D47" s="146">
        <v>3200000</v>
      </c>
      <c r="E47" s="146">
        <f>+D47-C47</f>
        <v>-283000</v>
      </c>
      <c r="F47" s="150">
        <f>IF(C47=0,0,E47/C47)</f>
        <v>-0.08125179443008901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577</v>
      </c>
      <c r="B49" s="145" t="s">
        <v>578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579</v>
      </c>
      <c r="C50" s="146">
        <v>8622000</v>
      </c>
      <c r="D50" s="146">
        <v>12652000</v>
      </c>
      <c r="E50" s="146">
        <f>+D50-C50</f>
        <v>4030000</v>
      </c>
      <c r="F50" s="150">
        <f>IF(C50=0,0,E50/C50)</f>
        <v>0.4674089538390165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580</v>
      </c>
      <c r="B52" s="145" t="s">
        <v>581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582</v>
      </c>
      <c r="C53" s="146">
        <v>247000</v>
      </c>
      <c r="D53" s="146">
        <v>199502</v>
      </c>
      <c r="E53" s="146">
        <f aca="true" t="shared" si="0" ref="E53:E59">+D53-C53</f>
        <v>-47498</v>
      </c>
      <c r="F53" s="150">
        <f aca="true" t="shared" si="1" ref="F53:F59">IF(C53=0,0,E53/C53)</f>
        <v>-0.1922995951417004</v>
      </c>
    </row>
    <row r="54" spans="1:6" ht="15" customHeight="1">
      <c r="A54" s="141">
        <v>2</v>
      </c>
      <c r="B54" s="149" t="s">
        <v>583</v>
      </c>
      <c r="C54" s="146">
        <v>2402000</v>
      </c>
      <c r="D54" s="146">
        <v>2197040</v>
      </c>
      <c r="E54" s="146">
        <f t="shared" si="0"/>
        <v>-204960</v>
      </c>
      <c r="F54" s="150">
        <f t="shared" si="1"/>
        <v>-0.08532889258950874</v>
      </c>
    </row>
    <row r="55" spans="1:6" ht="15" customHeight="1">
      <c r="A55" s="141">
        <v>3</v>
      </c>
      <c r="B55" s="149" t="s">
        <v>584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6" ht="15" customHeight="1">
      <c r="A56" s="141">
        <v>4</v>
      </c>
      <c r="B56" s="149" t="s">
        <v>585</v>
      </c>
      <c r="C56" s="146">
        <v>3758000</v>
      </c>
      <c r="D56" s="146">
        <v>3805879</v>
      </c>
      <c r="E56" s="146">
        <f t="shared" si="0"/>
        <v>47879</v>
      </c>
      <c r="F56" s="150">
        <f t="shared" si="1"/>
        <v>0.012740553485896753</v>
      </c>
    </row>
    <row r="57" spans="1:6" ht="15" customHeight="1">
      <c r="A57" s="141">
        <v>5</v>
      </c>
      <c r="B57" s="149" t="s">
        <v>586</v>
      </c>
      <c r="C57" s="146">
        <v>461000</v>
      </c>
      <c r="D57" s="146">
        <v>468581</v>
      </c>
      <c r="E57" s="146">
        <f t="shared" si="0"/>
        <v>7581</v>
      </c>
      <c r="F57" s="150">
        <f t="shared" si="1"/>
        <v>0.01644468546637744</v>
      </c>
    </row>
    <row r="58" spans="1:6" ht="15" customHeight="1">
      <c r="A58" s="141">
        <v>6</v>
      </c>
      <c r="B58" s="149" t="s">
        <v>587</v>
      </c>
      <c r="C58" s="146">
        <v>130000</v>
      </c>
      <c r="D58" s="146">
        <v>123225</v>
      </c>
      <c r="E58" s="146">
        <f t="shared" si="0"/>
        <v>-6775</v>
      </c>
      <c r="F58" s="150">
        <f t="shared" si="1"/>
        <v>-0.05211538461538461</v>
      </c>
    </row>
    <row r="59" spans="1:7" ht="15.75" customHeight="1">
      <c r="A59" s="141"/>
      <c r="B59" s="151" t="s">
        <v>588</v>
      </c>
      <c r="C59" s="147">
        <f>SUM(C53:C58)</f>
        <v>6998000</v>
      </c>
      <c r="D59" s="147">
        <f>SUM(D53:D58)</f>
        <v>6794227</v>
      </c>
      <c r="E59" s="147">
        <f t="shared" si="0"/>
        <v>-203773</v>
      </c>
      <c r="F59" s="148">
        <f t="shared" si="1"/>
        <v>-0.029118748213775365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589</v>
      </c>
      <c r="B61" s="145" t="s">
        <v>590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591</v>
      </c>
      <c r="C62" s="146">
        <v>316000</v>
      </c>
      <c r="D62" s="146">
        <v>324796</v>
      </c>
      <c r="E62" s="146">
        <f aca="true" t="shared" si="2" ref="E62:E78">+D62-C62</f>
        <v>8796</v>
      </c>
      <c r="F62" s="150">
        <f aca="true" t="shared" si="3" ref="F62:F78">IF(C62=0,0,E62/C62)</f>
        <v>0.027835443037974684</v>
      </c>
    </row>
    <row r="63" spans="1:6" ht="15" customHeight="1">
      <c r="A63" s="141">
        <v>2</v>
      </c>
      <c r="B63" s="149" t="s">
        <v>592</v>
      </c>
      <c r="C63" s="146">
        <v>997000</v>
      </c>
      <c r="D63" s="146">
        <v>1084214</v>
      </c>
      <c r="E63" s="146">
        <f t="shared" si="2"/>
        <v>87214</v>
      </c>
      <c r="F63" s="150">
        <f t="shared" si="3"/>
        <v>0.08747642928786359</v>
      </c>
    </row>
    <row r="64" spans="1:6" ht="15" customHeight="1">
      <c r="A64" s="141">
        <v>3</v>
      </c>
      <c r="B64" s="149" t="s">
        <v>593</v>
      </c>
      <c r="C64" s="146">
        <v>1859000</v>
      </c>
      <c r="D64" s="146">
        <v>3219951</v>
      </c>
      <c r="E64" s="146">
        <f t="shared" si="2"/>
        <v>1360951</v>
      </c>
      <c r="F64" s="150">
        <f t="shared" si="3"/>
        <v>0.73208768154922</v>
      </c>
    </row>
    <row r="65" spans="1:6" ht="15" customHeight="1">
      <c r="A65" s="141">
        <v>4</v>
      </c>
      <c r="B65" s="149" t="s">
        <v>594</v>
      </c>
      <c r="C65" s="146">
        <v>517000</v>
      </c>
      <c r="D65" s="146">
        <v>193501</v>
      </c>
      <c r="E65" s="146">
        <f t="shared" si="2"/>
        <v>-323499</v>
      </c>
      <c r="F65" s="150">
        <f t="shared" si="3"/>
        <v>-0.6257234042553191</v>
      </c>
    </row>
    <row r="66" spans="1:6" ht="15" customHeight="1">
      <c r="A66" s="141">
        <v>5</v>
      </c>
      <c r="B66" s="149" t="s">
        <v>595</v>
      </c>
      <c r="C66" s="146">
        <v>97000</v>
      </c>
      <c r="D66" s="146">
        <v>72592</v>
      </c>
      <c r="E66" s="146">
        <f t="shared" si="2"/>
        <v>-24408</v>
      </c>
      <c r="F66" s="150">
        <f t="shared" si="3"/>
        <v>-0.25162886597938144</v>
      </c>
    </row>
    <row r="67" spans="1:6" ht="15" customHeight="1">
      <c r="A67" s="141">
        <v>6</v>
      </c>
      <c r="B67" s="149" t="s">
        <v>596</v>
      </c>
      <c r="C67" s="146">
        <v>1035000</v>
      </c>
      <c r="D67" s="146">
        <v>1345951</v>
      </c>
      <c r="E67" s="146">
        <f t="shared" si="2"/>
        <v>310951</v>
      </c>
      <c r="F67" s="150">
        <f t="shared" si="3"/>
        <v>0.30043574879227053</v>
      </c>
    </row>
    <row r="68" spans="1:6" ht="15" customHeight="1">
      <c r="A68" s="141">
        <v>7</v>
      </c>
      <c r="B68" s="149" t="s">
        <v>597</v>
      </c>
      <c r="C68" s="146">
        <v>6151000</v>
      </c>
      <c r="D68" s="146">
        <v>7181156</v>
      </c>
      <c r="E68" s="146">
        <f t="shared" si="2"/>
        <v>1030156</v>
      </c>
      <c r="F68" s="150">
        <f t="shared" si="3"/>
        <v>0.16747780848642496</v>
      </c>
    </row>
    <row r="69" spans="1:6" ht="15" customHeight="1">
      <c r="A69" s="141">
        <v>8</v>
      </c>
      <c r="B69" s="149" t="s">
        <v>598</v>
      </c>
      <c r="C69" s="146">
        <v>901000</v>
      </c>
      <c r="D69" s="146">
        <v>983845</v>
      </c>
      <c r="E69" s="146">
        <f t="shared" si="2"/>
        <v>82845</v>
      </c>
      <c r="F69" s="150">
        <f t="shared" si="3"/>
        <v>0.0919478357380688</v>
      </c>
    </row>
    <row r="70" spans="1:6" ht="15" customHeight="1">
      <c r="A70" s="141">
        <v>9</v>
      </c>
      <c r="B70" s="149" t="s">
        <v>599</v>
      </c>
      <c r="C70" s="146">
        <v>439000</v>
      </c>
      <c r="D70" s="146">
        <v>279211</v>
      </c>
      <c r="E70" s="146">
        <f t="shared" si="2"/>
        <v>-159789</v>
      </c>
      <c r="F70" s="150">
        <f t="shared" si="3"/>
        <v>-0.36398405466970385</v>
      </c>
    </row>
    <row r="71" spans="1:6" ht="15" customHeight="1">
      <c r="A71" s="141">
        <v>10</v>
      </c>
      <c r="B71" s="149" t="s">
        <v>600</v>
      </c>
      <c r="C71" s="146">
        <v>7000</v>
      </c>
      <c r="D71" s="146">
        <v>9706</v>
      </c>
      <c r="E71" s="146">
        <f t="shared" si="2"/>
        <v>2706</v>
      </c>
      <c r="F71" s="150">
        <f t="shared" si="3"/>
        <v>0.38657142857142857</v>
      </c>
    </row>
    <row r="72" spans="1:6" ht="15" customHeight="1">
      <c r="A72" s="141">
        <v>11</v>
      </c>
      <c r="B72" s="149" t="s">
        <v>601</v>
      </c>
      <c r="C72" s="146">
        <v>157000</v>
      </c>
      <c r="D72" s="146">
        <v>184336</v>
      </c>
      <c r="E72" s="146">
        <f t="shared" si="2"/>
        <v>27336</v>
      </c>
      <c r="F72" s="150">
        <f t="shared" si="3"/>
        <v>0.17411464968152865</v>
      </c>
    </row>
    <row r="73" spans="1:6" ht="15" customHeight="1">
      <c r="A73" s="141">
        <v>12</v>
      </c>
      <c r="B73" s="149" t="s">
        <v>602</v>
      </c>
      <c r="C73" s="146">
        <v>6454000</v>
      </c>
      <c r="D73" s="146">
        <v>6288319</v>
      </c>
      <c r="E73" s="146">
        <f t="shared" si="2"/>
        <v>-165681</v>
      </c>
      <c r="F73" s="150">
        <f t="shared" si="3"/>
        <v>-0.025671056709017665</v>
      </c>
    </row>
    <row r="74" spans="1:6" ht="15" customHeight="1">
      <c r="A74" s="141">
        <v>13</v>
      </c>
      <c r="B74" s="149" t="s">
        <v>603</v>
      </c>
      <c r="C74" s="146">
        <v>338000</v>
      </c>
      <c r="D74" s="146">
        <v>316231</v>
      </c>
      <c r="E74" s="146">
        <f t="shared" si="2"/>
        <v>-21769</v>
      </c>
      <c r="F74" s="150">
        <f t="shared" si="3"/>
        <v>-0.06440532544378698</v>
      </c>
    </row>
    <row r="75" spans="1:6" ht="15" customHeight="1">
      <c r="A75" s="141">
        <v>14</v>
      </c>
      <c r="B75" s="149" t="s">
        <v>604</v>
      </c>
      <c r="C75" s="146">
        <v>378000</v>
      </c>
      <c r="D75" s="146">
        <v>540066</v>
      </c>
      <c r="E75" s="146">
        <f t="shared" si="2"/>
        <v>162066</v>
      </c>
      <c r="F75" s="150">
        <f t="shared" si="3"/>
        <v>0.42874603174603176</v>
      </c>
    </row>
    <row r="76" spans="1:6" ht="15" customHeight="1">
      <c r="A76" s="141">
        <v>15</v>
      </c>
      <c r="B76" s="149" t="s">
        <v>605</v>
      </c>
      <c r="C76" s="146">
        <v>0</v>
      </c>
      <c r="D76" s="146">
        <v>0</v>
      </c>
      <c r="E76" s="146">
        <f t="shared" si="2"/>
        <v>0</v>
      </c>
      <c r="F76" s="150">
        <f t="shared" si="3"/>
        <v>0</v>
      </c>
    </row>
    <row r="77" spans="1:6" ht="15" customHeight="1">
      <c r="A77" s="141">
        <v>16</v>
      </c>
      <c r="B77" s="149" t="s">
        <v>606</v>
      </c>
      <c r="C77" s="146">
        <v>16488818</v>
      </c>
      <c r="D77" s="146">
        <v>9874624</v>
      </c>
      <c r="E77" s="146">
        <f t="shared" si="2"/>
        <v>-6614194</v>
      </c>
      <c r="F77" s="150">
        <f t="shared" si="3"/>
        <v>-0.4011320884250163</v>
      </c>
    </row>
    <row r="78" spans="1:7" ht="15.75" customHeight="1">
      <c r="A78" s="141"/>
      <c r="B78" s="151" t="s">
        <v>607</v>
      </c>
      <c r="C78" s="147">
        <f>SUM(C62:C77)</f>
        <v>36134818</v>
      </c>
      <c r="D78" s="147">
        <f>SUM(D62:D77)</f>
        <v>31898499</v>
      </c>
      <c r="E78" s="147">
        <f t="shared" si="2"/>
        <v>-4236319</v>
      </c>
      <c r="F78" s="148">
        <f t="shared" si="3"/>
        <v>-0.11723648365961052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608</v>
      </c>
      <c r="B80" s="145" t="s">
        <v>609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610</v>
      </c>
      <c r="C81" s="146">
        <v>24096000</v>
      </c>
      <c r="D81" s="146">
        <v>11218432</v>
      </c>
      <c r="E81" s="146">
        <f>+D81-C81</f>
        <v>-12877568</v>
      </c>
      <c r="F81" s="150">
        <f>IF(C81=0,0,E81/C81)</f>
        <v>-0.5344276228419654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611</v>
      </c>
      <c r="C83" s="147">
        <f>+C81+C78+C59+C50+C47+C44+C41+C35+C30+C24+C18</f>
        <v>333509000</v>
      </c>
      <c r="D83" s="147">
        <f>+D81+D78+D59+D50+D47+D44+D41+D35+D30+D24+D18</f>
        <v>351055000</v>
      </c>
      <c r="E83" s="147">
        <f>+D83-C83</f>
        <v>17546000</v>
      </c>
      <c r="F83" s="148">
        <f>IF(C83=0,0,E83/C83)</f>
        <v>0.05261027438539889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612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434</v>
      </c>
      <c r="B88" s="142" t="s">
        <v>613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500</v>
      </c>
      <c r="B90" s="145" t="s">
        <v>614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615</v>
      </c>
      <c r="C91" s="146">
        <v>23307000</v>
      </c>
      <c r="D91" s="146">
        <v>27584359</v>
      </c>
      <c r="E91" s="146">
        <f aca="true" t="shared" si="4" ref="E91:E109">D91-C91</f>
        <v>4277359</v>
      </c>
      <c r="F91" s="150">
        <f aca="true" t="shared" si="5" ref="F91:F109">IF(C91=0,0,E91/C91)</f>
        <v>0.18352250396876474</v>
      </c>
      <c r="G91" s="155"/>
    </row>
    <row r="92" spans="1:7" ht="15" customHeight="1">
      <c r="A92" s="141">
        <v>2</v>
      </c>
      <c r="B92" s="161" t="s">
        <v>616</v>
      </c>
      <c r="C92" s="146">
        <v>1657000</v>
      </c>
      <c r="D92" s="146">
        <v>1875546</v>
      </c>
      <c r="E92" s="146">
        <f t="shared" si="4"/>
        <v>218546</v>
      </c>
      <c r="F92" s="150">
        <f t="shared" si="5"/>
        <v>0.13189257694628848</v>
      </c>
      <c r="G92" s="155"/>
    </row>
    <row r="93" spans="1:7" ht="15" customHeight="1">
      <c r="A93" s="141">
        <v>3</v>
      </c>
      <c r="B93" s="161" t="s">
        <v>617</v>
      </c>
      <c r="C93" s="146">
        <v>6557000</v>
      </c>
      <c r="D93" s="146">
        <v>7213846</v>
      </c>
      <c r="E93" s="146">
        <f t="shared" si="4"/>
        <v>656846</v>
      </c>
      <c r="F93" s="150">
        <f t="shared" si="5"/>
        <v>0.10017477504956535</v>
      </c>
      <c r="G93" s="155"/>
    </row>
    <row r="94" spans="1:7" ht="15" customHeight="1">
      <c r="A94" s="141">
        <v>4</v>
      </c>
      <c r="B94" s="161" t="s">
        <v>618</v>
      </c>
      <c r="C94" s="146">
        <v>1454000</v>
      </c>
      <c r="D94" s="146">
        <v>1102805</v>
      </c>
      <c r="E94" s="146">
        <f t="shared" si="4"/>
        <v>-351195</v>
      </c>
      <c r="F94" s="150">
        <f t="shared" si="5"/>
        <v>-0.24153713892709766</v>
      </c>
      <c r="G94" s="155"/>
    </row>
    <row r="95" spans="1:7" ht="15" customHeight="1">
      <c r="A95" s="141">
        <v>5</v>
      </c>
      <c r="B95" s="161" t="s">
        <v>619</v>
      </c>
      <c r="C95" s="146">
        <v>6537000</v>
      </c>
      <c r="D95" s="146">
        <v>6555976</v>
      </c>
      <c r="E95" s="146">
        <f t="shared" si="4"/>
        <v>18976</v>
      </c>
      <c r="F95" s="150">
        <f t="shared" si="5"/>
        <v>0.0029028606394370508</v>
      </c>
      <c r="G95" s="155"/>
    </row>
    <row r="96" spans="1:7" ht="15" customHeight="1">
      <c r="A96" s="141">
        <v>6</v>
      </c>
      <c r="B96" s="161" t="s">
        <v>620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>
      <c r="A97" s="141">
        <v>7</v>
      </c>
      <c r="B97" s="161" t="s">
        <v>621</v>
      </c>
      <c r="C97" s="146">
        <v>37823000</v>
      </c>
      <c r="D97" s="146">
        <v>38894716</v>
      </c>
      <c r="E97" s="146">
        <f t="shared" si="4"/>
        <v>1071716</v>
      </c>
      <c r="F97" s="150">
        <f t="shared" si="5"/>
        <v>0.028335034238426354</v>
      </c>
      <c r="G97" s="155"/>
    </row>
    <row r="98" spans="1:7" ht="15" customHeight="1">
      <c r="A98" s="141">
        <v>8</v>
      </c>
      <c r="B98" s="161" t="s">
        <v>622</v>
      </c>
      <c r="C98" s="146">
        <v>4000</v>
      </c>
      <c r="D98" s="146">
        <v>3469</v>
      </c>
      <c r="E98" s="146">
        <f t="shared" si="4"/>
        <v>-531</v>
      </c>
      <c r="F98" s="150">
        <f t="shared" si="5"/>
        <v>-0.13275</v>
      </c>
      <c r="G98" s="155"/>
    </row>
    <row r="99" spans="1:7" ht="15" customHeight="1">
      <c r="A99" s="141">
        <v>9</v>
      </c>
      <c r="B99" s="161" t="s">
        <v>623</v>
      </c>
      <c r="C99" s="146">
        <v>322000</v>
      </c>
      <c r="D99" s="146">
        <v>269276</v>
      </c>
      <c r="E99" s="146">
        <f t="shared" si="4"/>
        <v>-52724</v>
      </c>
      <c r="F99" s="150">
        <f t="shared" si="5"/>
        <v>-0.1637391304347826</v>
      </c>
      <c r="G99" s="155"/>
    </row>
    <row r="100" spans="1:7" ht="15" customHeight="1">
      <c r="A100" s="141">
        <v>10</v>
      </c>
      <c r="B100" s="161" t="s">
        <v>624</v>
      </c>
      <c r="C100" s="146">
        <v>3660000</v>
      </c>
      <c r="D100" s="146">
        <v>3649804</v>
      </c>
      <c r="E100" s="146">
        <f t="shared" si="4"/>
        <v>-10196</v>
      </c>
      <c r="F100" s="150">
        <f t="shared" si="5"/>
        <v>-0.002785792349726776</v>
      </c>
      <c r="G100" s="155"/>
    </row>
    <row r="101" spans="1:7" ht="15" customHeight="1">
      <c r="A101" s="141">
        <v>11</v>
      </c>
      <c r="B101" s="161" t="s">
        <v>625</v>
      </c>
      <c r="C101" s="146">
        <v>3339000</v>
      </c>
      <c r="D101" s="146">
        <v>3290578</v>
      </c>
      <c r="E101" s="146">
        <f t="shared" si="4"/>
        <v>-48422</v>
      </c>
      <c r="F101" s="150">
        <f t="shared" si="5"/>
        <v>-0.014501946690625937</v>
      </c>
      <c r="G101" s="155"/>
    </row>
    <row r="102" spans="1:7" ht="15" customHeight="1">
      <c r="A102" s="141">
        <v>12</v>
      </c>
      <c r="B102" s="161" t="s">
        <v>626</v>
      </c>
      <c r="C102" s="146">
        <v>0</v>
      </c>
      <c r="D102" s="146">
        <v>53</v>
      </c>
      <c r="E102" s="146">
        <f t="shared" si="4"/>
        <v>53</v>
      </c>
      <c r="F102" s="150">
        <f t="shared" si="5"/>
        <v>0</v>
      </c>
      <c r="G102" s="155"/>
    </row>
    <row r="103" spans="1:7" ht="15" customHeight="1">
      <c r="A103" s="141">
        <v>13</v>
      </c>
      <c r="B103" s="161" t="s">
        <v>627</v>
      </c>
      <c r="C103" s="146">
        <v>6339000</v>
      </c>
      <c r="D103" s="146">
        <v>6001462</v>
      </c>
      <c r="E103" s="146">
        <f t="shared" si="4"/>
        <v>-337538</v>
      </c>
      <c r="F103" s="150">
        <f t="shared" si="5"/>
        <v>-0.05324783088815271</v>
      </c>
      <c r="G103" s="155"/>
    </row>
    <row r="104" spans="1:7" ht="15" customHeight="1">
      <c r="A104" s="141">
        <v>14</v>
      </c>
      <c r="B104" s="161" t="s">
        <v>628</v>
      </c>
      <c r="C104" s="146">
        <v>1659000</v>
      </c>
      <c r="D104" s="146">
        <v>1652654</v>
      </c>
      <c r="E104" s="146">
        <f t="shared" si="4"/>
        <v>-6346</v>
      </c>
      <c r="F104" s="150">
        <f t="shared" si="5"/>
        <v>-0.003825195901145268</v>
      </c>
      <c r="G104" s="155"/>
    </row>
    <row r="105" spans="1:7" ht="15" customHeight="1">
      <c r="A105" s="141">
        <v>15</v>
      </c>
      <c r="B105" s="161" t="s">
        <v>597</v>
      </c>
      <c r="C105" s="146">
        <v>4971000</v>
      </c>
      <c r="D105" s="146">
        <v>5147421</v>
      </c>
      <c r="E105" s="146">
        <f t="shared" si="4"/>
        <v>176421</v>
      </c>
      <c r="F105" s="150">
        <f t="shared" si="5"/>
        <v>0.03549004224502112</v>
      </c>
      <c r="G105" s="155"/>
    </row>
    <row r="106" spans="1:7" ht="15" customHeight="1">
      <c r="A106" s="141">
        <v>16</v>
      </c>
      <c r="B106" s="161" t="s">
        <v>629</v>
      </c>
      <c r="C106" s="146">
        <v>2863000</v>
      </c>
      <c r="D106" s="146">
        <v>2706120</v>
      </c>
      <c r="E106" s="146">
        <f t="shared" si="4"/>
        <v>-156880</v>
      </c>
      <c r="F106" s="150">
        <f t="shared" si="5"/>
        <v>-0.05479566887879846</v>
      </c>
      <c r="G106" s="155"/>
    </row>
    <row r="107" spans="1:7" ht="15" customHeight="1">
      <c r="A107" s="141">
        <v>17</v>
      </c>
      <c r="B107" s="161" t="s">
        <v>630</v>
      </c>
      <c r="C107" s="146">
        <v>12790000</v>
      </c>
      <c r="D107" s="146">
        <v>12414482</v>
      </c>
      <c r="E107" s="146">
        <f t="shared" si="4"/>
        <v>-375518</v>
      </c>
      <c r="F107" s="150">
        <f t="shared" si="5"/>
        <v>-0.02936028146989836</v>
      </c>
      <c r="G107" s="155"/>
    </row>
    <row r="108" spans="1:7" ht="15" customHeight="1">
      <c r="A108" s="141">
        <v>18</v>
      </c>
      <c r="B108" s="161" t="s">
        <v>631</v>
      </c>
      <c r="C108" s="146">
        <v>29738000</v>
      </c>
      <c r="D108" s="146">
        <v>33341690</v>
      </c>
      <c r="E108" s="146">
        <f t="shared" si="4"/>
        <v>3603690</v>
      </c>
      <c r="F108" s="150">
        <f t="shared" si="5"/>
        <v>0.12118131683368082</v>
      </c>
      <c r="G108" s="155"/>
    </row>
    <row r="109" spans="1:7" ht="15.75" customHeight="1">
      <c r="A109" s="141"/>
      <c r="B109" s="154" t="s">
        <v>632</v>
      </c>
      <c r="C109" s="147">
        <f>SUM(C91:C108)</f>
        <v>143020000</v>
      </c>
      <c r="D109" s="147">
        <f>SUM(D91:D108)</f>
        <v>151704257</v>
      </c>
      <c r="E109" s="147">
        <f t="shared" si="4"/>
        <v>8684257</v>
      </c>
      <c r="F109" s="148">
        <f t="shared" si="5"/>
        <v>0.06072057754160257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514</v>
      </c>
      <c r="B111" s="145" t="s">
        <v>633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634</v>
      </c>
      <c r="C112" s="146">
        <v>0</v>
      </c>
      <c r="D112" s="146">
        <v>0</v>
      </c>
      <c r="E112" s="146">
        <f aca="true" t="shared" si="6" ref="E112:E118">D112-C112</f>
        <v>0</v>
      </c>
      <c r="F112" s="150">
        <f aca="true" t="shared" si="7" ref="F112:F118">IF(C112=0,0,E112/C112)</f>
        <v>0</v>
      </c>
      <c r="G112" s="155"/>
    </row>
    <row r="113" spans="1:7" ht="15" customHeight="1">
      <c r="A113" s="141">
        <v>2</v>
      </c>
      <c r="B113" s="161" t="s">
        <v>635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636</v>
      </c>
      <c r="C114" s="146">
        <v>3066000</v>
      </c>
      <c r="D114" s="146">
        <v>2700797</v>
      </c>
      <c r="E114" s="146">
        <f t="shared" si="6"/>
        <v>-365203</v>
      </c>
      <c r="F114" s="150">
        <f t="shared" si="7"/>
        <v>-0.11911382909328115</v>
      </c>
      <c r="G114" s="155"/>
    </row>
    <row r="115" spans="1:7" ht="15" customHeight="1">
      <c r="A115" s="141">
        <v>4</v>
      </c>
      <c r="B115" s="161" t="s">
        <v>637</v>
      </c>
      <c r="C115" s="146">
        <v>2653000</v>
      </c>
      <c r="D115" s="146">
        <v>2630522</v>
      </c>
      <c r="E115" s="146">
        <f t="shared" si="6"/>
        <v>-22478</v>
      </c>
      <c r="F115" s="150">
        <f t="shared" si="7"/>
        <v>-0.008472672446287221</v>
      </c>
      <c r="G115" s="155"/>
    </row>
    <row r="116" spans="1:7" ht="15" customHeight="1">
      <c r="A116" s="141">
        <v>5</v>
      </c>
      <c r="B116" s="161" t="s">
        <v>638</v>
      </c>
      <c r="C116" s="146">
        <v>2581000</v>
      </c>
      <c r="D116" s="146">
        <v>2417960</v>
      </c>
      <c r="E116" s="146">
        <f t="shared" si="6"/>
        <v>-163040</v>
      </c>
      <c r="F116" s="150">
        <f t="shared" si="7"/>
        <v>-0.06316931421929485</v>
      </c>
      <c r="G116" s="155"/>
    </row>
    <row r="117" spans="1:7" ht="15" customHeight="1">
      <c r="A117" s="141">
        <v>6</v>
      </c>
      <c r="B117" s="161" t="s">
        <v>639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640</v>
      </c>
      <c r="C118" s="147">
        <f>SUM(C112:C117)</f>
        <v>8300000</v>
      </c>
      <c r="D118" s="147">
        <f>SUM(D112:D117)</f>
        <v>7749279</v>
      </c>
      <c r="E118" s="147">
        <f t="shared" si="6"/>
        <v>-550721</v>
      </c>
      <c r="F118" s="148">
        <f t="shared" si="7"/>
        <v>-0.06635192771084338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531</v>
      </c>
      <c r="B120" s="145" t="s">
        <v>641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642</v>
      </c>
      <c r="C121" s="146">
        <v>22297000</v>
      </c>
      <c r="D121" s="146">
        <v>22204008</v>
      </c>
      <c r="E121" s="146">
        <f aca="true" t="shared" si="8" ref="E121:E155">D121-C121</f>
        <v>-92992</v>
      </c>
      <c r="F121" s="150">
        <f aca="true" t="shared" si="9" ref="F121:F155">IF(C121=0,0,E121/C121)</f>
        <v>-0.004170605911109118</v>
      </c>
      <c r="G121" s="155"/>
    </row>
    <row r="122" spans="1:7" ht="15" customHeight="1">
      <c r="A122" s="141">
        <v>2</v>
      </c>
      <c r="B122" s="161" t="s">
        <v>643</v>
      </c>
      <c r="C122" s="146">
        <v>1485000</v>
      </c>
      <c r="D122" s="146">
        <v>1432159</v>
      </c>
      <c r="E122" s="146">
        <f t="shared" si="8"/>
        <v>-52841</v>
      </c>
      <c r="F122" s="150">
        <f t="shared" si="9"/>
        <v>-0.03558316498316498</v>
      </c>
      <c r="G122" s="155"/>
    </row>
    <row r="123" spans="1:7" ht="15" customHeight="1">
      <c r="A123" s="141">
        <v>3</v>
      </c>
      <c r="B123" s="161" t="s">
        <v>644</v>
      </c>
      <c r="C123" s="146">
        <v>2168000</v>
      </c>
      <c r="D123" s="146">
        <v>2403919</v>
      </c>
      <c r="E123" s="146">
        <f t="shared" si="8"/>
        <v>235919</v>
      </c>
      <c r="F123" s="150">
        <f t="shared" si="9"/>
        <v>0.10881872693726938</v>
      </c>
      <c r="G123" s="155"/>
    </row>
    <row r="124" spans="1:7" ht="15" customHeight="1">
      <c r="A124" s="141">
        <v>4</v>
      </c>
      <c r="B124" s="161" t="s">
        <v>645</v>
      </c>
      <c r="C124" s="146">
        <v>3969000</v>
      </c>
      <c r="D124" s="146">
        <v>3873868</v>
      </c>
      <c r="E124" s="146">
        <f t="shared" si="8"/>
        <v>-95132</v>
      </c>
      <c r="F124" s="150">
        <f t="shared" si="9"/>
        <v>-0.023968757873519778</v>
      </c>
      <c r="G124" s="155"/>
    </row>
    <row r="125" spans="1:7" ht="15" customHeight="1">
      <c r="A125" s="141">
        <v>5</v>
      </c>
      <c r="B125" s="161" t="s">
        <v>646</v>
      </c>
      <c r="C125" s="146">
        <v>5060000</v>
      </c>
      <c r="D125" s="146">
        <v>5175499</v>
      </c>
      <c r="E125" s="146">
        <f t="shared" si="8"/>
        <v>115499</v>
      </c>
      <c r="F125" s="150">
        <f t="shared" si="9"/>
        <v>0.022825889328063242</v>
      </c>
      <c r="G125" s="155"/>
    </row>
    <row r="126" spans="1:7" ht="15" customHeight="1">
      <c r="A126" s="141">
        <v>6</v>
      </c>
      <c r="B126" s="161" t="s">
        <v>647</v>
      </c>
      <c r="C126" s="146">
        <v>1238000</v>
      </c>
      <c r="D126" s="146">
        <v>1286104</v>
      </c>
      <c r="E126" s="146">
        <f t="shared" si="8"/>
        <v>48104</v>
      </c>
      <c r="F126" s="150">
        <f t="shared" si="9"/>
        <v>0.0388562197092084</v>
      </c>
      <c r="G126" s="155"/>
    </row>
    <row r="127" spans="1:7" ht="15" customHeight="1">
      <c r="A127" s="141">
        <v>7</v>
      </c>
      <c r="B127" s="161" t="s">
        <v>648</v>
      </c>
      <c r="C127" s="146">
        <v>1090000</v>
      </c>
      <c r="D127" s="146">
        <v>1477774</v>
      </c>
      <c r="E127" s="146">
        <f t="shared" si="8"/>
        <v>387774</v>
      </c>
      <c r="F127" s="150">
        <f t="shared" si="9"/>
        <v>0.3557559633027523</v>
      </c>
      <c r="G127" s="155"/>
    </row>
    <row r="128" spans="1:7" ht="15" customHeight="1">
      <c r="A128" s="141">
        <v>8</v>
      </c>
      <c r="B128" s="161" t="s">
        <v>649</v>
      </c>
      <c r="C128" s="146">
        <v>679000</v>
      </c>
      <c r="D128" s="146">
        <v>672676</v>
      </c>
      <c r="E128" s="146">
        <f t="shared" si="8"/>
        <v>-6324</v>
      </c>
      <c r="F128" s="150">
        <f t="shared" si="9"/>
        <v>-0.009313696612665685</v>
      </c>
      <c r="G128" s="155"/>
    </row>
    <row r="129" spans="1:7" ht="15" customHeight="1">
      <c r="A129" s="141">
        <v>9</v>
      </c>
      <c r="B129" s="161" t="s">
        <v>650</v>
      </c>
      <c r="C129" s="146">
        <v>1122000</v>
      </c>
      <c r="D129" s="146">
        <v>1106710</v>
      </c>
      <c r="E129" s="146">
        <f t="shared" si="8"/>
        <v>-15290</v>
      </c>
      <c r="F129" s="150">
        <f t="shared" si="9"/>
        <v>-0.013627450980392157</v>
      </c>
      <c r="G129" s="155"/>
    </row>
    <row r="130" spans="1:7" ht="15" customHeight="1">
      <c r="A130" s="141">
        <v>10</v>
      </c>
      <c r="B130" s="161" t="s">
        <v>651</v>
      </c>
      <c r="C130" s="146">
        <v>11724000</v>
      </c>
      <c r="D130" s="146">
        <v>12068330</v>
      </c>
      <c r="E130" s="146">
        <f t="shared" si="8"/>
        <v>344330</v>
      </c>
      <c r="F130" s="150">
        <f t="shared" si="9"/>
        <v>0.029369669054930058</v>
      </c>
      <c r="G130" s="155"/>
    </row>
    <row r="131" spans="1:7" ht="15" customHeight="1">
      <c r="A131" s="141">
        <v>11</v>
      </c>
      <c r="B131" s="161" t="s">
        <v>652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653</v>
      </c>
      <c r="C132" s="146">
        <v>11496000</v>
      </c>
      <c r="D132" s="146">
        <v>9527659</v>
      </c>
      <c r="E132" s="146">
        <f t="shared" si="8"/>
        <v>-1968341</v>
      </c>
      <c r="F132" s="150">
        <f t="shared" si="9"/>
        <v>-0.1712196416144746</v>
      </c>
      <c r="G132" s="155"/>
    </row>
    <row r="133" spans="1:7" ht="15" customHeight="1">
      <c r="A133" s="141">
        <v>13</v>
      </c>
      <c r="B133" s="161" t="s">
        <v>654</v>
      </c>
      <c r="C133" s="146">
        <v>1432000</v>
      </c>
      <c r="D133" s="146">
        <v>1407814</v>
      </c>
      <c r="E133" s="146">
        <f t="shared" si="8"/>
        <v>-24186</v>
      </c>
      <c r="F133" s="150">
        <f t="shared" si="9"/>
        <v>-0.016889664804469275</v>
      </c>
      <c r="G133" s="155"/>
    </row>
    <row r="134" spans="1:7" ht="15" customHeight="1">
      <c r="A134" s="141">
        <v>14</v>
      </c>
      <c r="B134" s="161" t="s">
        <v>655</v>
      </c>
      <c r="C134" s="146">
        <v>118000</v>
      </c>
      <c r="D134" s="146">
        <v>119217</v>
      </c>
      <c r="E134" s="146">
        <f t="shared" si="8"/>
        <v>1217</v>
      </c>
      <c r="F134" s="150">
        <f t="shared" si="9"/>
        <v>0.010313559322033898</v>
      </c>
      <c r="G134" s="155"/>
    </row>
    <row r="135" spans="1:7" ht="15" customHeight="1">
      <c r="A135" s="141">
        <v>15</v>
      </c>
      <c r="B135" s="161" t="s">
        <v>656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657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658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659</v>
      </c>
      <c r="C138" s="146">
        <v>3099000</v>
      </c>
      <c r="D138" s="146">
        <v>2654465</v>
      </c>
      <c r="E138" s="146">
        <f t="shared" si="8"/>
        <v>-444535</v>
      </c>
      <c r="F138" s="150">
        <f t="shared" si="9"/>
        <v>-0.14344465956760244</v>
      </c>
      <c r="G138" s="155"/>
    </row>
    <row r="139" spans="1:7" ht="15" customHeight="1">
      <c r="A139" s="141">
        <v>19</v>
      </c>
      <c r="B139" s="161" t="s">
        <v>660</v>
      </c>
      <c r="C139" s="146">
        <v>274000</v>
      </c>
      <c r="D139" s="146">
        <v>233168</v>
      </c>
      <c r="E139" s="146">
        <f t="shared" si="8"/>
        <v>-40832</v>
      </c>
      <c r="F139" s="150">
        <f t="shared" si="9"/>
        <v>-0.149021897810219</v>
      </c>
      <c r="G139" s="155"/>
    </row>
    <row r="140" spans="1:7" ht="15" customHeight="1">
      <c r="A140" s="141">
        <v>20</v>
      </c>
      <c r="B140" s="161" t="s">
        <v>661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>
      <c r="A141" s="141">
        <v>21</v>
      </c>
      <c r="B141" s="161" t="s">
        <v>662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663</v>
      </c>
      <c r="C142" s="146">
        <v>1541000</v>
      </c>
      <c r="D142" s="146">
        <v>1482524</v>
      </c>
      <c r="E142" s="146">
        <f t="shared" si="8"/>
        <v>-58476</v>
      </c>
      <c r="F142" s="150">
        <f t="shared" si="9"/>
        <v>-0.037946787800129785</v>
      </c>
      <c r="G142" s="155"/>
    </row>
    <row r="143" spans="1:7" ht="15" customHeight="1">
      <c r="A143" s="141">
        <v>23</v>
      </c>
      <c r="B143" s="161" t="s">
        <v>664</v>
      </c>
      <c r="C143" s="146">
        <v>553000</v>
      </c>
      <c r="D143" s="146">
        <v>631139</v>
      </c>
      <c r="E143" s="146">
        <f t="shared" si="8"/>
        <v>78139</v>
      </c>
      <c r="F143" s="150">
        <f t="shared" si="9"/>
        <v>0.1413001808318264</v>
      </c>
      <c r="G143" s="155"/>
    </row>
    <row r="144" spans="1:7" ht="15" customHeight="1">
      <c r="A144" s="141">
        <v>24</v>
      </c>
      <c r="B144" s="161" t="s">
        <v>665</v>
      </c>
      <c r="C144" s="146">
        <v>14269000</v>
      </c>
      <c r="D144" s="146">
        <v>15151233</v>
      </c>
      <c r="E144" s="146">
        <f t="shared" si="8"/>
        <v>882233</v>
      </c>
      <c r="F144" s="150">
        <f t="shared" si="9"/>
        <v>0.06182864951993833</v>
      </c>
      <c r="G144" s="155"/>
    </row>
    <row r="145" spans="1:7" ht="15" customHeight="1">
      <c r="A145" s="141">
        <v>25</v>
      </c>
      <c r="B145" s="161" t="s">
        <v>666</v>
      </c>
      <c r="C145" s="146">
        <v>0</v>
      </c>
      <c r="D145" s="146">
        <v>0</v>
      </c>
      <c r="E145" s="146">
        <f t="shared" si="8"/>
        <v>0</v>
      </c>
      <c r="F145" s="150">
        <f t="shared" si="9"/>
        <v>0</v>
      </c>
      <c r="G145" s="155"/>
    </row>
    <row r="146" spans="1:7" ht="15" customHeight="1">
      <c r="A146" s="141">
        <v>26</v>
      </c>
      <c r="B146" s="161" t="s">
        <v>667</v>
      </c>
      <c r="C146" s="146">
        <v>293000</v>
      </c>
      <c r="D146" s="146">
        <v>216842</v>
      </c>
      <c r="E146" s="146">
        <f t="shared" si="8"/>
        <v>-76158</v>
      </c>
      <c r="F146" s="150">
        <f t="shared" si="9"/>
        <v>-0.2599249146757679</v>
      </c>
      <c r="G146" s="155"/>
    </row>
    <row r="147" spans="1:7" ht="15" customHeight="1">
      <c r="A147" s="141">
        <v>27</v>
      </c>
      <c r="B147" s="161" t="s">
        <v>668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669</v>
      </c>
      <c r="C148" s="146">
        <v>2393000</v>
      </c>
      <c r="D148" s="146">
        <v>2460268</v>
      </c>
      <c r="E148" s="146">
        <f t="shared" si="8"/>
        <v>67268</v>
      </c>
      <c r="F148" s="150">
        <f t="shared" si="9"/>
        <v>0.028110321771834517</v>
      </c>
      <c r="G148" s="155"/>
    </row>
    <row r="149" spans="1:7" ht="15" customHeight="1">
      <c r="A149" s="141">
        <v>29</v>
      </c>
      <c r="B149" s="161" t="s">
        <v>670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671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672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673</v>
      </c>
      <c r="C152" s="146">
        <v>5687000</v>
      </c>
      <c r="D152" s="146">
        <v>5220667</v>
      </c>
      <c r="E152" s="146">
        <f t="shared" si="8"/>
        <v>-466333</v>
      </c>
      <c r="F152" s="150">
        <f t="shared" si="9"/>
        <v>-0.08199982416036575</v>
      </c>
      <c r="G152" s="155"/>
    </row>
    <row r="153" spans="1:7" ht="15" customHeight="1">
      <c r="A153" s="141">
        <v>33</v>
      </c>
      <c r="B153" s="161" t="s">
        <v>674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675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.75" customHeight="1">
      <c r="A155" s="141"/>
      <c r="B155" s="154" t="s">
        <v>676</v>
      </c>
      <c r="C155" s="147">
        <f>SUM(C121:C154)</f>
        <v>91987000</v>
      </c>
      <c r="D155" s="147">
        <f>SUM(D121:D154)</f>
        <v>90806043</v>
      </c>
      <c r="E155" s="147">
        <f t="shared" si="8"/>
        <v>-1180957</v>
      </c>
      <c r="F155" s="148">
        <f t="shared" si="9"/>
        <v>-0.012838303238501093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561</v>
      </c>
      <c r="B157" s="145" t="s">
        <v>677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678</v>
      </c>
      <c r="C158" s="146">
        <v>43707000</v>
      </c>
      <c r="D158" s="146">
        <v>41416122</v>
      </c>
      <c r="E158" s="146">
        <f aca="true" t="shared" si="10" ref="E158:E171">D158-C158</f>
        <v>-2290878</v>
      </c>
      <c r="F158" s="150">
        <f aca="true" t="shared" si="11" ref="F158:F171">IF(C158=0,0,E158/C158)</f>
        <v>-0.052414441622623376</v>
      </c>
      <c r="G158" s="155"/>
    </row>
    <row r="159" spans="1:7" ht="15" customHeight="1">
      <c r="A159" s="141">
        <v>2</v>
      </c>
      <c r="B159" s="161" t="s">
        <v>679</v>
      </c>
      <c r="C159" s="146">
        <v>3461000</v>
      </c>
      <c r="D159" s="146">
        <v>3170841</v>
      </c>
      <c r="E159" s="146">
        <f t="shared" si="10"/>
        <v>-290159</v>
      </c>
      <c r="F159" s="150">
        <f t="shared" si="11"/>
        <v>-0.08383675238370414</v>
      </c>
      <c r="G159" s="155"/>
    </row>
    <row r="160" spans="1:7" ht="15" customHeight="1">
      <c r="A160" s="141">
        <v>3</v>
      </c>
      <c r="B160" s="161" t="s">
        <v>680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681</v>
      </c>
      <c r="C161" s="146">
        <v>1713000</v>
      </c>
      <c r="D161" s="146">
        <v>1776814</v>
      </c>
      <c r="E161" s="146">
        <f t="shared" si="10"/>
        <v>63814</v>
      </c>
      <c r="F161" s="150">
        <f t="shared" si="11"/>
        <v>0.037252772913018095</v>
      </c>
      <c r="G161" s="155"/>
    </row>
    <row r="162" spans="1:7" ht="15" customHeight="1">
      <c r="A162" s="141">
        <v>5</v>
      </c>
      <c r="B162" s="161" t="s">
        <v>682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683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>
      <c r="A164" s="141">
        <v>7</v>
      </c>
      <c r="B164" s="161" t="s">
        <v>684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>
      <c r="A165" s="141">
        <v>8</v>
      </c>
      <c r="B165" s="161" t="s">
        <v>685</v>
      </c>
      <c r="C165" s="146">
        <v>2730000</v>
      </c>
      <c r="D165" s="146">
        <v>2611608</v>
      </c>
      <c r="E165" s="146">
        <f t="shared" si="10"/>
        <v>-118392</v>
      </c>
      <c r="F165" s="150">
        <f t="shared" si="11"/>
        <v>-0.04336703296703297</v>
      </c>
      <c r="G165" s="155"/>
    </row>
    <row r="166" spans="1:7" ht="15" customHeight="1">
      <c r="A166" s="141">
        <v>9</v>
      </c>
      <c r="B166" s="161" t="s">
        <v>686</v>
      </c>
      <c r="C166" s="146">
        <v>2101000</v>
      </c>
      <c r="D166" s="146">
        <v>2588256</v>
      </c>
      <c r="E166" s="146">
        <f t="shared" si="10"/>
        <v>487256</v>
      </c>
      <c r="F166" s="150">
        <f t="shared" si="11"/>
        <v>0.23191623036649214</v>
      </c>
      <c r="G166" s="155"/>
    </row>
    <row r="167" spans="1:7" ht="15" customHeight="1">
      <c r="A167" s="141">
        <v>10</v>
      </c>
      <c r="B167" s="161" t="s">
        <v>687</v>
      </c>
      <c r="C167" s="146">
        <v>8394000</v>
      </c>
      <c r="D167" s="146">
        <v>8175815</v>
      </c>
      <c r="E167" s="146">
        <f t="shared" si="10"/>
        <v>-218185</v>
      </c>
      <c r="F167" s="150">
        <f t="shared" si="11"/>
        <v>-0.02599297116988325</v>
      </c>
      <c r="G167" s="155"/>
    </row>
    <row r="168" spans="1:7" ht="15" customHeight="1">
      <c r="A168" s="141">
        <v>11</v>
      </c>
      <c r="B168" s="161" t="s">
        <v>688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689</v>
      </c>
      <c r="C169" s="146">
        <v>2512000</v>
      </c>
      <c r="D169" s="146">
        <v>2053423</v>
      </c>
      <c r="E169" s="146">
        <f t="shared" si="10"/>
        <v>-458577</v>
      </c>
      <c r="F169" s="150">
        <f t="shared" si="11"/>
        <v>-0.1825545382165605</v>
      </c>
      <c r="G169" s="155"/>
    </row>
    <row r="170" spans="1:7" ht="15" customHeight="1">
      <c r="A170" s="141">
        <v>13</v>
      </c>
      <c r="B170" s="161" t="s">
        <v>690</v>
      </c>
      <c r="C170" s="146">
        <v>1559000</v>
      </c>
      <c r="D170" s="146">
        <v>4267770</v>
      </c>
      <c r="E170" s="146">
        <f t="shared" si="10"/>
        <v>2708770</v>
      </c>
      <c r="F170" s="150">
        <f t="shared" si="11"/>
        <v>1.7375048107761386</v>
      </c>
      <c r="G170" s="155"/>
    </row>
    <row r="171" spans="1:7" ht="15.75" customHeight="1">
      <c r="A171" s="141"/>
      <c r="B171" s="154" t="s">
        <v>691</v>
      </c>
      <c r="C171" s="147">
        <f>SUM(C158:C170)</f>
        <v>66177000</v>
      </c>
      <c r="D171" s="147">
        <f>SUM(D158:D170)</f>
        <v>66060649</v>
      </c>
      <c r="E171" s="147">
        <f t="shared" si="10"/>
        <v>-116351</v>
      </c>
      <c r="F171" s="148">
        <f t="shared" si="11"/>
        <v>-0.0017581788234583013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566</v>
      </c>
      <c r="B173" s="145" t="s">
        <v>692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693</v>
      </c>
      <c r="C174" s="146">
        <v>24025000</v>
      </c>
      <c r="D174" s="146">
        <v>34734772</v>
      </c>
      <c r="E174" s="146">
        <f>D174-C174</f>
        <v>10709772</v>
      </c>
      <c r="F174" s="150">
        <f>IF(C174=0,0,E174/C174)</f>
        <v>0.4457761498439126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694</v>
      </c>
      <c r="C176" s="147">
        <f>+C174+C171+C155+C118+C109</f>
        <v>333509000</v>
      </c>
      <c r="D176" s="147">
        <f>+D174+D171+D155+D118+D109</f>
        <v>351055000</v>
      </c>
      <c r="E176" s="147">
        <f>D176-C176</f>
        <v>17546000</v>
      </c>
      <c r="F176" s="148">
        <f>IF(C176=0,0,E176/C176)</f>
        <v>0.05261027438539889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695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FILING&amp;RBRIDGEPORT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390</v>
      </c>
      <c r="C1" s="3"/>
      <c r="D1" s="3"/>
      <c r="E1" s="4"/>
      <c r="F1" s="5"/>
    </row>
    <row r="2" spans="1:6" ht="24" customHeight="1">
      <c r="A2" s="35"/>
      <c r="B2" s="3" t="s">
        <v>391</v>
      </c>
      <c r="C2" s="3"/>
      <c r="D2" s="3"/>
      <c r="E2" s="4"/>
      <c r="F2" s="5"/>
    </row>
    <row r="3" spans="1:6" ht="24" customHeight="1">
      <c r="A3" s="35"/>
      <c r="B3" s="3" t="s">
        <v>392</v>
      </c>
      <c r="C3" s="3"/>
      <c r="D3" s="3"/>
      <c r="E3" s="4"/>
      <c r="F3" s="5"/>
    </row>
    <row r="4" spans="1:6" ht="24" customHeight="1">
      <c r="A4" s="35"/>
      <c r="B4" s="3" t="s">
        <v>696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400</v>
      </c>
      <c r="D7" s="11" t="s">
        <v>400</v>
      </c>
      <c r="E7" s="11" t="s">
        <v>400</v>
      </c>
      <c r="F7" s="11"/>
    </row>
    <row r="8" spans="1:6" ht="24" customHeight="1">
      <c r="A8" s="13" t="s">
        <v>398</v>
      </c>
      <c r="B8" s="16" t="s">
        <v>399</v>
      </c>
      <c r="C8" s="13" t="s">
        <v>697</v>
      </c>
      <c r="D8" s="13" t="s">
        <v>394</v>
      </c>
      <c r="E8" s="13" t="s">
        <v>395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404</v>
      </c>
      <c r="B10" s="30" t="s">
        <v>698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465</v>
      </c>
      <c r="C11" s="51">
        <v>297562000</v>
      </c>
      <c r="D11" s="164">
        <v>326474000</v>
      </c>
      <c r="E11" s="51">
        <v>349484000</v>
      </c>
      <c r="F11" s="13"/>
    </row>
    <row r="12" spans="1:6" ht="24" customHeight="1">
      <c r="A12" s="44">
        <v>2</v>
      </c>
      <c r="B12" s="165" t="s">
        <v>699</v>
      </c>
      <c r="C12" s="49">
        <v>8904000</v>
      </c>
      <c r="D12" s="49">
        <v>11032000</v>
      </c>
      <c r="E12" s="49">
        <v>6311000</v>
      </c>
      <c r="F12" s="13"/>
    </row>
    <row r="13" spans="1:6" ht="24" customHeight="1">
      <c r="A13" s="44">
        <v>3</v>
      </c>
      <c r="B13" s="48" t="s">
        <v>468</v>
      </c>
      <c r="C13" s="51">
        <f>+C11+C12</f>
        <v>306466000</v>
      </c>
      <c r="D13" s="51">
        <f>+D11+D12</f>
        <v>337506000</v>
      </c>
      <c r="E13" s="51">
        <f>+E11+E12</f>
        <v>355795000</v>
      </c>
      <c r="F13" s="13"/>
    </row>
    <row r="14" spans="1:6" ht="24" customHeight="1">
      <c r="A14" s="44">
        <v>4</v>
      </c>
      <c r="B14" s="166" t="s">
        <v>479</v>
      </c>
      <c r="C14" s="49">
        <v>303901000</v>
      </c>
      <c r="D14" s="49">
        <v>333509000</v>
      </c>
      <c r="E14" s="49">
        <v>351055000</v>
      </c>
      <c r="F14" s="13"/>
    </row>
    <row r="15" spans="1:6" ht="24" customHeight="1">
      <c r="A15" s="44">
        <v>5</v>
      </c>
      <c r="B15" s="48" t="s">
        <v>480</v>
      </c>
      <c r="C15" s="51">
        <f>+C13-C14</f>
        <v>2565000</v>
      </c>
      <c r="D15" s="51">
        <f>+D13-D14</f>
        <v>3997000</v>
      </c>
      <c r="E15" s="51">
        <f>+E13-E14</f>
        <v>4740000</v>
      </c>
      <c r="F15" s="13"/>
    </row>
    <row r="16" spans="1:6" ht="24" customHeight="1">
      <c r="A16" s="44">
        <v>6</v>
      </c>
      <c r="B16" s="166" t="s">
        <v>485</v>
      </c>
      <c r="C16" s="49">
        <v>5154000</v>
      </c>
      <c r="D16" s="49">
        <v>-5238000</v>
      </c>
      <c r="E16" s="49">
        <v>-3150000</v>
      </c>
      <c r="F16" s="13"/>
    </row>
    <row r="17" spans="1:6" ht="24" customHeight="1">
      <c r="A17" s="44">
        <v>7</v>
      </c>
      <c r="B17" s="45" t="s">
        <v>700</v>
      </c>
      <c r="C17" s="51">
        <f>C15+C16</f>
        <v>7719000</v>
      </c>
      <c r="D17" s="51">
        <f>D15+D16</f>
        <v>-1241000</v>
      </c>
      <c r="E17" s="51">
        <f>E15+E16</f>
        <v>1590000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416</v>
      </c>
      <c r="B19" s="30" t="s">
        <v>701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702</v>
      </c>
      <c r="C20" s="169">
        <f>IF(+C27=0,0,+C24/+C27)</f>
        <v>0.008231179000064181</v>
      </c>
      <c r="D20" s="169">
        <f>IF(+D27=0,0,+D24/+D27)</f>
        <v>0.012029446109766815</v>
      </c>
      <c r="E20" s="169">
        <f>IF(+E27=0,0,+E24/+E27)</f>
        <v>0.013441279473691673</v>
      </c>
      <c r="F20" s="13"/>
    </row>
    <row r="21" spans="1:6" ht="24" customHeight="1">
      <c r="A21" s="25">
        <v>2</v>
      </c>
      <c r="B21" s="48" t="s">
        <v>703</v>
      </c>
      <c r="C21" s="169">
        <f>IF(C27=0,0,+C26/C27)</f>
        <v>0.016539374879661124</v>
      </c>
      <c r="D21" s="169">
        <f>IF(D27=0,0,+D26/D27)</f>
        <v>-0.015764382967965618</v>
      </c>
      <c r="E21" s="169">
        <f>IF(E27=0,0,+E26/E27)</f>
        <v>-0.008932495852769782</v>
      </c>
      <c r="F21" s="13"/>
    </row>
    <row r="22" spans="1:6" ht="24" customHeight="1">
      <c r="A22" s="25">
        <v>3</v>
      </c>
      <c r="B22" s="48" t="s">
        <v>704</v>
      </c>
      <c r="C22" s="169">
        <f>IF(C27=0,0,+C28/C27)</f>
        <v>0.024770553879725307</v>
      </c>
      <c r="D22" s="169">
        <f>IF(D27=0,0,+D28/D27)</f>
        <v>-0.0037349368581988036</v>
      </c>
      <c r="E22" s="169">
        <f>IF(E27=0,0,+E28/E27)</f>
        <v>0.00450878362092189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480</v>
      </c>
      <c r="C24" s="51">
        <f>+C15</f>
        <v>2565000</v>
      </c>
      <c r="D24" s="51">
        <f>+D15</f>
        <v>3997000</v>
      </c>
      <c r="E24" s="51">
        <f>+E15</f>
        <v>4740000</v>
      </c>
      <c r="F24" s="13"/>
    </row>
    <row r="25" spans="1:6" ht="24" customHeight="1">
      <c r="A25" s="21">
        <v>5</v>
      </c>
      <c r="B25" s="48" t="s">
        <v>468</v>
      </c>
      <c r="C25" s="51">
        <f>+C13</f>
        <v>306466000</v>
      </c>
      <c r="D25" s="51">
        <f>+D13</f>
        <v>337506000</v>
      </c>
      <c r="E25" s="51">
        <f>+E13</f>
        <v>355795000</v>
      </c>
      <c r="F25" s="13"/>
    </row>
    <row r="26" spans="1:6" ht="24" customHeight="1">
      <c r="A26" s="21">
        <v>6</v>
      </c>
      <c r="B26" s="48" t="s">
        <v>485</v>
      </c>
      <c r="C26" s="51">
        <f>+C16</f>
        <v>5154000</v>
      </c>
      <c r="D26" s="51">
        <f>+D16</f>
        <v>-5238000</v>
      </c>
      <c r="E26" s="51">
        <f>+E16</f>
        <v>-3150000</v>
      </c>
      <c r="F26" s="13"/>
    </row>
    <row r="27" spans="1:6" ht="24" customHeight="1">
      <c r="A27" s="21">
        <v>7</v>
      </c>
      <c r="B27" s="48" t="s">
        <v>705</v>
      </c>
      <c r="C27" s="51">
        <f>+C25+C26</f>
        <v>311620000</v>
      </c>
      <c r="D27" s="51">
        <f>+D25+D26</f>
        <v>332268000</v>
      </c>
      <c r="E27" s="51">
        <f>+E25+E26</f>
        <v>352645000</v>
      </c>
      <c r="F27" s="13"/>
    </row>
    <row r="28" spans="1:6" ht="24" customHeight="1">
      <c r="A28" s="21">
        <v>8</v>
      </c>
      <c r="B28" s="45" t="s">
        <v>700</v>
      </c>
      <c r="C28" s="51">
        <f>+C17</f>
        <v>7719000</v>
      </c>
      <c r="D28" s="51">
        <f>+D17</f>
        <v>-1241000</v>
      </c>
      <c r="E28" s="51">
        <f>+E17</f>
        <v>1590000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426</v>
      </c>
      <c r="B30" s="41" t="s">
        <v>706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707</v>
      </c>
      <c r="C31" s="51">
        <v>101094000</v>
      </c>
      <c r="D31" s="51">
        <v>108789000</v>
      </c>
      <c r="E31" s="51">
        <v>49998000</v>
      </c>
      <c r="F31" s="13"/>
    </row>
    <row r="32" spans="1:6" ht="24" customHeight="1">
      <c r="A32" s="25">
        <v>2</v>
      </c>
      <c r="B32" s="48" t="s">
        <v>708</v>
      </c>
      <c r="C32" s="51">
        <v>147184000</v>
      </c>
      <c r="D32" s="51">
        <v>148597000</v>
      </c>
      <c r="E32" s="51">
        <v>88852000</v>
      </c>
      <c r="F32" s="13"/>
    </row>
    <row r="33" spans="1:6" ht="24" customHeight="1">
      <c r="A33" s="25">
        <v>3</v>
      </c>
      <c r="B33" s="48" t="s">
        <v>709</v>
      </c>
      <c r="C33" s="51">
        <v>147184000</v>
      </c>
      <c r="D33" s="51">
        <f>+D32-C32</f>
        <v>1413000</v>
      </c>
      <c r="E33" s="51">
        <f>+E32-D32</f>
        <v>-59745000</v>
      </c>
      <c r="F33" s="5"/>
    </row>
    <row r="34" spans="1:6" ht="24" customHeight="1">
      <c r="A34" s="25">
        <v>4</v>
      </c>
      <c r="B34" s="48" t="s">
        <v>710</v>
      </c>
      <c r="C34" s="171">
        <v>0</v>
      </c>
      <c r="D34" s="171">
        <f>IF(C32=0,0,+D33/C32)</f>
        <v>0.009600228285683226</v>
      </c>
      <c r="E34" s="171">
        <f>IF(D32=0,0,+E33/D32)</f>
        <v>-0.4020606068763165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711</v>
      </c>
      <c r="B36" s="41" t="s">
        <v>712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713</v>
      </c>
      <c r="C38" s="172">
        <f>IF((C40+C41)=0,0,+C39/(C40+C41))</f>
        <v>0.31911364242079565</v>
      </c>
      <c r="D38" s="172">
        <f>IF((D40+D41)=0,0,+D39/(D40+D41))</f>
        <v>0.3183475637586874</v>
      </c>
      <c r="E38" s="172">
        <f>IF((E40+E41)=0,0,+E39/(E40+E41))</f>
        <v>0.31568957029967487</v>
      </c>
      <c r="F38" s="5"/>
    </row>
    <row r="39" spans="1:6" ht="24" customHeight="1">
      <c r="A39" s="21">
        <v>2</v>
      </c>
      <c r="B39" s="48" t="s">
        <v>714</v>
      </c>
      <c r="C39" s="51">
        <v>297609099</v>
      </c>
      <c r="D39" s="51">
        <v>333443334</v>
      </c>
      <c r="E39" s="23">
        <v>351055000</v>
      </c>
      <c r="F39" s="5"/>
    </row>
    <row r="40" spans="1:6" ht="24" customHeight="1">
      <c r="A40" s="21">
        <v>3</v>
      </c>
      <c r="B40" s="48" t="s">
        <v>715</v>
      </c>
      <c r="C40" s="51">
        <v>927224457</v>
      </c>
      <c r="D40" s="51">
        <v>1040100488</v>
      </c>
      <c r="E40" s="23">
        <v>1105534503</v>
      </c>
      <c r="F40" s="5"/>
    </row>
    <row r="41" spans="1:6" ht="24" customHeight="1">
      <c r="A41" s="21">
        <v>4</v>
      </c>
      <c r="B41" s="48" t="s">
        <v>716</v>
      </c>
      <c r="C41" s="51">
        <v>5387188</v>
      </c>
      <c r="D41" s="51">
        <v>7318660</v>
      </c>
      <c r="E41" s="23">
        <v>6491465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717</v>
      </c>
      <c r="C43" s="173">
        <f>IF(C38=0,0,IF((C46-C47)=0,0,((+C44-C45)/(C46-C47)/C38)))</f>
        <v>1.2398897038678163</v>
      </c>
      <c r="D43" s="173">
        <f>IF(D38=0,0,IF((D46-D47)=0,0,((+D44-D45)/(D46-D47)/D38)))</f>
        <v>1.1713133925170591</v>
      </c>
      <c r="E43" s="173">
        <f>IF(E38=0,0,IF((E46-E47)=0,0,((+E44-E45)/(E46-E47)/E38)))</f>
        <v>1.220500221610795</v>
      </c>
      <c r="F43" s="5"/>
    </row>
    <row r="44" spans="1:6" ht="24" customHeight="1">
      <c r="A44" s="21">
        <v>6</v>
      </c>
      <c r="B44" s="48" t="s">
        <v>718</v>
      </c>
      <c r="C44" s="51">
        <v>123062761</v>
      </c>
      <c r="D44" s="51">
        <v>133313695</v>
      </c>
      <c r="E44" s="23">
        <v>140527189</v>
      </c>
      <c r="F44" s="5"/>
    </row>
    <row r="45" spans="1:6" ht="24" customHeight="1">
      <c r="A45" s="21">
        <v>7</v>
      </c>
      <c r="B45" s="48" t="s">
        <v>719</v>
      </c>
      <c r="C45" s="51">
        <v>1919143</v>
      </c>
      <c r="D45" s="51">
        <v>4002244</v>
      </c>
      <c r="E45" s="23">
        <v>2775269</v>
      </c>
      <c r="F45" s="5"/>
    </row>
    <row r="46" spans="1:6" ht="24" customHeight="1">
      <c r="A46" s="21">
        <v>8</v>
      </c>
      <c r="B46" s="48" t="s">
        <v>720</v>
      </c>
      <c r="C46" s="51">
        <v>344148169</v>
      </c>
      <c r="D46" s="51">
        <v>388780108</v>
      </c>
      <c r="E46" s="23">
        <v>402183381</v>
      </c>
      <c r="F46" s="5"/>
    </row>
    <row r="47" spans="1:6" ht="24" customHeight="1">
      <c r="A47" s="21">
        <v>9</v>
      </c>
      <c r="B47" s="48" t="s">
        <v>721</v>
      </c>
      <c r="C47" s="51">
        <v>37971485</v>
      </c>
      <c r="D47" s="51">
        <v>41993478</v>
      </c>
      <c r="E47" s="174">
        <v>44664021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722</v>
      </c>
      <c r="C49" s="175">
        <f>IF(C38=0,0,IF(C51=0,0,(C50/C51)/C38))</f>
        <v>1.0597673257366838</v>
      </c>
      <c r="D49" s="175">
        <f>IF(D38=0,0,IF(D51=0,0,(D50/D51)/D38))</f>
        <v>1.0372206518987581</v>
      </c>
      <c r="E49" s="175">
        <f>IF(E38=0,0,IF(E51=0,0,(E50/E51)/E38))</f>
        <v>1.0234619695928417</v>
      </c>
      <c r="F49" s="7"/>
    </row>
    <row r="50" spans="1:6" ht="24" customHeight="1">
      <c r="A50" s="21">
        <v>11</v>
      </c>
      <c r="B50" s="48" t="s">
        <v>723</v>
      </c>
      <c r="C50" s="176">
        <v>125099381</v>
      </c>
      <c r="D50" s="176">
        <v>135279861</v>
      </c>
      <c r="E50" s="176">
        <v>136815629</v>
      </c>
      <c r="F50" s="11"/>
    </row>
    <row r="51" spans="1:6" ht="24" customHeight="1">
      <c r="A51" s="21">
        <v>12</v>
      </c>
      <c r="B51" s="48" t="s">
        <v>724</v>
      </c>
      <c r="C51" s="176">
        <v>369912719</v>
      </c>
      <c r="D51" s="176">
        <v>409694810</v>
      </c>
      <c r="E51" s="176">
        <v>423451590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725</v>
      </c>
      <c r="C53" s="175">
        <f>IF(C38=0,0,IF(C55=0,0,(C54/C55)/C38))</f>
        <v>0.7141209731298621</v>
      </c>
      <c r="D53" s="175">
        <f>IF(D38=0,0,IF(D55=0,0,(D54/D55)/D38))</f>
        <v>0.8052356580518668</v>
      </c>
      <c r="E53" s="175">
        <f>IF(E38=0,0,IF(E55=0,0,(E54/E55)/E38))</f>
        <v>0.7732146394479867</v>
      </c>
      <c r="F53" s="13"/>
    </row>
    <row r="54" spans="1:6" ht="24" customHeight="1">
      <c r="A54" s="21">
        <v>14</v>
      </c>
      <c r="B54" s="48" t="s">
        <v>726</v>
      </c>
      <c r="C54" s="176">
        <v>39794965</v>
      </c>
      <c r="D54" s="176">
        <v>51526264</v>
      </c>
      <c r="E54" s="176">
        <v>55860939</v>
      </c>
      <c r="F54" s="13"/>
    </row>
    <row r="55" spans="1:6" ht="24" customHeight="1">
      <c r="A55" s="21">
        <v>15</v>
      </c>
      <c r="B55" s="48" t="s">
        <v>727</v>
      </c>
      <c r="C55" s="176">
        <v>174626829</v>
      </c>
      <c r="D55" s="176">
        <v>201003734</v>
      </c>
      <c r="E55" s="176">
        <v>228848426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728</v>
      </c>
      <c r="C57" s="53">
        <f>+C60*C38</f>
        <v>11959917.241377195</v>
      </c>
      <c r="D57" s="53">
        <f>+D60*D38</f>
        <v>14002199.244362107</v>
      </c>
      <c r="E57" s="53">
        <f>+E60*E38</f>
        <v>15245620.09519997</v>
      </c>
      <c r="F57" s="13"/>
    </row>
    <row r="58" spans="1:6" ht="24" customHeight="1">
      <c r="A58" s="21">
        <v>17</v>
      </c>
      <c r="B58" s="48" t="s">
        <v>729</v>
      </c>
      <c r="C58" s="51">
        <v>10897000</v>
      </c>
      <c r="D58" s="51">
        <v>11818000</v>
      </c>
      <c r="E58" s="52">
        <v>15999852</v>
      </c>
      <c r="F58" s="28"/>
    </row>
    <row r="59" spans="1:6" ht="24" customHeight="1">
      <c r="A59" s="21">
        <v>18</v>
      </c>
      <c r="B59" s="48" t="s">
        <v>475</v>
      </c>
      <c r="C59" s="51">
        <v>26581552</v>
      </c>
      <c r="D59" s="51">
        <v>32166000</v>
      </c>
      <c r="E59" s="52">
        <v>32293223</v>
      </c>
      <c r="F59" s="28"/>
    </row>
    <row r="60" spans="1:6" ht="24" customHeight="1">
      <c r="A60" s="21">
        <v>19</v>
      </c>
      <c r="B60" s="48" t="s">
        <v>730</v>
      </c>
      <c r="C60" s="51">
        <v>37478552</v>
      </c>
      <c r="D60" s="51">
        <v>43984000</v>
      </c>
      <c r="E60" s="52">
        <v>48293075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731</v>
      </c>
      <c r="C62" s="178">
        <f>IF(C63=0,0,+C57/C63)</f>
        <v>0.040186665265154395</v>
      </c>
      <c r="D62" s="178">
        <f>IF(D63=0,0,+D57/D63)</f>
        <v>0.041992740044886026</v>
      </c>
      <c r="E62" s="178">
        <f>IF(E63=0,0,+E57/E63)</f>
        <v>0.043428010127187965</v>
      </c>
      <c r="F62" s="13"/>
    </row>
    <row r="63" spans="1:6" ht="24" customHeight="1">
      <c r="A63" s="21">
        <v>21</v>
      </c>
      <c r="B63" s="45" t="s">
        <v>714</v>
      </c>
      <c r="C63" s="176">
        <v>297609099</v>
      </c>
      <c r="D63" s="176">
        <v>333443334</v>
      </c>
      <c r="E63" s="176">
        <v>351055000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732</v>
      </c>
      <c r="B65" s="41" t="s">
        <v>733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734</v>
      </c>
      <c r="C67" s="179">
        <f>IF(C69=0,0,C68/C69)</f>
        <v>1.4694704248054125</v>
      </c>
      <c r="D67" s="179">
        <f>IF(D69=0,0,D68/D69)</f>
        <v>1.4838377387255608</v>
      </c>
      <c r="E67" s="179">
        <f>IF(E69=0,0,E68/E69)</f>
        <v>1.629859227689526</v>
      </c>
      <c r="F67" s="28"/>
    </row>
    <row r="68" spans="1:6" ht="24" customHeight="1">
      <c r="A68" s="21">
        <v>2</v>
      </c>
      <c r="B68" s="48" t="s">
        <v>415</v>
      </c>
      <c r="C68" s="180">
        <v>69287000</v>
      </c>
      <c r="D68" s="180">
        <v>72024000</v>
      </c>
      <c r="E68" s="180">
        <v>75720000</v>
      </c>
      <c r="F68" s="28"/>
    </row>
    <row r="69" spans="1:6" ht="24" customHeight="1">
      <c r="A69" s="21">
        <v>3</v>
      </c>
      <c r="B69" s="48" t="s">
        <v>444</v>
      </c>
      <c r="C69" s="180">
        <v>47151000</v>
      </c>
      <c r="D69" s="180">
        <v>48539000</v>
      </c>
      <c r="E69" s="180">
        <v>46458000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735</v>
      </c>
      <c r="C71" s="181">
        <f>IF((C77/365)=0,0,+C74/(C77/365))</f>
        <v>37.69489360967781</v>
      </c>
      <c r="D71" s="181">
        <f>IF((D77/365)=0,0,+D74/(D77/365))</f>
        <v>27.108187134502923</v>
      </c>
      <c r="E71" s="181">
        <f>IF((E77/365)=0,0,+E74/(E77/365))</f>
        <v>36.23918601114748</v>
      </c>
      <c r="F71" s="28"/>
    </row>
    <row r="72" spans="1:6" ht="24" customHeight="1">
      <c r="A72" s="21">
        <v>5</v>
      </c>
      <c r="B72" s="22" t="s">
        <v>406</v>
      </c>
      <c r="C72" s="182">
        <v>29922000</v>
      </c>
      <c r="D72" s="182">
        <v>23495000</v>
      </c>
      <c r="E72" s="182">
        <v>32972000</v>
      </c>
      <c r="F72" s="28"/>
    </row>
    <row r="73" spans="1:6" ht="24" customHeight="1">
      <c r="A73" s="21">
        <v>6</v>
      </c>
      <c r="B73" s="183" t="s">
        <v>407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736</v>
      </c>
      <c r="C74" s="180">
        <f>+C72+C73</f>
        <v>29922000</v>
      </c>
      <c r="D74" s="180">
        <f>+D72+D73</f>
        <v>23495000</v>
      </c>
      <c r="E74" s="180">
        <f>+E72+E73</f>
        <v>32972000</v>
      </c>
      <c r="F74" s="28"/>
    </row>
    <row r="75" spans="1:6" ht="24" customHeight="1">
      <c r="A75" s="21">
        <v>8</v>
      </c>
      <c r="B75" s="48" t="s">
        <v>714</v>
      </c>
      <c r="C75" s="180">
        <f>+C14</f>
        <v>303901000</v>
      </c>
      <c r="D75" s="180">
        <f>+D14</f>
        <v>333509000</v>
      </c>
      <c r="E75" s="180">
        <f>+E14</f>
        <v>351055000</v>
      </c>
      <c r="F75" s="28"/>
    </row>
    <row r="76" spans="1:6" ht="24" customHeight="1">
      <c r="A76" s="21">
        <v>9</v>
      </c>
      <c r="B76" s="45" t="s">
        <v>737</v>
      </c>
      <c r="C76" s="180">
        <v>14166000</v>
      </c>
      <c r="D76" s="180">
        <v>17159000</v>
      </c>
      <c r="E76" s="180">
        <v>18962000</v>
      </c>
      <c r="F76" s="28"/>
    </row>
    <row r="77" spans="1:6" ht="24" customHeight="1">
      <c r="A77" s="21">
        <v>10</v>
      </c>
      <c r="B77" s="45" t="s">
        <v>738</v>
      </c>
      <c r="C77" s="180">
        <f>+C75-C76</f>
        <v>289735000</v>
      </c>
      <c r="D77" s="180">
        <f>+D75-D76</f>
        <v>316350000</v>
      </c>
      <c r="E77" s="180">
        <f>+E75-E76</f>
        <v>332093000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739</v>
      </c>
      <c r="C79" s="179">
        <f>IF((C84/365)=0,0,+C83/(C84/365))</f>
        <v>36.989182086422325</v>
      </c>
      <c r="D79" s="179">
        <f>IF((D84/365)=0,0,+D83/(D84/365))</f>
        <v>43.15392649950685</v>
      </c>
      <c r="E79" s="179">
        <f>IF((E84/365)=0,0,+E83/(E84/365))</f>
        <v>36.154931270101066</v>
      </c>
      <c r="F79" s="28"/>
    </row>
    <row r="80" spans="1:6" ht="24" customHeight="1">
      <c r="A80" s="21">
        <v>12</v>
      </c>
      <c r="B80" s="188" t="s">
        <v>740</v>
      </c>
      <c r="C80" s="189">
        <v>30110000</v>
      </c>
      <c r="D80" s="189">
        <v>34402000</v>
      </c>
      <c r="E80" s="189">
        <v>33101000</v>
      </c>
      <c r="F80" s="28"/>
    </row>
    <row r="81" spans="1:6" ht="24" customHeight="1">
      <c r="A81" s="21">
        <v>13</v>
      </c>
      <c r="B81" s="188" t="s">
        <v>411</v>
      </c>
      <c r="C81" s="190">
        <v>45000</v>
      </c>
      <c r="D81" s="190">
        <v>4197000</v>
      </c>
      <c r="E81" s="190">
        <v>1517000</v>
      </c>
      <c r="F81" s="28"/>
    </row>
    <row r="82" spans="1:6" ht="24" customHeight="1">
      <c r="A82" s="21">
        <v>14</v>
      </c>
      <c r="B82" s="188" t="s">
        <v>439</v>
      </c>
      <c r="C82" s="190">
        <v>0</v>
      </c>
      <c r="D82" s="190">
        <v>0</v>
      </c>
      <c r="E82" s="190">
        <v>0</v>
      </c>
      <c r="F82" s="28"/>
    </row>
    <row r="83" spans="1:6" ht="33.75" customHeight="1">
      <c r="A83" s="21">
        <v>15</v>
      </c>
      <c r="B83" s="45" t="s">
        <v>741</v>
      </c>
      <c r="C83" s="191">
        <f>+C80+C81-C82</f>
        <v>30155000</v>
      </c>
      <c r="D83" s="191">
        <f>+D80+D81-D82</f>
        <v>38599000</v>
      </c>
      <c r="E83" s="191">
        <f>+E80+E81-E82</f>
        <v>34618000</v>
      </c>
      <c r="F83" s="28"/>
    </row>
    <row r="84" spans="1:6" ht="24" customHeight="1">
      <c r="A84" s="21">
        <v>16</v>
      </c>
      <c r="B84" s="48" t="s">
        <v>465</v>
      </c>
      <c r="C84" s="180">
        <f>+C11</f>
        <v>297562000</v>
      </c>
      <c r="D84" s="191">
        <f>+D11</f>
        <v>326474000</v>
      </c>
      <c r="E84" s="191">
        <f>+E11</f>
        <v>349484000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742</v>
      </c>
      <c r="C86" s="179">
        <f>IF((C90/365)=0,0,+C87/(C90/365))</f>
        <v>59.399502994115316</v>
      </c>
      <c r="D86" s="179">
        <f>IF((D90/365)=0,0,+D87/(D90/365))</f>
        <v>56.00358779832464</v>
      </c>
      <c r="E86" s="179">
        <f>IF((E90/365)=0,0,+E87/(E90/365))</f>
        <v>51.061509878257</v>
      </c>
      <c r="F86" s="13"/>
    </row>
    <row r="87" spans="1:6" ht="24" customHeight="1">
      <c r="A87" s="21">
        <v>18</v>
      </c>
      <c r="B87" s="48" t="s">
        <v>444</v>
      </c>
      <c r="C87" s="51">
        <f>+C69</f>
        <v>47151000</v>
      </c>
      <c r="D87" s="51">
        <f>+D69</f>
        <v>48539000</v>
      </c>
      <c r="E87" s="51">
        <f>+E69</f>
        <v>46458000</v>
      </c>
      <c r="F87" s="28"/>
    </row>
    <row r="88" spans="1:6" ht="24" customHeight="1">
      <c r="A88" s="21">
        <v>19</v>
      </c>
      <c r="B88" s="48" t="s">
        <v>714</v>
      </c>
      <c r="C88" s="51">
        <f aca="true" t="shared" si="0" ref="C88:E89">+C75</f>
        <v>303901000</v>
      </c>
      <c r="D88" s="51">
        <f t="shared" si="0"/>
        <v>333509000</v>
      </c>
      <c r="E88" s="51">
        <f t="shared" si="0"/>
        <v>351055000</v>
      </c>
      <c r="F88" s="28"/>
    </row>
    <row r="89" spans="1:6" ht="24" customHeight="1">
      <c r="A89" s="21">
        <v>20</v>
      </c>
      <c r="B89" s="48" t="s">
        <v>737</v>
      </c>
      <c r="C89" s="52">
        <f t="shared" si="0"/>
        <v>14166000</v>
      </c>
      <c r="D89" s="52">
        <f t="shared" si="0"/>
        <v>17159000</v>
      </c>
      <c r="E89" s="52">
        <f t="shared" si="0"/>
        <v>18962000</v>
      </c>
      <c r="F89" s="28"/>
    </row>
    <row r="90" spans="1:6" ht="24" customHeight="1">
      <c r="A90" s="21">
        <v>21</v>
      </c>
      <c r="B90" s="48" t="s">
        <v>743</v>
      </c>
      <c r="C90" s="51">
        <f>+C88-C89</f>
        <v>289735000</v>
      </c>
      <c r="D90" s="51">
        <f>+D88-D89</f>
        <v>316350000</v>
      </c>
      <c r="E90" s="51">
        <f>+E88-E89</f>
        <v>332093000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744</v>
      </c>
      <c r="B92" s="41" t="s">
        <v>745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746</v>
      </c>
      <c r="C94" s="192">
        <f>IF(C96=0,0,(C95/C96)*100)</f>
        <v>51.50543805377864</v>
      </c>
      <c r="D94" s="192">
        <f>IF(D96=0,0,(D95/D96)*100)</f>
        <v>51.50997289258948</v>
      </c>
      <c r="E94" s="192">
        <f>IF(E96=0,0,(E95/E96)*100)</f>
        <v>31.978981086577047</v>
      </c>
      <c r="F94" s="28"/>
    </row>
    <row r="95" spans="1:6" ht="24" customHeight="1">
      <c r="A95" s="21">
        <v>2</v>
      </c>
      <c r="B95" s="48" t="s">
        <v>457</v>
      </c>
      <c r="C95" s="51">
        <f>+C32</f>
        <v>147184000</v>
      </c>
      <c r="D95" s="51">
        <f>+D32</f>
        <v>148597000</v>
      </c>
      <c r="E95" s="51">
        <f>+E32</f>
        <v>88852000</v>
      </c>
      <c r="F95" s="28"/>
    </row>
    <row r="96" spans="1:6" ht="24" customHeight="1">
      <c r="A96" s="21">
        <v>3</v>
      </c>
      <c r="B96" s="48" t="s">
        <v>433</v>
      </c>
      <c r="C96" s="51">
        <v>285764000</v>
      </c>
      <c r="D96" s="51">
        <v>288482000</v>
      </c>
      <c r="E96" s="51">
        <v>277845000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747</v>
      </c>
      <c r="C98" s="192">
        <f>IF(C104=0,0,(C101/C104)*100)</f>
        <v>21.284562492097916</v>
      </c>
      <c r="D98" s="192">
        <f>IF(D104=0,0,(D101/D104)*100)</f>
        <v>15.696057743506813</v>
      </c>
      <c r="E98" s="192">
        <f>IF(E104=0,0,(E101/E104)*100)</f>
        <v>21.28682106309815</v>
      </c>
      <c r="F98" s="28"/>
    </row>
    <row r="99" spans="1:6" ht="24" customHeight="1">
      <c r="A99" s="21">
        <v>5</v>
      </c>
      <c r="B99" s="48" t="s">
        <v>748</v>
      </c>
      <c r="C99" s="51">
        <f>+C28</f>
        <v>7719000</v>
      </c>
      <c r="D99" s="51">
        <f>+D28</f>
        <v>-1241000</v>
      </c>
      <c r="E99" s="51">
        <f>+E28</f>
        <v>1590000</v>
      </c>
      <c r="F99" s="28"/>
    </row>
    <row r="100" spans="1:6" ht="24" customHeight="1">
      <c r="A100" s="21">
        <v>6</v>
      </c>
      <c r="B100" s="48" t="s">
        <v>737</v>
      </c>
      <c r="C100" s="52">
        <f>+C76</f>
        <v>14166000</v>
      </c>
      <c r="D100" s="52">
        <f>+D76</f>
        <v>17159000</v>
      </c>
      <c r="E100" s="52">
        <f>+E76</f>
        <v>18962000</v>
      </c>
      <c r="F100" s="28"/>
    </row>
    <row r="101" spans="1:6" ht="24" customHeight="1">
      <c r="A101" s="21">
        <v>7</v>
      </c>
      <c r="B101" s="48" t="s">
        <v>749</v>
      </c>
      <c r="C101" s="51">
        <f>+C99+C100</f>
        <v>21885000</v>
      </c>
      <c r="D101" s="51">
        <f>+D99+D100</f>
        <v>15918000</v>
      </c>
      <c r="E101" s="51">
        <f>+E99+E100</f>
        <v>20552000</v>
      </c>
      <c r="F101" s="28"/>
    </row>
    <row r="102" spans="1:6" ht="24" customHeight="1">
      <c r="A102" s="21">
        <v>8</v>
      </c>
      <c r="B102" s="48" t="s">
        <v>444</v>
      </c>
      <c r="C102" s="180">
        <f>+C69</f>
        <v>47151000</v>
      </c>
      <c r="D102" s="180">
        <f>+D69</f>
        <v>48539000</v>
      </c>
      <c r="E102" s="180">
        <f>+E69</f>
        <v>46458000</v>
      </c>
      <c r="F102" s="28"/>
    </row>
    <row r="103" spans="1:6" ht="24" customHeight="1">
      <c r="A103" s="21">
        <v>9</v>
      </c>
      <c r="B103" s="48" t="s">
        <v>448</v>
      </c>
      <c r="C103" s="194">
        <v>55670000</v>
      </c>
      <c r="D103" s="194">
        <v>52875000</v>
      </c>
      <c r="E103" s="194">
        <v>50090000</v>
      </c>
      <c r="F103" s="28"/>
    </row>
    <row r="104" spans="1:6" ht="24" customHeight="1">
      <c r="A104" s="21">
        <v>10</v>
      </c>
      <c r="B104" s="195" t="s">
        <v>750</v>
      </c>
      <c r="C104" s="180">
        <f>+C102+C103</f>
        <v>102821000</v>
      </c>
      <c r="D104" s="180">
        <f>+D102+D103</f>
        <v>101414000</v>
      </c>
      <c r="E104" s="180">
        <f>+E102+E103</f>
        <v>96548000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751</v>
      </c>
      <c r="C106" s="197">
        <f>IF(C109=0,0,(C107/C109)*100)</f>
        <v>27.443382925650962</v>
      </c>
      <c r="D106" s="197">
        <f>IF(D109=0,0,(D107/D109)*100)</f>
        <v>26.2443416454892</v>
      </c>
      <c r="E106" s="197">
        <f>IF(E109=0,0,(E107/E109)*100)</f>
        <v>36.05101409221113</v>
      </c>
      <c r="F106" s="28"/>
    </row>
    <row r="107" spans="1:6" ht="24" customHeight="1">
      <c r="A107" s="17">
        <v>12</v>
      </c>
      <c r="B107" s="48" t="s">
        <v>448</v>
      </c>
      <c r="C107" s="180">
        <f>+C103</f>
        <v>55670000</v>
      </c>
      <c r="D107" s="180">
        <f>+D103</f>
        <v>52875000</v>
      </c>
      <c r="E107" s="180">
        <f>+E103</f>
        <v>50090000</v>
      </c>
      <c r="F107" s="28"/>
    </row>
    <row r="108" spans="1:6" ht="24" customHeight="1">
      <c r="A108" s="17">
        <v>13</v>
      </c>
      <c r="B108" s="48" t="s">
        <v>457</v>
      </c>
      <c r="C108" s="180">
        <f>+C32</f>
        <v>147184000</v>
      </c>
      <c r="D108" s="180">
        <f>+D32</f>
        <v>148597000</v>
      </c>
      <c r="E108" s="180">
        <f>+E32</f>
        <v>88852000</v>
      </c>
      <c r="F108" s="28"/>
    </row>
    <row r="109" spans="1:6" ht="24" customHeight="1">
      <c r="A109" s="17">
        <v>14</v>
      </c>
      <c r="B109" s="48" t="s">
        <v>752</v>
      </c>
      <c r="C109" s="180">
        <f>+C107+C108</f>
        <v>202854000</v>
      </c>
      <c r="D109" s="180">
        <f>+D107+D108</f>
        <v>201472000</v>
      </c>
      <c r="E109" s="180">
        <f>+E107+E108</f>
        <v>138942000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753</v>
      </c>
      <c r="C111" s="197">
        <f>IF((+C113+C115)=0,0,((+C112+C113+C114)/(+C113+C115)))</f>
        <v>7.1926994906621395</v>
      </c>
      <c r="D111" s="197">
        <f>IF((+D113+D115)=0,0,((+D112+D113+D114)/(+D113+D115)))</f>
        <v>5.570198105081826</v>
      </c>
      <c r="E111" s="197">
        <f>IF((+E113+E115)=0,0,((+E112+E113+E114)/(+E113+E115)))</f>
        <v>3.961968306922435</v>
      </c>
    </row>
    <row r="112" spans="1:6" ht="24" customHeight="1">
      <c r="A112" s="17">
        <v>16</v>
      </c>
      <c r="B112" s="48" t="s">
        <v>754</v>
      </c>
      <c r="C112" s="180">
        <f>+C17</f>
        <v>7719000</v>
      </c>
      <c r="D112" s="180">
        <f>+D17</f>
        <v>-1241000</v>
      </c>
      <c r="E112" s="180">
        <f>+E17</f>
        <v>1590000</v>
      </c>
      <c r="F112" s="28"/>
    </row>
    <row r="113" spans="1:6" ht="24" customHeight="1">
      <c r="A113" s="17">
        <v>17</v>
      </c>
      <c r="B113" s="48" t="s">
        <v>576</v>
      </c>
      <c r="C113" s="180">
        <v>3534000</v>
      </c>
      <c r="D113" s="180">
        <v>3483000</v>
      </c>
      <c r="E113" s="180">
        <v>3200000</v>
      </c>
      <c r="F113" s="28"/>
    </row>
    <row r="114" spans="1:6" ht="24" customHeight="1">
      <c r="A114" s="17">
        <v>18</v>
      </c>
      <c r="B114" s="48" t="s">
        <v>755</v>
      </c>
      <c r="C114" s="180">
        <v>14166000</v>
      </c>
      <c r="D114" s="180">
        <v>17159000</v>
      </c>
      <c r="E114" s="180">
        <v>18962000</v>
      </c>
      <c r="F114" s="28"/>
    </row>
    <row r="115" spans="1:6" ht="24" customHeight="1">
      <c r="A115" s="17">
        <v>19</v>
      </c>
      <c r="B115" s="48" t="s">
        <v>492</v>
      </c>
      <c r="C115" s="180">
        <v>0</v>
      </c>
      <c r="D115" s="180">
        <v>0</v>
      </c>
      <c r="E115" s="180">
        <v>2795000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756</v>
      </c>
      <c r="B117" s="30" t="s">
        <v>757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758</v>
      </c>
      <c r="C119" s="197">
        <f>IF(+C121=0,0,(+C120)/(+C121))</f>
        <v>16.04581392065509</v>
      </c>
      <c r="D119" s="197">
        <f>IF(+D121=0,0,(+D120)/(+D121))</f>
        <v>14.125939740078094</v>
      </c>
      <c r="E119" s="197">
        <f>IF(+E121=0,0,(+E120)/(+E121))</f>
        <v>13.716802025102837</v>
      </c>
    </row>
    <row r="120" spans="1:6" ht="24" customHeight="1">
      <c r="A120" s="17">
        <v>21</v>
      </c>
      <c r="B120" s="48" t="s">
        <v>759</v>
      </c>
      <c r="C120" s="180">
        <v>227305000</v>
      </c>
      <c r="D120" s="180">
        <v>242387000</v>
      </c>
      <c r="E120" s="180">
        <v>260098000</v>
      </c>
      <c r="F120" s="28"/>
    </row>
    <row r="121" spans="1:6" ht="24" customHeight="1">
      <c r="A121" s="17">
        <v>22</v>
      </c>
      <c r="B121" s="48" t="s">
        <v>755</v>
      </c>
      <c r="C121" s="180">
        <v>14166000</v>
      </c>
      <c r="D121" s="180">
        <v>17159000</v>
      </c>
      <c r="E121" s="180">
        <v>18962000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760</v>
      </c>
      <c r="B123" s="30" t="s">
        <v>761</v>
      </c>
      <c r="C123" s="27"/>
      <c r="D123" s="27"/>
      <c r="E123" s="53"/>
    </row>
    <row r="124" spans="1:5" ht="24" customHeight="1">
      <c r="A124" s="44">
        <v>1</v>
      </c>
      <c r="B124" s="48" t="s">
        <v>762</v>
      </c>
      <c r="C124" s="198">
        <v>104291</v>
      </c>
      <c r="D124" s="198">
        <v>106845</v>
      </c>
      <c r="E124" s="198">
        <v>103601</v>
      </c>
    </row>
    <row r="125" spans="1:5" ht="24" customHeight="1">
      <c r="A125" s="44">
        <v>2</v>
      </c>
      <c r="B125" s="48" t="s">
        <v>763</v>
      </c>
      <c r="C125" s="198">
        <v>19675</v>
      </c>
      <c r="D125" s="198">
        <v>20022</v>
      </c>
      <c r="E125" s="198">
        <v>19808</v>
      </c>
    </row>
    <row r="126" spans="1:5" ht="24" customHeight="1">
      <c r="A126" s="44">
        <v>3</v>
      </c>
      <c r="B126" s="48" t="s">
        <v>764</v>
      </c>
      <c r="C126" s="199">
        <f>IF(C125=0,0,C124/C125)</f>
        <v>5.3006861499364675</v>
      </c>
      <c r="D126" s="199">
        <f>IF(D125=0,0,D124/D125)</f>
        <v>5.336379982019778</v>
      </c>
      <c r="E126" s="199">
        <f>IF(E125=0,0,E124/E125)</f>
        <v>5.230260500807755</v>
      </c>
    </row>
    <row r="127" spans="1:5" ht="24" customHeight="1">
      <c r="A127" s="44">
        <v>4</v>
      </c>
      <c r="B127" s="48" t="s">
        <v>765</v>
      </c>
      <c r="C127" s="198">
        <v>335</v>
      </c>
      <c r="D127" s="198">
        <v>302</v>
      </c>
      <c r="E127" s="198">
        <v>288</v>
      </c>
    </row>
    <row r="128" spans="1:8" ht="24" customHeight="1">
      <c r="A128" s="44">
        <v>5</v>
      </c>
      <c r="B128" s="48" t="s">
        <v>766</v>
      </c>
      <c r="C128" s="198">
        <v>0</v>
      </c>
      <c r="D128" s="198">
        <v>0</v>
      </c>
      <c r="E128" s="198">
        <v>377</v>
      </c>
      <c r="G128" s="6"/>
      <c r="H128" s="12"/>
    </row>
    <row r="129" spans="1:8" ht="24" customHeight="1">
      <c r="A129" s="44">
        <v>6</v>
      </c>
      <c r="B129" s="48" t="s">
        <v>767</v>
      </c>
      <c r="C129" s="198">
        <v>425</v>
      </c>
      <c r="D129" s="198">
        <v>389</v>
      </c>
      <c r="E129" s="198">
        <v>425</v>
      </c>
      <c r="G129" s="6"/>
      <c r="H129" s="12"/>
    </row>
    <row r="130" spans="1:5" ht="24" customHeight="1">
      <c r="A130" s="44">
        <v>6</v>
      </c>
      <c r="B130" s="48" t="s">
        <v>768</v>
      </c>
      <c r="C130" s="171">
        <v>0.8529</v>
      </c>
      <c r="D130" s="171">
        <v>0.9692</v>
      </c>
      <c r="E130" s="171">
        <v>0.9855</v>
      </c>
    </row>
    <row r="131" spans="1:5" ht="24" customHeight="1">
      <c r="A131" s="44">
        <v>7</v>
      </c>
      <c r="B131" s="48" t="s">
        <v>769</v>
      </c>
      <c r="C131" s="171">
        <v>0.6723</v>
      </c>
      <c r="D131" s="171">
        <v>0.7525</v>
      </c>
      <c r="E131" s="171">
        <v>0.7528</v>
      </c>
    </row>
    <row r="132" spans="1:5" ht="24" customHeight="1">
      <c r="A132" s="44">
        <v>8</v>
      </c>
      <c r="B132" s="48" t="s">
        <v>770</v>
      </c>
      <c r="C132" s="199">
        <v>2007.8</v>
      </c>
      <c r="D132" s="199">
        <v>2079.8</v>
      </c>
      <c r="E132" s="199">
        <v>2039.5</v>
      </c>
    </row>
    <row r="133" ht="24" customHeight="1">
      <c r="B133" s="55"/>
    </row>
    <row r="134" spans="1:6" ht="19.5" customHeight="1">
      <c r="A134" s="200" t="s">
        <v>402</v>
      </c>
      <c r="B134" s="30" t="s">
        <v>771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772</v>
      </c>
      <c r="C135" s="203">
        <f>IF(C149=0,0,C143/C149)</f>
        <v>0.3302077309205402</v>
      </c>
      <c r="D135" s="203">
        <f>IF(D149=0,0,D143/D149)</f>
        <v>0.3334164669673725</v>
      </c>
      <c r="E135" s="203">
        <f>IF(E149=0,0,E143/E149)</f>
        <v>0.32339050389637636</v>
      </c>
      <c r="G135" s="6"/>
    </row>
    <row r="136" spans="1:5" ht="19.5" customHeight="1">
      <c r="A136" s="202">
        <v>2</v>
      </c>
      <c r="B136" s="195" t="s">
        <v>773</v>
      </c>
      <c r="C136" s="203">
        <f>IF(C149=0,0,C144/C149)</f>
        <v>0.39894624889084435</v>
      </c>
      <c r="D136" s="203">
        <f>IF(D149=0,0,D144/D149)</f>
        <v>0.39389925754943017</v>
      </c>
      <c r="E136" s="203">
        <f>IF(E149=0,0,E144/E149)</f>
        <v>0.3830288325248226</v>
      </c>
    </row>
    <row r="137" spans="1:7" ht="19.5" customHeight="1">
      <c r="A137" s="202">
        <v>3</v>
      </c>
      <c r="B137" s="195" t="s">
        <v>774</v>
      </c>
      <c r="C137" s="203">
        <f>IF(C149=0,0,C145/C149)</f>
        <v>0.1883328547706761</v>
      </c>
      <c r="D137" s="203">
        <f>IF(D149=0,0,D145/D149)</f>
        <v>0.19325414834340507</v>
      </c>
      <c r="E137" s="203">
        <f>IF(E149=0,0,E145/E149)</f>
        <v>0.20700251812945905</v>
      </c>
      <c r="G137" s="6"/>
    </row>
    <row r="138" spans="1:7" ht="19.5" customHeight="1">
      <c r="A138" s="202">
        <v>4</v>
      </c>
      <c r="B138" s="195" t="s">
        <v>775</v>
      </c>
      <c r="C138" s="203">
        <f>IF(C149=0,0,C146/C149)</f>
        <v>0.04043344167312015</v>
      </c>
      <c r="D138" s="203">
        <f>IF(D149=0,0,D146/D149)</f>
        <v>0.03783582399396009</v>
      </c>
      <c r="E138" s="203">
        <f>IF(E149=0,0,E146/E149)</f>
        <v>0.04464658304744017</v>
      </c>
      <c r="G138" s="6"/>
    </row>
    <row r="139" spans="1:5" ht="19.5" customHeight="1">
      <c r="A139" s="202">
        <v>5</v>
      </c>
      <c r="B139" s="195" t="s">
        <v>776</v>
      </c>
      <c r="C139" s="203">
        <f>IF(C149=0,0,C147/C149)</f>
        <v>0.04095177247896946</v>
      </c>
      <c r="D139" s="203">
        <f>IF(D149=0,0,D147/D149)</f>
        <v>0.04037444312784516</v>
      </c>
      <c r="E139" s="203">
        <f>IF(E149=0,0,E147/E149)</f>
        <v>0.04040038630978847</v>
      </c>
    </row>
    <row r="140" spans="1:5" ht="19.5" customHeight="1">
      <c r="A140" s="202">
        <v>6</v>
      </c>
      <c r="B140" s="195" t="s">
        <v>777</v>
      </c>
      <c r="C140" s="203">
        <f>IF(C149=0,0,C148/C149)</f>
        <v>0.001127951265849753</v>
      </c>
      <c r="D140" s="203">
        <f>IF(D149=0,0,D148/D149)</f>
        <v>0.0012198600179870313</v>
      </c>
      <c r="E140" s="203">
        <f>IF(E149=0,0,E148/E149)</f>
        <v>0.0015311760921133367</v>
      </c>
    </row>
    <row r="141" spans="1:5" ht="19.5" customHeight="1">
      <c r="A141" s="202">
        <v>7</v>
      </c>
      <c r="B141" s="195" t="s">
        <v>778</v>
      </c>
      <c r="C141" s="203">
        <f>SUM(C135:C140)</f>
        <v>0.9999999999999999</v>
      </c>
      <c r="D141" s="203">
        <f>SUM(D135:D140)</f>
        <v>1.0000000000000002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779</v>
      </c>
      <c r="C143" s="204">
        <f>+C46-C147</f>
        <v>306176684</v>
      </c>
      <c r="D143" s="205">
        <f>+D46-D147</f>
        <v>346786630</v>
      </c>
      <c r="E143" s="205">
        <f>+E46-E147</f>
        <v>357519360</v>
      </c>
    </row>
    <row r="144" spans="1:5" ht="19.5" customHeight="1">
      <c r="A144" s="202">
        <v>9</v>
      </c>
      <c r="B144" s="201" t="s">
        <v>780</v>
      </c>
      <c r="C144" s="206">
        <f>+C51</f>
        <v>369912719</v>
      </c>
      <c r="D144" s="205">
        <f>+D51</f>
        <v>409694810</v>
      </c>
      <c r="E144" s="205">
        <f>+E51</f>
        <v>423451590</v>
      </c>
    </row>
    <row r="145" spans="1:5" ht="19.5" customHeight="1">
      <c r="A145" s="202">
        <v>10</v>
      </c>
      <c r="B145" s="201" t="s">
        <v>781</v>
      </c>
      <c r="C145" s="206">
        <f>+C55</f>
        <v>174626829</v>
      </c>
      <c r="D145" s="205">
        <f>+D55</f>
        <v>201003734</v>
      </c>
      <c r="E145" s="205">
        <f>+E55</f>
        <v>228848426</v>
      </c>
    </row>
    <row r="146" spans="1:5" ht="19.5" customHeight="1">
      <c r="A146" s="202">
        <v>11</v>
      </c>
      <c r="B146" s="201" t="s">
        <v>782</v>
      </c>
      <c r="C146" s="204">
        <v>37490876</v>
      </c>
      <c r="D146" s="205">
        <v>39353059</v>
      </c>
      <c r="E146" s="205">
        <v>49358338</v>
      </c>
    </row>
    <row r="147" spans="1:5" ht="19.5" customHeight="1">
      <c r="A147" s="202">
        <v>12</v>
      </c>
      <c r="B147" s="201" t="s">
        <v>783</v>
      </c>
      <c r="C147" s="206">
        <f>+C47</f>
        <v>37971485</v>
      </c>
      <c r="D147" s="205">
        <f>+D47</f>
        <v>41993478</v>
      </c>
      <c r="E147" s="205">
        <f>+E47</f>
        <v>44664021</v>
      </c>
    </row>
    <row r="148" spans="1:5" ht="19.5" customHeight="1">
      <c r="A148" s="202">
        <v>13</v>
      </c>
      <c r="B148" s="201" t="s">
        <v>784</v>
      </c>
      <c r="C148" s="206">
        <v>1045864</v>
      </c>
      <c r="D148" s="205">
        <v>1268777</v>
      </c>
      <c r="E148" s="205">
        <v>1692768</v>
      </c>
    </row>
    <row r="149" spans="1:5" ht="19.5" customHeight="1">
      <c r="A149" s="202">
        <v>14</v>
      </c>
      <c r="B149" s="201" t="s">
        <v>785</v>
      </c>
      <c r="C149" s="204">
        <f>SUM(C143:C148)</f>
        <v>927224457</v>
      </c>
      <c r="D149" s="205">
        <f>SUM(D143:D148)</f>
        <v>1040100488</v>
      </c>
      <c r="E149" s="205">
        <f>SUM(E143:E148)</f>
        <v>1105534503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786</v>
      </c>
      <c r="B151" s="30" t="s">
        <v>787</v>
      </c>
      <c r="C151" s="201"/>
      <c r="D151" s="201"/>
      <c r="E151" s="201"/>
    </row>
    <row r="152" spans="1:5" ht="19.5" customHeight="1">
      <c r="A152" s="202">
        <v>1</v>
      </c>
      <c r="B152" s="195" t="s">
        <v>788</v>
      </c>
      <c r="C152" s="203">
        <f>IF(C166=0,0,C160/C166)</f>
        <v>0.41230020526723</v>
      </c>
      <c r="D152" s="203">
        <f>IF(D166=0,0,D160/D166)</f>
        <v>0.39709011294423024</v>
      </c>
      <c r="E152" s="203">
        <f>IF(E166=0,0,E160/E166)</f>
        <v>0.40524404192993274</v>
      </c>
    </row>
    <row r="153" spans="1:5" ht="19.5" customHeight="1">
      <c r="A153" s="202">
        <v>2</v>
      </c>
      <c r="B153" s="195" t="s">
        <v>789</v>
      </c>
      <c r="C153" s="203">
        <f>IF(C166=0,0,C161/C166)</f>
        <v>0.42576324957624606</v>
      </c>
      <c r="D153" s="203">
        <f>IF(D166=0,0,D161/D166)</f>
        <v>0.41541792987513354</v>
      </c>
      <c r="E153" s="203">
        <f>IF(E166=0,0,E161/E166)</f>
        <v>0.4024896240658288</v>
      </c>
    </row>
    <row r="154" spans="1:5" ht="19.5" customHeight="1">
      <c r="A154" s="202">
        <v>3</v>
      </c>
      <c r="B154" s="195" t="s">
        <v>790</v>
      </c>
      <c r="C154" s="203">
        <f>IF(C166=0,0,C162/C166)</f>
        <v>0.135438189060048</v>
      </c>
      <c r="D154" s="203">
        <f>IF(D166=0,0,D162/D166)</f>
        <v>0.15822705439562523</v>
      </c>
      <c r="E154" s="203">
        <f>IF(E166=0,0,E162/E166)</f>
        <v>0.16433391786017512</v>
      </c>
    </row>
    <row r="155" spans="1:7" ht="19.5" customHeight="1">
      <c r="A155" s="202">
        <v>4</v>
      </c>
      <c r="B155" s="195" t="s">
        <v>791</v>
      </c>
      <c r="C155" s="203">
        <f>IF(C166=0,0,C163/C166)</f>
        <v>0.01869070434631758</v>
      </c>
      <c r="D155" s="203">
        <f>IF(D166=0,0,D163/D166)</f>
        <v>0.016014746147908307</v>
      </c>
      <c r="E155" s="203">
        <f>IF(E166=0,0,E163/E166)</f>
        <v>0.018359693887359654</v>
      </c>
      <c r="G155" s="6"/>
    </row>
    <row r="156" spans="1:5" ht="19.5" customHeight="1">
      <c r="A156" s="202">
        <v>5</v>
      </c>
      <c r="B156" s="195" t="s">
        <v>792</v>
      </c>
      <c r="C156" s="203">
        <f>IF(C166=0,0,C164/C166)</f>
        <v>0.0065316115359635996</v>
      </c>
      <c r="D156" s="203">
        <f>IF(D166=0,0,D164/D166)</f>
        <v>0.012290106635570642</v>
      </c>
      <c r="E156" s="203">
        <f>IF(E166=0,0,E164/E166)</f>
        <v>0.00816439601715056</v>
      </c>
    </row>
    <row r="157" spans="1:5" ht="19.5" customHeight="1">
      <c r="A157" s="202">
        <v>6</v>
      </c>
      <c r="B157" s="195" t="s">
        <v>793</v>
      </c>
      <c r="C157" s="203">
        <f>IF(C166=0,0,C165/C166)</f>
        <v>0.001276040214194757</v>
      </c>
      <c r="D157" s="203">
        <f>IF(D166=0,0,D165/D166)</f>
        <v>0.0009600500015320241</v>
      </c>
      <c r="E157" s="203">
        <f>IF(E166=0,0,E165/E166)</f>
        <v>0.001408326239553127</v>
      </c>
    </row>
    <row r="158" spans="1:5" ht="19.5" customHeight="1">
      <c r="A158" s="202">
        <v>7</v>
      </c>
      <c r="B158" s="195" t="s">
        <v>794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795</v>
      </c>
      <c r="C160" s="207">
        <f>+C44-C164</f>
        <v>121143618</v>
      </c>
      <c r="D160" s="208">
        <f>+D44-D164</f>
        <v>129311451</v>
      </c>
      <c r="E160" s="208">
        <f>+E44-E164</f>
        <v>137751920</v>
      </c>
    </row>
    <row r="161" spans="1:5" ht="19.5" customHeight="1">
      <c r="A161" s="202">
        <v>9</v>
      </c>
      <c r="B161" s="201" t="s">
        <v>796</v>
      </c>
      <c r="C161" s="209">
        <f>+C50</f>
        <v>125099381</v>
      </c>
      <c r="D161" s="208">
        <f>+D50</f>
        <v>135279861</v>
      </c>
      <c r="E161" s="208">
        <f>+E50</f>
        <v>136815629</v>
      </c>
    </row>
    <row r="162" spans="1:5" ht="19.5" customHeight="1">
      <c r="A162" s="202">
        <v>10</v>
      </c>
      <c r="B162" s="201" t="s">
        <v>797</v>
      </c>
      <c r="C162" s="209">
        <f>+C54</f>
        <v>39794965</v>
      </c>
      <c r="D162" s="208">
        <f>+D54</f>
        <v>51526264</v>
      </c>
      <c r="E162" s="208">
        <f>+E54</f>
        <v>55860939</v>
      </c>
    </row>
    <row r="163" spans="1:5" ht="19.5" customHeight="1">
      <c r="A163" s="202">
        <v>11</v>
      </c>
      <c r="B163" s="201" t="s">
        <v>798</v>
      </c>
      <c r="C163" s="207">
        <v>5491774</v>
      </c>
      <c r="D163" s="208">
        <v>5215164</v>
      </c>
      <c r="E163" s="208">
        <v>6240889</v>
      </c>
    </row>
    <row r="164" spans="1:5" ht="19.5" customHeight="1">
      <c r="A164" s="202">
        <v>12</v>
      </c>
      <c r="B164" s="201" t="s">
        <v>799</v>
      </c>
      <c r="C164" s="209">
        <f>+C45</f>
        <v>1919143</v>
      </c>
      <c r="D164" s="208">
        <f>+D45</f>
        <v>4002244</v>
      </c>
      <c r="E164" s="208">
        <f>+E45</f>
        <v>2775269</v>
      </c>
    </row>
    <row r="165" spans="1:5" ht="19.5" customHeight="1">
      <c r="A165" s="202">
        <v>13</v>
      </c>
      <c r="B165" s="201" t="s">
        <v>800</v>
      </c>
      <c r="C165" s="209">
        <v>374931</v>
      </c>
      <c r="D165" s="208">
        <v>312638</v>
      </c>
      <c r="E165" s="208">
        <v>478723</v>
      </c>
    </row>
    <row r="166" spans="1:5" ht="19.5" customHeight="1">
      <c r="A166" s="202">
        <v>14</v>
      </c>
      <c r="B166" s="201" t="s">
        <v>801</v>
      </c>
      <c r="C166" s="207">
        <f>SUM(C160:C165)</f>
        <v>293823812</v>
      </c>
      <c r="D166" s="208">
        <f>SUM(D160:D165)</f>
        <v>325647622</v>
      </c>
      <c r="E166" s="208">
        <f>SUM(E160:E165)</f>
        <v>339923369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802</v>
      </c>
      <c r="B168" s="30" t="s">
        <v>763</v>
      </c>
      <c r="C168" s="201"/>
      <c r="D168" s="201"/>
      <c r="E168" s="201"/>
    </row>
    <row r="169" spans="1:5" ht="19.5" customHeight="1">
      <c r="A169" s="202">
        <v>1</v>
      </c>
      <c r="B169" s="201" t="s">
        <v>803</v>
      </c>
      <c r="C169" s="198">
        <v>7449</v>
      </c>
      <c r="D169" s="198">
        <v>7478</v>
      </c>
      <c r="E169" s="198">
        <v>7016</v>
      </c>
    </row>
    <row r="170" spans="1:5" ht="19.5" customHeight="1">
      <c r="A170" s="202">
        <v>2</v>
      </c>
      <c r="B170" s="201" t="s">
        <v>804</v>
      </c>
      <c r="C170" s="198">
        <v>7016</v>
      </c>
      <c r="D170" s="198">
        <v>7096</v>
      </c>
      <c r="E170" s="198">
        <v>7107</v>
      </c>
    </row>
    <row r="171" spans="1:5" ht="19.5" customHeight="1">
      <c r="A171" s="202">
        <v>3</v>
      </c>
      <c r="B171" s="201" t="s">
        <v>805</v>
      </c>
      <c r="C171" s="198">
        <v>5179</v>
      </c>
      <c r="D171" s="198">
        <v>5415</v>
      </c>
      <c r="E171" s="198">
        <v>5662</v>
      </c>
    </row>
    <row r="172" spans="1:5" ht="19.5" customHeight="1">
      <c r="A172" s="202">
        <v>4</v>
      </c>
      <c r="B172" s="201" t="s">
        <v>806</v>
      </c>
      <c r="C172" s="198">
        <v>4577</v>
      </c>
      <c r="D172" s="198">
        <v>4759</v>
      </c>
      <c r="E172" s="198">
        <v>4962</v>
      </c>
    </row>
    <row r="173" spans="1:5" ht="19.5" customHeight="1">
      <c r="A173" s="202">
        <v>5</v>
      </c>
      <c r="B173" s="201" t="s">
        <v>807</v>
      </c>
      <c r="C173" s="198">
        <v>602</v>
      </c>
      <c r="D173" s="198">
        <v>656</v>
      </c>
      <c r="E173" s="198">
        <v>700</v>
      </c>
    </row>
    <row r="174" spans="1:5" ht="19.5" customHeight="1">
      <c r="A174" s="202">
        <v>6</v>
      </c>
      <c r="B174" s="201" t="s">
        <v>808</v>
      </c>
      <c r="C174" s="198">
        <v>31</v>
      </c>
      <c r="D174" s="198">
        <v>33</v>
      </c>
      <c r="E174" s="198">
        <v>23</v>
      </c>
    </row>
    <row r="175" spans="1:5" ht="19.5" customHeight="1">
      <c r="A175" s="202">
        <v>7</v>
      </c>
      <c r="B175" s="201" t="s">
        <v>809</v>
      </c>
      <c r="C175" s="198">
        <v>448</v>
      </c>
      <c r="D175" s="198">
        <v>375</v>
      </c>
      <c r="E175" s="198">
        <v>398</v>
      </c>
    </row>
    <row r="176" spans="1:5" ht="19.5" customHeight="1">
      <c r="A176" s="202">
        <v>8</v>
      </c>
      <c r="B176" s="201" t="s">
        <v>810</v>
      </c>
      <c r="C176" s="198">
        <f>+C169+C170+C171+C174</f>
        <v>19675</v>
      </c>
      <c r="D176" s="198">
        <f>+D169+D170+D171+D174</f>
        <v>20022</v>
      </c>
      <c r="E176" s="198">
        <f>+E169+E170+E171+E174</f>
        <v>19808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811</v>
      </c>
      <c r="B178" s="30" t="s">
        <v>812</v>
      </c>
      <c r="C178" s="201"/>
      <c r="D178" s="201"/>
      <c r="E178" s="201"/>
    </row>
    <row r="179" spans="1:5" ht="19.5" customHeight="1">
      <c r="A179" s="202">
        <v>1</v>
      </c>
      <c r="B179" s="201" t="s">
        <v>803</v>
      </c>
      <c r="C179" s="210">
        <v>1.12072</v>
      </c>
      <c r="D179" s="210">
        <v>1.16977</v>
      </c>
      <c r="E179" s="210">
        <v>1.13717</v>
      </c>
    </row>
    <row r="180" spans="1:5" ht="19.5" customHeight="1">
      <c r="A180" s="202">
        <v>2</v>
      </c>
      <c r="B180" s="201" t="s">
        <v>804</v>
      </c>
      <c r="C180" s="210">
        <v>1.63064</v>
      </c>
      <c r="D180" s="210">
        <v>1.61224</v>
      </c>
      <c r="E180" s="210">
        <v>1.64252</v>
      </c>
    </row>
    <row r="181" spans="1:5" ht="19.5" customHeight="1">
      <c r="A181" s="202">
        <v>3</v>
      </c>
      <c r="B181" s="201" t="s">
        <v>805</v>
      </c>
      <c r="C181" s="210">
        <v>0.942605</v>
      </c>
      <c r="D181" s="210">
        <v>0.956343</v>
      </c>
      <c r="E181" s="210">
        <v>0.955779</v>
      </c>
    </row>
    <row r="182" spans="1:5" ht="19.5" customHeight="1">
      <c r="A182" s="202">
        <v>4</v>
      </c>
      <c r="B182" s="201" t="s">
        <v>806</v>
      </c>
      <c r="C182" s="210">
        <v>0.88994</v>
      </c>
      <c r="D182" s="210">
        <v>0.92829</v>
      </c>
      <c r="E182" s="210">
        <v>0.96157</v>
      </c>
    </row>
    <row r="183" spans="1:5" ht="19.5" customHeight="1">
      <c r="A183" s="202">
        <v>5</v>
      </c>
      <c r="B183" s="201" t="s">
        <v>807</v>
      </c>
      <c r="C183" s="210">
        <v>1.34302</v>
      </c>
      <c r="D183" s="210">
        <v>1.15986</v>
      </c>
      <c r="E183" s="210">
        <v>0.91473</v>
      </c>
    </row>
    <row r="184" spans="1:5" ht="19.5" customHeight="1">
      <c r="A184" s="202">
        <v>6</v>
      </c>
      <c r="B184" s="201" t="s">
        <v>808</v>
      </c>
      <c r="C184" s="210">
        <v>1.16526</v>
      </c>
      <c r="D184" s="210">
        <v>1.11641</v>
      </c>
      <c r="E184" s="210">
        <v>1.42796</v>
      </c>
    </row>
    <row r="185" spans="1:5" ht="19.5" customHeight="1">
      <c r="A185" s="202">
        <v>7</v>
      </c>
      <c r="B185" s="201" t="s">
        <v>809</v>
      </c>
      <c r="C185" s="210">
        <v>1.28487</v>
      </c>
      <c r="D185" s="210">
        <v>1.27433</v>
      </c>
      <c r="E185" s="210">
        <v>1.21574</v>
      </c>
    </row>
    <row r="186" spans="1:5" ht="19.5" customHeight="1">
      <c r="A186" s="202">
        <v>8</v>
      </c>
      <c r="B186" s="201" t="s">
        <v>813</v>
      </c>
      <c r="C186" s="210">
        <v>1.25574</v>
      </c>
      <c r="D186" s="210">
        <v>1.268776</v>
      </c>
      <c r="E186" s="210">
        <v>1.266974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814</v>
      </c>
      <c r="B188" s="30" t="s">
        <v>815</v>
      </c>
      <c r="C188" s="201"/>
      <c r="D188" s="201"/>
      <c r="E188" s="201"/>
    </row>
    <row r="189" spans="1:5" ht="19.5" customHeight="1">
      <c r="A189" s="202">
        <v>1</v>
      </c>
      <c r="B189" s="201" t="s">
        <v>816</v>
      </c>
      <c r="C189" s="198">
        <v>9556</v>
      </c>
      <c r="D189" s="198">
        <v>10058</v>
      </c>
      <c r="E189" s="198">
        <v>10610</v>
      </c>
    </row>
    <row r="190" spans="1:5" ht="19.5" customHeight="1">
      <c r="A190" s="202">
        <v>2</v>
      </c>
      <c r="B190" s="201" t="s">
        <v>817</v>
      </c>
      <c r="C190" s="198">
        <v>57987</v>
      </c>
      <c r="D190" s="198">
        <v>56580</v>
      </c>
      <c r="E190" s="198">
        <v>66812</v>
      </c>
    </row>
    <row r="191" spans="1:5" ht="19.5" customHeight="1">
      <c r="A191" s="202">
        <v>3</v>
      </c>
      <c r="B191" s="201" t="s">
        <v>818</v>
      </c>
      <c r="C191" s="198">
        <f>+C190+C189</f>
        <v>67543</v>
      </c>
      <c r="D191" s="198">
        <f>+D190+D189</f>
        <v>66638</v>
      </c>
      <c r="E191" s="198">
        <f>+E190+E189</f>
        <v>77422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/>
  <headerFooter alignWithMargins="0">
    <oddHeader>&amp;LOFFICE OF HEALTH CARE ACCESS&amp;CTWELVE MONTHS ACTUAL FILING&amp;RBRIDGEPORT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390</v>
      </c>
      <c r="B2" s="660"/>
      <c r="C2" s="660"/>
      <c r="D2" s="660"/>
      <c r="E2" s="660"/>
      <c r="F2" s="660"/>
    </row>
    <row r="3" spans="1:6" ht="20.25" customHeight="1">
      <c r="A3" s="660" t="s">
        <v>391</v>
      </c>
      <c r="B3" s="660"/>
      <c r="C3" s="660"/>
      <c r="D3" s="660"/>
      <c r="E3" s="660"/>
      <c r="F3" s="660"/>
    </row>
    <row r="4" spans="1:6" ht="20.25" customHeight="1">
      <c r="A4" s="660" t="s">
        <v>392</v>
      </c>
      <c r="B4" s="660"/>
      <c r="C4" s="660"/>
      <c r="D4" s="660"/>
      <c r="E4" s="660"/>
      <c r="F4" s="660"/>
    </row>
    <row r="5" spans="1:6" ht="20.25" customHeight="1">
      <c r="A5" s="660" t="s">
        <v>819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544</v>
      </c>
      <c r="B8" s="221" t="s">
        <v>399</v>
      </c>
      <c r="C8" s="222" t="s">
        <v>820</v>
      </c>
      <c r="D8" s="223" t="s">
        <v>821</v>
      </c>
      <c r="E8" s="223" t="s">
        <v>822</v>
      </c>
      <c r="F8" s="224" t="s">
        <v>498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402</v>
      </c>
      <c r="B10" s="690" t="s">
        <v>503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500</v>
      </c>
      <c r="B13" s="231" t="s">
        <v>823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824</v>
      </c>
      <c r="C14" s="237">
        <v>1556693</v>
      </c>
      <c r="D14" s="237">
        <v>1179026</v>
      </c>
      <c r="E14" s="237">
        <f aca="true" t="shared" si="0" ref="E14:E24">D14-C14</f>
        <v>-377667</v>
      </c>
      <c r="F14" s="238">
        <f aca="true" t="shared" si="1" ref="F14:F24">IF(C14=0,0,E14/C14)</f>
        <v>-0.24260852974864022</v>
      </c>
    </row>
    <row r="15" spans="1:6" ht="20.25" customHeight="1">
      <c r="A15" s="235">
        <v>2</v>
      </c>
      <c r="B15" s="236" t="s">
        <v>825</v>
      </c>
      <c r="C15" s="237">
        <v>439097</v>
      </c>
      <c r="D15" s="237">
        <v>383760</v>
      </c>
      <c r="E15" s="237">
        <f t="shared" si="0"/>
        <v>-55337</v>
      </c>
      <c r="F15" s="238">
        <f t="shared" si="1"/>
        <v>-0.12602454582928146</v>
      </c>
    </row>
    <row r="16" spans="1:6" ht="20.25" customHeight="1">
      <c r="A16" s="235">
        <v>3</v>
      </c>
      <c r="B16" s="236" t="s">
        <v>826</v>
      </c>
      <c r="C16" s="237">
        <v>439056</v>
      </c>
      <c r="D16" s="237">
        <v>468345</v>
      </c>
      <c r="E16" s="237">
        <f t="shared" si="0"/>
        <v>29289</v>
      </c>
      <c r="F16" s="238">
        <f t="shared" si="1"/>
        <v>0.06670903028315295</v>
      </c>
    </row>
    <row r="17" spans="1:6" ht="20.25" customHeight="1">
      <c r="A17" s="235">
        <v>4</v>
      </c>
      <c r="B17" s="236" t="s">
        <v>827</v>
      </c>
      <c r="C17" s="237">
        <v>151930</v>
      </c>
      <c r="D17" s="237">
        <v>162218</v>
      </c>
      <c r="E17" s="237">
        <f t="shared" si="0"/>
        <v>10288</v>
      </c>
      <c r="F17" s="238">
        <f t="shared" si="1"/>
        <v>0.06771539524781149</v>
      </c>
    </row>
    <row r="18" spans="1:6" ht="20.25" customHeight="1">
      <c r="A18" s="235">
        <v>5</v>
      </c>
      <c r="B18" s="236" t="s">
        <v>763</v>
      </c>
      <c r="C18" s="239">
        <v>33</v>
      </c>
      <c r="D18" s="239">
        <v>30</v>
      </c>
      <c r="E18" s="239">
        <f t="shared" si="0"/>
        <v>-3</v>
      </c>
      <c r="F18" s="238">
        <f t="shared" si="1"/>
        <v>-0.09090909090909091</v>
      </c>
    </row>
    <row r="19" spans="1:6" ht="20.25" customHeight="1">
      <c r="A19" s="235">
        <v>6</v>
      </c>
      <c r="B19" s="236" t="s">
        <v>762</v>
      </c>
      <c r="C19" s="239">
        <v>238</v>
      </c>
      <c r="D19" s="239">
        <v>200</v>
      </c>
      <c r="E19" s="239">
        <f t="shared" si="0"/>
        <v>-38</v>
      </c>
      <c r="F19" s="238">
        <f t="shared" si="1"/>
        <v>-0.15966386554621848</v>
      </c>
    </row>
    <row r="20" spans="1:6" ht="20.25" customHeight="1">
      <c r="A20" s="235">
        <v>7</v>
      </c>
      <c r="B20" s="236" t="s">
        <v>828</v>
      </c>
      <c r="C20" s="239">
        <v>79</v>
      </c>
      <c r="D20" s="239">
        <v>84</v>
      </c>
      <c r="E20" s="239">
        <f t="shared" si="0"/>
        <v>5</v>
      </c>
      <c r="F20" s="238">
        <f t="shared" si="1"/>
        <v>0.06329113924050633</v>
      </c>
    </row>
    <row r="21" spans="1:6" ht="20.25" customHeight="1">
      <c r="A21" s="235">
        <v>8</v>
      </c>
      <c r="B21" s="236" t="s">
        <v>829</v>
      </c>
      <c r="C21" s="239">
        <v>26</v>
      </c>
      <c r="D21" s="239">
        <v>21</v>
      </c>
      <c r="E21" s="239">
        <f t="shared" si="0"/>
        <v>-5</v>
      </c>
      <c r="F21" s="238">
        <f t="shared" si="1"/>
        <v>-0.19230769230769232</v>
      </c>
    </row>
    <row r="22" spans="1:6" ht="20.25" customHeight="1">
      <c r="A22" s="235">
        <v>9</v>
      </c>
      <c r="B22" s="236" t="s">
        <v>830</v>
      </c>
      <c r="C22" s="239">
        <v>21</v>
      </c>
      <c r="D22" s="239">
        <v>21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831</v>
      </c>
      <c r="C23" s="243">
        <f>+C14+C16</f>
        <v>1995749</v>
      </c>
      <c r="D23" s="243">
        <f>+D14+D16</f>
        <v>1647371</v>
      </c>
      <c r="E23" s="243">
        <f t="shared" si="0"/>
        <v>-348378</v>
      </c>
      <c r="F23" s="244">
        <f t="shared" si="1"/>
        <v>-0.17456002733810716</v>
      </c>
    </row>
    <row r="24" spans="1:6" s="240" customFormat="1" ht="20.25" customHeight="1">
      <c r="A24" s="241"/>
      <c r="B24" s="242" t="s">
        <v>832</v>
      </c>
      <c r="C24" s="243">
        <f>+C15+C17</f>
        <v>591027</v>
      </c>
      <c r="D24" s="243">
        <f>+D15+D17</f>
        <v>545978</v>
      </c>
      <c r="E24" s="243">
        <f t="shared" si="0"/>
        <v>-45049</v>
      </c>
      <c r="F24" s="244">
        <f t="shared" si="1"/>
        <v>-0.07622156009793123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514</v>
      </c>
      <c r="B26" s="231" t="s">
        <v>833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824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825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826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827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763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762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828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829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830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831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832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531</v>
      </c>
      <c r="B39" s="231" t="s">
        <v>834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824</v>
      </c>
      <c r="C40" s="237">
        <v>0</v>
      </c>
      <c r="D40" s="237">
        <v>0</v>
      </c>
      <c r="E40" s="237">
        <f aca="true" t="shared" si="4" ref="E40:E50">D40-C40</f>
        <v>0</v>
      </c>
      <c r="F40" s="238">
        <f aca="true" t="shared" si="5" ref="F40:F50">IF(C40=0,0,E40/C40)</f>
        <v>0</v>
      </c>
    </row>
    <row r="41" spans="1:6" ht="20.25" customHeight="1">
      <c r="A41" s="235">
        <v>2</v>
      </c>
      <c r="B41" s="236" t="s">
        <v>825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>
      <c r="A42" s="235">
        <v>3</v>
      </c>
      <c r="B42" s="236" t="s">
        <v>826</v>
      </c>
      <c r="C42" s="237">
        <v>0</v>
      </c>
      <c r="D42" s="237">
        <v>0</v>
      </c>
      <c r="E42" s="237">
        <f t="shared" si="4"/>
        <v>0</v>
      </c>
      <c r="F42" s="238">
        <f t="shared" si="5"/>
        <v>0</v>
      </c>
    </row>
    <row r="43" spans="1:6" ht="20.25" customHeight="1">
      <c r="A43" s="235">
        <v>4</v>
      </c>
      <c r="B43" s="236" t="s">
        <v>827</v>
      </c>
      <c r="C43" s="237">
        <v>0</v>
      </c>
      <c r="D43" s="237">
        <v>0</v>
      </c>
      <c r="E43" s="237">
        <f t="shared" si="4"/>
        <v>0</v>
      </c>
      <c r="F43" s="238">
        <f t="shared" si="5"/>
        <v>0</v>
      </c>
    </row>
    <row r="44" spans="1:6" ht="20.25" customHeight="1">
      <c r="A44" s="235">
        <v>5</v>
      </c>
      <c r="B44" s="236" t="s">
        <v>763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>
      <c r="A45" s="235">
        <v>6</v>
      </c>
      <c r="B45" s="236" t="s">
        <v>762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>
      <c r="A46" s="235">
        <v>7</v>
      </c>
      <c r="B46" s="236" t="s">
        <v>828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ht="20.25" customHeight="1">
      <c r="A47" s="235">
        <v>8</v>
      </c>
      <c r="B47" s="236" t="s">
        <v>829</v>
      </c>
      <c r="C47" s="239">
        <v>0</v>
      </c>
      <c r="D47" s="239">
        <v>0</v>
      </c>
      <c r="E47" s="239">
        <f t="shared" si="4"/>
        <v>0</v>
      </c>
      <c r="F47" s="238">
        <f t="shared" si="5"/>
        <v>0</v>
      </c>
    </row>
    <row r="48" spans="1:6" ht="20.25" customHeight="1">
      <c r="A48" s="235">
        <v>9</v>
      </c>
      <c r="B48" s="236" t="s">
        <v>830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>
      <c r="A49" s="241"/>
      <c r="B49" s="242" t="s">
        <v>831</v>
      </c>
      <c r="C49" s="243">
        <f>+C40+C42</f>
        <v>0</v>
      </c>
      <c r="D49" s="243">
        <f>+D40+D42</f>
        <v>0</v>
      </c>
      <c r="E49" s="243">
        <f t="shared" si="4"/>
        <v>0</v>
      </c>
      <c r="F49" s="244">
        <f t="shared" si="5"/>
        <v>0</v>
      </c>
    </row>
    <row r="50" spans="1:6" s="240" customFormat="1" ht="20.25" customHeight="1">
      <c r="A50" s="241"/>
      <c r="B50" s="242" t="s">
        <v>832</v>
      </c>
      <c r="C50" s="243">
        <f>+C41+C43</f>
        <v>0</v>
      </c>
      <c r="D50" s="243">
        <f>+D41+D43</f>
        <v>0</v>
      </c>
      <c r="E50" s="243">
        <f t="shared" si="4"/>
        <v>0</v>
      </c>
      <c r="F50" s="244">
        <f t="shared" si="5"/>
        <v>0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561</v>
      </c>
      <c r="B52" s="231" t="s">
        <v>835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824</v>
      </c>
      <c r="C53" s="237">
        <v>79035635</v>
      </c>
      <c r="D53" s="237">
        <v>80362530</v>
      </c>
      <c r="E53" s="237">
        <f aca="true" t="shared" si="6" ref="E53:E63">D53-C53</f>
        <v>1326895</v>
      </c>
      <c r="F53" s="238">
        <f aca="true" t="shared" si="7" ref="F53:F63">IF(C53=0,0,E53/C53)</f>
        <v>0.016788566322014115</v>
      </c>
    </row>
    <row r="54" spans="1:6" ht="20.25" customHeight="1">
      <c r="A54" s="235">
        <v>2</v>
      </c>
      <c r="B54" s="236" t="s">
        <v>825</v>
      </c>
      <c r="C54" s="237">
        <v>24562343</v>
      </c>
      <c r="D54" s="237">
        <v>25612838</v>
      </c>
      <c r="E54" s="237">
        <f t="shared" si="6"/>
        <v>1050495</v>
      </c>
      <c r="F54" s="238">
        <f t="shared" si="7"/>
        <v>0.042768517645079704</v>
      </c>
    </row>
    <row r="55" spans="1:6" ht="20.25" customHeight="1">
      <c r="A55" s="235">
        <v>3</v>
      </c>
      <c r="B55" s="236" t="s">
        <v>826</v>
      </c>
      <c r="C55" s="237">
        <v>21243482</v>
      </c>
      <c r="D55" s="237">
        <v>23371878</v>
      </c>
      <c r="E55" s="237">
        <f t="shared" si="6"/>
        <v>2128396</v>
      </c>
      <c r="F55" s="238">
        <f t="shared" si="7"/>
        <v>0.100190543151071</v>
      </c>
    </row>
    <row r="56" spans="1:6" ht="20.25" customHeight="1">
      <c r="A56" s="235">
        <v>4</v>
      </c>
      <c r="B56" s="236" t="s">
        <v>827</v>
      </c>
      <c r="C56" s="237">
        <v>4656020</v>
      </c>
      <c r="D56" s="237">
        <v>5973009</v>
      </c>
      <c r="E56" s="237">
        <f t="shared" si="6"/>
        <v>1316989</v>
      </c>
      <c r="F56" s="238">
        <f t="shared" si="7"/>
        <v>0.2828572471767733</v>
      </c>
    </row>
    <row r="57" spans="1:6" ht="20.25" customHeight="1">
      <c r="A57" s="235">
        <v>5</v>
      </c>
      <c r="B57" s="236" t="s">
        <v>763</v>
      </c>
      <c r="C57" s="239">
        <v>1766</v>
      </c>
      <c r="D57" s="239">
        <v>1714</v>
      </c>
      <c r="E57" s="239">
        <f t="shared" si="6"/>
        <v>-52</v>
      </c>
      <c r="F57" s="238">
        <f t="shared" si="7"/>
        <v>-0.02944507361268403</v>
      </c>
    </row>
    <row r="58" spans="1:6" ht="20.25" customHeight="1">
      <c r="A58" s="235">
        <v>6</v>
      </c>
      <c r="B58" s="236" t="s">
        <v>762</v>
      </c>
      <c r="C58" s="239">
        <v>11708</v>
      </c>
      <c r="D58" s="239">
        <v>12283</v>
      </c>
      <c r="E58" s="239">
        <f t="shared" si="6"/>
        <v>575</v>
      </c>
      <c r="F58" s="238">
        <f t="shared" si="7"/>
        <v>0.049111718483088485</v>
      </c>
    </row>
    <row r="59" spans="1:6" ht="20.25" customHeight="1">
      <c r="A59" s="235">
        <v>7</v>
      </c>
      <c r="B59" s="236" t="s">
        <v>828</v>
      </c>
      <c r="C59" s="239">
        <v>4838</v>
      </c>
      <c r="D59" s="239">
        <v>5099</v>
      </c>
      <c r="E59" s="239">
        <f t="shared" si="6"/>
        <v>261</v>
      </c>
      <c r="F59" s="238">
        <f t="shared" si="7"/>
        <v>0.053947912360479536</v>
      </c>
    </row>
    <row r="60" spans="1:6" ht="20.25" customHeight="1">
      <c r="A60" s="235">
        <v>8</v>
      </c>
      <c r="B60" s="236" t="s">
        <v>829</v>
      </c>
      <c r="C60" s="239">
        <v>1138</v>
      </c>
      <c r="D60" s="239">
        <v>1180</v>
      </c>
      <c r="E60" s="239">
        <f t="shared" si="6"/>
        <v>42</v>
      </c>
      <c r="F60" s="238">
        <f t="shared" si="7"/>
        <v>0.03690685413005272</v>
      </c>
    </row>
    <row r="61" spans="1:6" ht="20.25" customHeight="1">
      <c r="A61" s="235">
        <v>9</v>
      </c>
      <c r="B61" s="236" t="s">
        <v>830</v>
      </c>
      <c r="C61" s="239">
        <v>1232</v>
      </c>
      <c r="D61" s="239">
        <v>1238</v>
      </c>
      <c r="E61" s="239">
        <f t="shared" si="6"/>
        <v>6</v>
      </c>
      <c r="F61" s="238">
        <f t="shared" si="7"/>
        <v>0.00487012987012987</v>
      </c>
    </row>
    <row r="62" spans="1:6" s="240" customFormat="1" ht="20.25" customHeight="1">
      <c r="A62" s="241"/>
      <c r="B62" s="242" t="s">
        <v>831</v>
      </c>
      <c r="C62" s="243">
        <f>+C53+C55</f>
        <v>100279117</v>
      </c>
      <c r="D62" s="243">
        <f>+D53+D55</f>
        <v>103734408</v>
      </c>
      <c r="E62" s="243">
        <f t="shared" si="6"/>
        <v>3455291</v>
      </c>
      <c r="F62" s="244">
        <f t="shared" si="7"/>
        <v>0.03445673539387069</v>
      </c>
    </row>
    <row r="63" spans="1:6" s="240" customFormat="1" ht="20.25" customHeight="1">
      <c r="A63" s="241"/>
      <c r="B63" s="242" t="s">
        <v>832</v>
      </c>
      <c r="C63" s="243">
        <f>+C54+C56</f>
        <v>29218363</v>
      </c>
      <c r="D63" s="243">
        <f>+D54+D56</f>
        <v>31585847</v>
      </c>
      <c r="E63" s="243">
        <f t="shared" si="6"/>
        <v>2367484</v>
      </c>
      <c r="F63" s="244">
        <f t="shared" si="7"/>
        <v>0.08102726357393808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566</v>
      </c>
      <c r="B65" s="231" t="s">
        <v>836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824</v>
      </c>
      <c r="C66" s="237">
        <v>6006003</v>
      </c>
      <c r="D66" s="237">
        <v>10961295</v>
      </c>
      <c r="E66" s="237">
        <f aca="true" t="shared" si="8" ref="E66:E76">D66-C66</f>
        <v>4955292</v>
      </c>
      <c r="F66" s="238">
        <f aca="true" t="shared" si="9" ref="F66:F76">IF(C66=0,0,E66/C66)</f>
        <v>0.8250565309407938</v>
      </c>
    </row>
    <row r="67" spans="1:6" ht="20.25" customHeight="1">
      <c r="A67" s="235">
        <v>2</v>
      </c>
      <c r="B67" s="236" t="s">
        <v>825</v>
      </c>
      <c r="C67" s="237">
        <v>1845085</v>
      </c>
      <c r="D67" s="237">
        <v>3529537</v>
      </c>
      <c r="E67" s="237">
        <f t="shared" si="8"/>
        <v>1684452</v>
      </c>
      <c r="F67" s="238">
        <f t="shared" si="9"/>
        <v>0.9129400542522431</v>
      </c>
    </row>
    <row r="68" spans="1:6" ht="20.25" customHeight="1">
      <c r="A68" s="235">
        <v>3</v>
      </c>
      <c r="B68" s="236" t="s">
        <v>826</v>
      </c>
      <c r="C68" s="237">
        <v>1327649</v>
      </c>
      <c r="D68" s="237">
        <v>4452037</v>
      </c>
      <c r="E68" s="237">
        <f t="shared" si="8"/>
        <v>3124388</v>
      </c>
      <c r="F68" s="238">
        <f t="shared" si="9"/>
        <v>2.3533238077232763</v>
      </c>
    </row>
    <row r="69" spans="1:6" ht="20.25" customHeight="1">
      <c r="A69" s="235">
        <v>4</v>
      </c>
      <c r="B69" s="236" t="s">
        <v>827</v>
      </c>
      <c r="C69" s="237">
        <v>477119</v>
      </c>
      <c r="D69" s="237">
        <v>1116167</v>
      </c>
      <c r="E69" s="237">
        <f t="shared" si="8"/>
        <v>639048</v>
      </c>
      <c r="F69" s="238">
        <f t="shared" si="9"/>
        <v>1.33938912514488</v>
      </c>
    </row>
    <row r="70" spans="1:6" ht="20.25" customHeight="1">
      <c r="A70" s="235">
        <v>5</v>
      </c>
      <c r="B70" s="236" t="s">
        <v>763</v>
      </c>
      <c r="C70" s="239">
        <v>83</v>
      </c>
      <c r="D70" s="239">
        <v>235</v>
      </c>
      <c r="E70" s="239">
        <f t="shared" si="8"/>
        <v>152</v>
      </c>
      <c r="F70" s="238">
        <f t="shared" si="9"/>
        <v>1.8313253012048192</v>
      </c>
    </row>
    <row r="71" spans="1:6" ht="20.25" customHeight="1">
      <c r="A71" s="235">
        <v>6</v>
      </c>
      <c r="B71" s="236" t="s">
        <v>762</v>
      </c>
      <c r="C71" s="239">
        <v>979</v>
      </c>
      <c r="D71" s="239">
        <v>1585</v>
      </c>
      <c r="E71" s="239">
        <f t="shared" si="8"/>
        <v>606</v>
      </c>
      <c r="F71" s="238">
        <f t="shared" si="9"/>
        <v>0.6189989785495403</v>
      </c>
    </row>
    <row r="72" spans="1:6" ht="20.25" customHeight="1">
      <c r="A72" s="235">
        <v>7</v>
      </c>
      <c r="B72" s="236" t="s">
        <v>828</v>
      </c>
      <c r="C72" s="239">
        <v>322</v>
      </c>
      <c r="D72" s="239">
        <v>995</v>
      </c>
      <c r="E72" s="239">
        <f t="shared" si="8"/>
        <v>673</v>
      </c>
      <c r="F72" s="238">
        <f t="shared" si="9"/>
        <v>2.090062111801242</v>
      </c>
    </row>
    <row r="73" spans="1:6" ht="20.25" customHeight="1">
      <c r="A73" s="235">
        <v>8</v>
      </c>
      <c r="B73" s="236" t="s">
        <v>829</v>
      </c>
      <c r="C73" s="239">
        <v>123</v>
      </c>
      <c r="D73" s="239">
        <v>328</v>
      </c>
      <c r="E73" s="239">
        <f t="shared" si="8"/>
        <v>205</v>
      </c>
      <c r="F73" s="238">
        <f t="shared" si="9"/>
        <v>1.6666666666666667</v>
      </c>
    </row>
    <row r="74" spans="1:6" ht="20.25" customHeight="1">
      <c r="A74" s="235">
        <v>9</v>
      </c>
      <c r="B74" s="236" t="s">
        <v>830</v>
      </c>
      <c r="C74" s="239">
        <v>63</v>
      </c>
      <c r="D74" s="239">
        <v>169</v>
      </c>
      <c r="E74" s="239">
        <f t="shared" si="8"/>
        <v>106</v>
      </c>
      <c r="F74" s="238">
        <f t="shared" si="9"/>
        <v>1.6825396825396826</v>
      </c>
    </row>
    <row r="75" spans="1:6" s="240" customFormat="1" ht="20.25" customHeight="1">
      <c r="A75" s="241"/>
      <c r="B75" s="242" t="s">
        <v>831</v>
      </c>
      <c r="C75" s="243">
        <f>+C66+C68</f>
        <v>7333652</v>
      </c>
      <c r="D75" s="243">
        <f>+D66+D68</f>
        <v>15413332</v>
      </c>
      <c r="E75" s="243">
        <f t="shared" si="8"/>
        <v>8079680</v>
      </c>
      <c r="F75" s="244">
        <f t="shared" si="9"/>
        <v>1.101726670422867</v>
      </c>
    </row>
    <row r="76" spans="1:6" s="240" customFormat="1" ht="20.25" customHeight="1">
      <c r="A76" s="241"/>
      <c r="B76" s="242" t="s">
        <v>832</v>
      </c>
      <c r="C76" s="243">
        <f>+C67+C69</f>
        <v>2322204</v>
      </c>
      <c r="D76" s="243">
        <f>+D67+D69</f>
        <v>4645704</v>
      </c>
      <c r="E76" s="243">
        <f t="shared" si="8"/>
        <v>2323500</v>
      </c>
      <c r="F76" s="244">
        <f t="shared" si="9"/>
        <v>1.0005580905036766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572</v>
      </c>
      <c r="B78" s="231" t="s">
        <v>837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824</v>
      </c>
      <c r="C79" s="237">
        <v>0</v>
      </c>
      <c r="D79" s="237">
        <v>16602</v>
      </c>
      <c r="E79" s="237">
        <f aca="true" t="shared" si="10" ref="E79:E89">D79-C79</f>
        <v>16602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825</v>
      </c>
      <c r="C80" s="237">
        <v>0</v>
      </c>
      <c r="D80" s="237">
        <v>8636</v>
      </c>
      <c r="E80" s="237">
        <f t="shared" si="10"/>
        <v>8636</v>
      </c>
      <c r="F80" s="238">
        <f t="shared" si="11"/>
        <v>0</v>
      </c>
    </row>
    <row r="81" spans="1:6" ht="20.25" customHeight="1">
      <c r="A81" s="235">
        <v>3</v>
      </c>
      <c r="B81" s="236" t="s">
        <v>826</v>
      </c>
      <c r="C81" s="237">
        <v>22296</v>
      </c>
      <c r="D81" s="237">
        <v>36335</v>
      </c>
      <c r="E81" s="237">
        <f t="shared" si="10"/>
        <v>14039</v>
      </c>
      <c r="F81" s="238">
        <f t="shared" si="11"/>
        <v>0.629664513814137</v>
      </c>
    </row>
    <row r="82" spans="1:6" ht="20.25" customHeight="1">
      <c r="A82" s="235">
        <v>4</v>
      </c>
      <c r="B82" s="236" t="s">
        <v>827</v>
      </c>
      <c r="C82" s="237">
        <v>7176</v>
      </c>
      <c r="D82" s="237">
        <v>12888</v>
      </c>
      <c r="E82" s="237">
        <f t="shared" si="10"/>
        <v>5712</v>
      </c>
      <c r="F82" s="238">
        <f t="shared" si="11"/>
        <v>0.7959866220735786</v>
      </c>
    </row>
    <row r="83" spans="1:6" ht="20.25" customHeight="1">
      <c r="A83" s="235">
        <v>5</v>
      </c>
      <c r="B83" s="236" t="s">
        <v>763</v>
      </c>
      <c r="C83" s="239">
        <v>0</v>
      </c>
      <c r="D83" s="239">
        <v>1</v>
      </c>
      <c r="E83" s="239">
        <f t="shared" si="10"/>
        <v>1</v>
      </c>
      <c r="F83" s="238">
        <f t="shared" si="11"/>
        <v>0</v>
      </c>
    </row>
    <row r="84" spans="1:6" ht="20.25" customHeight="1">
      <c r="A84" s="235">
        <v>6</v>
      </c>
      <c r="B84" s="236" t="s">
        <v>762</v>
      </c>
      <c r="C84" s="239">
        <v>0</v>
      </c>
      <c r="D84" s="239">
        <v>1</v>
      </c>
      <c r="E84" s="239">
        <f t="shared" si="10"/>
        <v>1</v>
      </c>
      <c r="F84" s="238">
        <f t="shared" si="11"/>
        <v>0</v>
      </c>
    </row>
    <row r="85" spans="1:6" ht="20.25" customHeight="1">
      <c r="A85" s="235">
        <v>7</v>
      </c>
      <c r="B85" s="236" t="s">
        <v>828</v>
      </c>
      <c r="C85" s="239">
        <v>5</v>
      </c>
      <c r="D85" s="239">
        <v>8</v>
      </c>
      <c r="E85" s="239">
        <f t="shared" si="10"/>
        <v>3</v>
      </c>
      <c r="F85" s="238">
        <f t="shared" si="11"/>
        <v>0.6</v>
      </c>
    </row>
    <row r="86" spans="1:6" ht="20.25" customHeight="1">
      <c r="A86" s="235">
        <v>8</v>
      </c>
      <c r="B86" s="236" t="s">
        <v>829</v>
      </c>
      <c r="C86" s="239">
        <v>0</v>
      </c>
      <c r="D86" s="239">
        <v>2</v>
      </c>
      <c r="E86" s="239">
        <f t="shared" si="10"/>
        <v>2</v>
      </c>
      <c r="F86" s="238">
        <f t="shared" si="11"/>
        <v>0</v>
      </c>
    </row>
    <row r="87" spans="1:6" ht="20.25" customHeight="1">
      <c r="A87" s="235">
        <v>9</v>
      </c>
      <c r="B87" s="236" t="s">
        <v>830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831</v>
      </c>
      <c r="C88" s="243">
        <f>+C79+C81</f>
        <v>22296</v>
      </c>
      <c r="D88" s="243">
        <f>+D79+D81</f>
        <v>52937</v>
      </c>
      <c r="E88" s="243">
        <f t="shared" si="10"/>
        <v>30641</v>
      </c>
      <c r="F88" s="244">
        <f t="shared" si="11"/>
        <v>1.3742823824901327</v>
      </c>
    </row>
    <row r="89" spans="1:6" s="240" customFormat="1" ht="20.25" customHeight="1">
      <c r="A89" s="241"/>
      <c r="B89" s="242" t="s">
        <v>832</v>
      </c>
      <c r="C89" s="243">
        <f>+C80+C82</f>
        <v>7176</v>
      </c>
      <c r="D89" s="243">
        <f>+D80+D82</f>
        <v>21524</v>
      </c>
      <c r="E89" s="243">
        <f t="shared" si="10"/>
        <v>14348</v>
      </c>
      <c r="F89" s="244">
        <f t="shared" si="11"/>
        <v>1.999442586399108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574</v>
      </c>
      <c r="B91" s="231" t="s">
        <v>838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824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825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826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827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763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762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828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829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830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831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832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577</v>
      </c>
      <c r="B104" s="231" t="s">
        <v>839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824</v>
      </c>
      <c r="C105" s="237">
        <v>4804912</v>
      </c>
      <c r="D105" s="237">
        <v>5827817</v>
      </c>
      <c r="E105" s="237">
        <f aca="true" t="shared" si="14" ref="E105:E115">D105-C105</f>
        <v>1022905</v>
      </c>
      <c r="F105" s="238">
        <f aca="true" t="shared" si="15" ref="F105:F115">IF(C105=0,0,E105/C105)</f>
        <v>0.212887353608141</v>
      </c>
    </row>
    <row r="106" spans="1:6" ht="20.25" customHeight="1">
      <c r="A106" s="235">
        <v>2</v>
      </c>
      <c r="B106" s="236" t="s">
        <v>825</v>
      </c>
      <c r="C106" s="237">
        <v>1369622</v>
      </c>
      <c r="D106" s="237">
        <v>1723811</v>
      </c>
      <c r="E106" s="237">
        <f t="shared" si="14"/>
        <v>354189</v>
      </c>
      <c r="F106" s="238">
        <f t="shared" si="15"/>
        <v>0.2586034686942821</v>
      </c>
    </row>
    <row r="107" spans="1:6" ht="20.25" customHeight="1">
      <c r="A107" s="235">
        <v>3</v>
      </c>
      <c r="B107" s="236" t="s">
        <v>826</v>
      </c>
      <c r="C107" s="237">
        <v>2706937</v>
      </c>
      <c r="D107" s="237">
        <v>3267407</v>
      </c>
      <c r="E107" s="237">
        <f t="shared" si="14"/>
        <v>560470</v>
      </c>
      <c r="F107" s="238">
        <f t="shared" si="15"/>
        <v>0.2070495175912849</v>
      </c>
    </row>
    <row r="108" spans="1:6" ht="20.25" customHeight="1">
      <c r="A108" s="235">
        <v>4</v>
      </c>
      <c r="B108" s="236" t="s">
        <v>827</v>
      </c>
      <c r="C108" s="237">
        <v>852463</v>
      </c>
      <c r="D108" s="237">
        <v>715573</v>
      </c>
      <c r="E108" s="237">
        <f t="shared" si="14"/>
        <v>-136890</v>
      </c>
      <c r="F108" s="238">
        <f t="shared" si="15"/>
        <v>-0.16058174958913174</v>
      </c>
    </row>
    <row r="109" spans="1:6" ht="20.25" customHeight="1">
      <c r="A109" s="235">
        <v>5</v>
      </c>
      <c r="B109" s="236" t="s">
        <v>763</v>
      </c>
      <c r="C109" s="239">
        <v>126</v>
      </c>
      <c r="D109" s="239">
        <v>151</v>
      </c>
      <c r="E109" s="239">
        <f t="shared" si="14"/>
        <v>25</v>
      </c>
      <c r="F109" s="238">
        <f t="shared" si="15"/>
        <v>0.1984126984126984</v>
      </c>
    </row>
    <row r="110" spans="1:6" ht="20.25" customHeight="1">
      <c r="A110" s="235">
        <v>6</v>
      </c>
      <c r="B110" s="236" t="s">
        <v>762</v>
      </c>
      <c r="C110" s="239">
        <v>757</v>
      </c>
      <c r="D110" s="239">
        <v>860</v>
      </c>
      <c r="E110" s="239">
        <f t="shared" si="14"/>
        <v>103</v>
      </c>
      <c r="F110" s="238">
        <f t="shared" si="15"/>
        <v>0.13606340819022458</v>
      </c>
    </row>
    <row r="111" spans="1:6" ht="20.25" customHeight="1">
      <c r="A111" s="235">
        <v>7</v>
      </c>
      <c r="B111" s="236" t="s">
        <v>828</v>
      </c>
      <c r="C111" s="239">
        <v>1008</v>
      </c>
      <c r="D111" s="239">
        <v>1191</v>
      </c>
      <c r="E111" s="239">
        <f t="shared" si="14"/>
        <v>183</v>
      </c>
      <c r="F111" s="238">
        <f t="shared" si="15"/>
        <v>0.18154761904761904</v>
      </c>
    </row>
    <row r="112" spans="1:6" ht="20.25" customHeight="1">
      <c r="A112" s="235">
        <v>8</v>
      </c>
      <c r="B112" s="236" t="s">
        <v>829</v>
      </c>
      <c r="C112" s="239">
        <v>282</v>
      </c>
      <c r="D112" s="239">
        <v>382</v>
      </c>
      <c r="E112" s="239">
        <f t="shared" si="14"/>
        <v>100</v>
      </c>
      <c r="F112" s="238">
        <f t="shared" si="15"/>
        <v>0.3546099290780142</v>
      </c>
    </row>
    <row r="113" spans="1:6" ht="20.25" customHeight="1">
      <c r="A113" s="235">
        <v>9</v>
      </c>
      <c r="B113" s="236" t="s">
        <v>830</v>
      </c>
      <c r="C113" s="239">
        <v>108</v>
      </c>
      <c r="D113" s="239">
        <v>123</v>
      </c>
      <c r="E113" s="239">
        <f t="shared" si="14"/>
        <v>15</v>
      </c>
      <c r="F113" s="238">
        <f t="shared" si="15"/>
        <v>0.1388888888888889</v>
      </c>
    </row>
    <row r="114" spans="1:6" s="240" customFormat="1" ht="20.25" customHeight="1">
      <c r="A114" s="241"/>
      <c r="B114" s="242" t="s">
        <v>831</v>
      </c>
      <c r="C114" s="243">
        <f>+C105+C107</f>
        <v>7511849</v>
      </c>
      <c r="D114" s="243">
        <f>+D105+D107</f>
        <v>9095224</v>
      </c>
      <c r="E114" s="243">
        <f t="shared" si="14"/>
        <v>1583375</v>
      </c>
      <c r="F114" s="244">
        <f t="shared" si="15"/>
        <v>0.2107836565937361</v>
      </c>
    </row>
    <row r="115" spans="1:6" s="240" customFormat="1" ht="20.25" customHeight="1">
      <c r="A115" s="241"/>
      <c r="B115" s="242" t="s">
        <v>832</v>
      </c>
      <c r="C115" s="243">
        <f>+C106+C108</f>
        <v>2222085</v>
      </c>
      <c r="D115" s="243">
        <f>+D106+D108</f>
        <v>2439384</v>
      </c>
      <c r="E115" s="243">
        <f t="shared" si="14"/>
        <v>217299</v>
      </c>
      <c r="F115" s="244">
        <f t="shared" si="15"/>
        <v>0.09779058856884412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580</v>
      </c>
      <c r="B117" s="231" t="s">
        <v>840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824</v>
      </c>
      <c r="C118" s="237">
        <v>0</v>
      </c>
      <c r="D118" s="237">
        <v>0</v>
      </c>
      <c r="E118" s="237">
        <f aca="true" t="shared" si="16" ref="E118:E128">D118-C118</f>
        <v>0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825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>
      <c r="A120" s="235">
        <v>3</v>
      </c>
      <c r="B120" s="236" t="s">
        <v>826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>
      <c r="A121" s="235">
        <v>4</v>
      </c>
      <c r="B121" s="236" t="s">
        <v>827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>
      <c r="A122" s="235">
        <v>5</v>
      </c>
      <c r="B122" s="236" t="s">
        <v>763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>
      <c r="A123" s="235">
        <v>6</v>
      </c>
      <c r="B123" s="236" t="s">
        <v>762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>
      <c r="A124" s="235">
        <v>7</v>
      </c>
      <c r="B124" s="236" t="s">
        <v>828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>
      <c r="A125" s="235">
        <v>8</v>
      </c>
      <c r="B125" s="236" t="s">
        <v>829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>
      <c r="A126" s="235">
        <v>9</v>
      </c>
      <c r="B126" s="236" t="s">
        <v>830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>
      <c r="A127" s="241"/>
      <c r="B127" s="242" t="s">
        <v>831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>
      <c r="A128" s="241"/>
      <c r="B128" s="242" t="s">
        <v>832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589</v>
      </c>
      <c r="B130" s="231" t="s">
        <v>841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824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825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826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827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763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762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828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829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830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831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832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608</v>
      </c>
      <c r="B143" s="231" t="s">
        <v>842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824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825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826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827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763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762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828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829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830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831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832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843</v>
      </c>
      <c r="B156" s="231" t="s">
        <v>844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824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825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826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827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763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762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828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829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830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831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832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845</v>
      </c>
      <c r="B169" s="231" t="s">
        <v>846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824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825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826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827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763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762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828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829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830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831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832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847</v>
      </c>
      <c r="B182" s="231" t="s">
        <v>848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824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825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826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827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763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762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828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829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830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831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832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434</v>
      </c>
      <c r="B195" s="678" t="s">
        <v>849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850</v>
      </c>
      <c r="C198" s="243">
        <f aca="true" t="shared" si="28" ref="C198:D206">+C183+C170+C157+C144+C131+C118+C105+C92+C79+C66+C53+C40+C27+C14</f>
        <v>91403243</v>
      </c>
      <c r="D198" s="243">
        <f t="shared" si="28"/>
        <v>98347270</v>
      </c>
      <c r="E198" s="243">
        <f aca="true" t="shared" si="29" ref="E198:E208">D198-C198</f>
        <v>6944027</v>
      </c>
      <c r="F198" s="251">
        <f aca="true" t="shared" si="30" ref="F198:F208">IF(C198=0,0,E198/C198)</f>
        <v>0.07597134162953058</v>
      </c>
    </row>
    <row r="199" spans="1:6" ht="20.25" customHeight="1">
      <c r="A199" s="249"/>
      <c r="B199" s="250" t="s">
        <v>851</v>
      </c>
      <c r="C199" s="243">
        <f t="shared" si="28"/>
        <v>28216147</v>
      </c>
      <c r="D199" s="243">
        <f t="shared" si="28"/>
        <v>31258582</v>
      </c>
      <c r="E199" s="243">
        <f t="shared" si="29"/>
        <v>3042435</v>
      </c>
      <c r="F199" s="251">
        <f t="shared" si="30"/>
        <v>0.1078260259985178</v>
      </c>
    </row>
    <row r="200" spans="1:6" ht="20.25" customHeight="1">
      <c r="A200" s="249"/>
      <c r="B200" s="250" t="s">
        <v>852</v>
      </c>
      <c r="C200" s="243">
        <f t="shared" si="28"/>
        <v>25739420</v>
      </c>
      <c r="D200" s="243">
        <f t="shared" si="28"/>
        <v>31596002</v>
      </c>
      <c r="E200" s="243">
        <f t="shared" si="29"/>
        <v>5856582</v>
      </c>
      <c r="F200" s="251">
        <f t="shared" si="30"/>
        <v>0.22753356524739096</v>
      </c>
    </row>
    <row r="201" spans="1:6" ht="20.25" customHeight="1">
      <c r="A201" s="249"/>
      <c r="B201" s="250" t="s">
        <v>853</v>
      </c>
      <c r="C201" s="243">
        <f t="shared" si="28"/>
        <v>6144708</v>
      </c>
      <c r="D201" s="243">
        <f t="shared" si="28"/>
        <v>7979855</v>
      </c>
      <c r="E201" s="243">
        <f t="shared" si="29"/>
        <v>1835147</v>
      </c>
      <c r="F201" s="251">
        <f t="shared" si="30"/>
        <v>0.29865487505671545</v>
      </c>
    </row>
    <row r="202" spans="1:6" ht="20.25" customHeight="1">
      <c r="A202" s="249"/>
      <c r="B202" s="250" t="s">
        <v>854</v>
      </c>
      <c r="C202" s="252">
        <f t="shared" si="28"/>
        <v>2008</v>
      </c>
      <c r="D202" s="252">
        <f t="shared" si="28"/>
        <v>2131</v>
      </c>
      <c r="E202" s="252">
        <f t="shared" si="29"/>
        <v>123</v>
      </c>
      <c r="F202" s="251">
        <f t="shared" si="30"/>
        <v>0.061254980079681276</v>
      </c>
    </row>
    <row r="203" spans="1:6" ht="20.25" customHeight="1">
      <c r="A203" s="249"/>
      <c r="B203" s="250" t="s">
        <v>855</v>
      </c>
      <c r="C203" s="252">
        <f t="shared" si="28"/>
        <v>13682</v>
      </c>
      <c r="D203" s="252">
        <f t="shared" si="28"/>
        <v>14929</v>
      </c>
      <c r="E203" s="252">
        <f t="shared" si="29"/>
        <v>1247</v>
      </c>
      <c r="F203" s="251">
        <f t="shared" si="30"/>
        <v>0.09114164595819324</v>
      </c>
    </row>
    <row r="204" spans="1:6" ht="39.75" customHeight="1">
      <c r="A204" s="249"/>
      <c r="B204" s="250" t="s">
        <v>856</v>
      </c>
      <c r="C204" s="252">
        <f t="shared" si="28"/>
        <v>6252</v>
      </c>
      <c r="D204" s="252">
        <f t="shared" si="28"/>
        <v>7377</v>
      </c>
      <c r="E204" s="252">
        <f t="shared" si="29"/>
        <v>1125</v>
      </c>
      <c r="F204" s="251">
        <f t="shared" si="30"/>
        <v>0.17994241842610365</v>
      </c>
    </row>
    <row r="205" spans="1:6" ht="39.75" customHeight="1">
      <c r="A205" s="249"/>
      <c r="B205" s="250" t="s">
        <v>857</v>
      </c>
      <c r="C205" s="252">
        <f t="shared" si="28"/>
        <v>1569</v>
      </c>
      <c r="D205" s="252">
        <f t="shared" si="28"/>
        <v>1913</v>
      </c>
      <c r="E205" s="252">
        <f t="shared" si="29"/>
        <v>344</v>
      </c>
      <c r="F205" s="251">
        <f t="shared" si="30"/>
        <v>0.21924792861695347</v>
      </c>
    </row>
    <row r="206" spans="1:6" ht="39.75" customHeight="1">
      <c r="A206" s="249"/>
      <c r="B206" s="250" t="s">
        <v>858</v>
      </c>
      <c r="C206" s="252">
        <f t="shared" si="28"/>
        <v>1424</v>
      </c>
      <c r="D206" s="252">
        <f t="shared" si="28"/>
        <v>1551</v>
      </c>
      <c r="E206" s="252">
        <f t="shared" si="29"/>
        <v>127</v>
      </c>
      <c r="F206" s="251">
        <f t="shared" si="30"/>
        <v>0.08918539325842696</v>
      </c>
    </row>
    <row r="207" spans="1:6" ht="20.25" customHeight="1">
      <c r="A207" s="249"/>
      <c r="B207" s="242" t="s">
        <v>859</v>
      </c>
      <c r="C207" s="243">
        <f>+C198+C200</f>
        <v>117142663</v>
      </c>
      <c r="D207" s="243">
        <f>+D198+D200</f>
        <v>129943272</v>
      </c>
      <c r="E207" s="243">
        <f t="shared" si="29"/>
        <v>12800609</v>
      </c>
      <c r="F207" s="251">
        <f t="shared" si="30"/>
        <v>0.10927367256453782</v>
      </c>
    </row>
    <row r="208" spans="1:6" ht="20.25" customHeight="1">
      <c r="A208" s="249"/>
      <c r="B208" s="242" t="s">
        <v>860</v>
      </c>
      <c r="C208" s="243">
        <f>+C199+C201</f>
        <v>34360855</v>
      </c>
      <c r="D208" s="243">
        <f>+D199+D201</f>
        <v>39238437</v>
      </c>
      <c r="E208" s="243">
        <f t="shared" si="29"/>
        <v>4877582</v>
      </c>
      <c r="F208" s="251">
        <f t="shared" si="30"/>
        <v>0.14195170638216076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FILING&amp;RBRIDGEPORT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390</v>
      </c>
      <c r="B2" s="660"/>
      <c r="C2" s="660"/>
      <c r="D2" s="660"/>
      <c r="E2" s="660"/>
      <c r="F2" s="660"/>
    </row>
    <row r="3" spans="1:6" ht="20.25" customHeight="1">
      <c r="A3" s="660" t="s">
        <v>391</v>
      </c>
      <c r="B3" s="660"/>
      <c r="C3" s="660"/>
      <c r="D3" s="660"/>
      <c r="E3" s="660"/>
      <c r="F3" s="660"/>
    </row>
    <row r="4" spans="1:6" ht="20.25" customHeight="1">
      <c r="A4" s="660" t="s">
        <v>392</v>
      </c>
      <c r="B4" s="660"/>
      <c r="C4" s="660"/>
      <c r="D4" s="660"/>
      <c r="E4" s="660"/>
      <c r="F4" s="660"/>
    </row>
    <row r="5" spans="1:6" ht="20.25" customHeight="1">
      <c r="A5" s="660" t="s">
        <v>861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820</v>
      </c>
      <c r="D8" s="223" t="s">
        <v>821</v>
      </c>
      <c r="E8" s="223" t="s">
        <v>822</v>
      </c>
      <c r="F8" s="224" t="s">
        <v>498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402</v>
      </c>
      <c r="B10" s="678" t="s">
        <v>505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500</v>
      </c>
      <c r="B13" s="261" t="s">
        <v>862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824</v>
      </c>
      <c r="C14" s="237">
        <v>13419235</v>
      </c>
      <c r="D14" s="237">
        <v>4084707</v>
      </c>
      <c r="E14" s="237">
        <f aca="true" t="shared" si="0" ref="E14:E24">D14-C14</f>
        <v>-9334528</v>
      </c>
      <c r="F14" s="238">
        <f aca="true" t="shared" si="1" ref="F14:F24">IF(C14=0,0,E14/C14)</f>
        <v>-0.6956080581344615</v>
      </c>
    </row>
    <row r="15" spans="1:6" ht="20.25" customHeight="1">
      <c r="A15" s="235">
        <v>2</v>
      </c>
      <c r="B15" s="236" t="s">
        <v>825</v>
      </c>
      <c r="C15" s="237">
        <v>3298108</v>
      </c>
      <c r="D15" s="237">
        <v>988180</v>
      </c>
      <c r="E15" s="237">
        <f t="shared" si="0"/>
        <v>-2309928</v>
      </c>
      <c r="F15" s="238">
        <f t="shared" si="1"/>
        <v>-0.7003797328650244</v>
      </c>
    </row>
    <row r="16" spans="1:6" ht="20.25" customHeight="1">
      <c r="A16" s="235">
        <v>3</v>
      </c>
      <c r="B16" s="236" t="s">
        <v>826</v>
      </c>
      <c r="C16" s="237">
        <v>13862256</v>
      </c>
      <c r="D16" s="237">
        <v>5545166</v>
      </c>
      <c r="E16" s="237">
        <f t="shared" si="0"/>
        <v>-8317090</v>
      </c>
      <c r="F16" s="238">
        <f t="shared" si="1"/>
        <v>-0.5999809843361715</v>
      </c>
    </row>
    <row r="17" spans="1:6" ht="20.25" customHeight="1">
      <c r="A17" s="235">
        <v>4</v>
      </c>
      <c r="B17" s="236" t="s">
        <v>827</v>
      </c>
      <c r="C17" s="237">
        <v>2930778</v>
      </c>
      <c r="D17" s="237">
        <v>1304410</v>
      </c>
      <c r="E17" s="237">
        <f t="shared" si="0"/>
        <v>-1626368</v>
      </c>
      <c r="F17" s="238">
        <f t="shared" si="1"/>
        <v>-0.554927053499105</v>
      </c>
    </row>
    <row r="18" spans="1:6" ht="20.25" customHeight="1">
      <c r="A18" s="235">
        <v>5</v>
      </c>
      <c r="B18" s="236" t="s">
        <v>763</v>
      </c>
      <c r="C18" s="239">
        <v>704</v>
      </c>
      <c r="D18" s="239">
        <v>242</v>
      </c>
      <c r="E18" s="239">
        <f t="shared" si="0"/>
        <v>-462</v>
      </c>
      <c r="F18" s="238">
        <f t="shared" si="1"/>
        <v>-0.65625</v>
      </c>
    </row>
    <row r="19" spans="1:6" ht="20.25" customHeight="1">
      <c r="A19" s="235">
        <v>6</v>
      </c>
      <c r="B19" s="236" t="s">
        <v>762</v>
      </c>
      <c r="C19" s="239">
        <v>2518</v>
      </c>
      <c r="D19" s="239">
        <v>724</v>
      </c>
      <c r="E19" s="239">
        <f t="shared" si="0"/>
        <v>-1794</v>
      </c>
      <c r="F19" s="238">
        <f t="shared" si="1"/>
        <v>-0.7124702144559174</v>
      </c>
    </row>
    <row r="20" spans="1:6" ht="20.25" customHeight="1">
      <c r="A20" s="235">
        <v>7</v>
      </c>
      <c r="B20" s="236" t="s">
        <v>828</v>
      </c>
      <c r="C20" s="239">
        <v>6319</v>
      </c>
      <c r="D20" s="239">
        <v>2175</v>
      </c>
      <c r="E20" s="239">
        <f t="shared" si="0"/>
        <v>-4144</v>
      </c>
      <c r="F20" s="238">
        <f t="shared" si="1"/>
        <v>-0.6557999683494223</v>
      </c>
    </row>
    <row r="21" spans="1:6" ht="20.25" customHeight="1">
      <c r="A21" s="235">
        <v>8</v>
      </c>
      <c r="B21" s="236" t="s">
        <v>829</v>
      </c>
      <c r="C21" s="239">
        <v>3863</v>
      </c>
      <c r="D21" s="239">
        <v>1720</v>
      </c>
      <c r="E21" s="239">
        <f t="shared" si="0"/>
        <v>-2143</v>
      </c>
      <c r="F21" s="238">
        <f t="shared" si="1"/>
        <v>-0.5547501941496247</v>
      </c>
    </row>
    <row r="22" spans="1:6" ht="20.25" customHeight="1">
      <c r="A22" s="235">
        <v>9</v>
      </c>
      <c r="B22" s="236" t="s">
        <v>830</v>
      </c>
      <c r="C22" s="239">
        <v>192</v>
      </c>
      <c r="D22" s="239">
        <v>71</v>
      </c>
      <c r="E22" s="239">
        <f t="shared" si="0"/>
        <v>-121</v>
      </c>
      <c r="F22" s="238">
        <f t="shared" si="1"/>
        <v>-0.6302083333333334</v>
      </c>
    </row>
    <row r="23" spans="1:6" s="240" customFormat="1" ht="39.75" customHeight="1">
      <c r="A23" s="245"/>
      <c r="B23" s="242" t="s">
        <v>831</v>
      </c>
      <c r="C23" s="243">
        <f>+C14+C16</f>
        <v>27281491</v>
      </c>
      <c r="D23" s="243">
        <f>+D14+D16</f>
        <v>9629873</v>
      </c>
      <c r="E23" s="243">
        <f t="shared" si="0"/>
        <v>-17651618</v>
      </c>
      <c r="F23" s="244">
        <f t="shared" si="1"/>
        <v>-0.6470180826993657</v>
      </c>
    </row>
    <row r="24" spans="1:6" s="240" customFormat="1" ht="39.75" customHeight="1">
      <c r="A24" s="245"/>
      <c r="B24" s="242" t="s">
        <v>860</v>
      </c>
      <c r="C24" s="243">
        <f>+C15+C17</f>
        <v>6228886</v>
      </c>
      <c r="D24" s="243">
        <f>+D15+D17</f>
        <v>2292590</v>
      </c>
      <c r="E24" s="243">
        <f t="shared" si="0"/>
        <v>-3936296</v>
      </c>
      <c r="F24" s="244">
        <f t="shared" si="1"/>
        <v>-0.6319422124598203</v>
      </c>
    </row>
    <row r="25" spans="1:6" ht="42" customHeight="1">
      <c r="A25" s="227" t="s">
        <v>514</v>
      </c>
      <c r="B25" s="261" t="s">
        <v>863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824</v>
      </c>
      <c r="C26" s="237">
        <v>12420961</v>
      </c>
      <c r="D26" s="237">
        <v>30373454</v>
      </c>
      <c r="E26" s="237">
        <f aca="true" t="shared" si="2" ref="E26:E36">D26-C26</f>
        <v>17952493</v>
      </c>
      <c r="F26" s="238">
        <f aca="true" t="shared" si="3" ref="F26:F36">IF(C26=0,0,E26/C26)</f>
        <v>1.4453384887046985</v>
      </c>
    </row>
    <row r="27" spans="1:6" ht="20.25" customHeight="1">
      <c r="A27" s="235">
        <v>2</v>
      </c>
      <c r="B27" s="236" t="s">
        <v>825</v>
      </c>
      <c r="C27" s="237">
        <v>3185424</v>
      </c>
      <c r="D27" s="237">
        <v>7460545</v>
      </c>
      <c r="E27" s="237">
        <f t="shared" si="2"/>
        <v>4275121</v>
      </c>
      <c r="F27" s="238">
        <f t="shared" si="3"/>
        <v>1.3420885257347217</v>
      </c>
    </row>
    <row r="28" spans="1:6" ht="20.25" customHeight="1">
      <c r="A28" s="235">
        <v>3</v>
      </c>
      <c r="B28" s="236" t="s">
        <v>826</v>
      </c>
      <c r="C28" s="237">
        <v>18844228</v>
      </c>
      <c r="D28" s="237">
        <v>40377210</v>
      </c>
      <c r="E28" s="237">
        <f t="shared" si="2"/>
        <v>21532982</v>
      </c>
      <c r="F28" s="238">
        <f t="shared" si="3"/>
        <v>1.1426831600636544</v>
      </c>
    </row>
    <row r="29" spans="1:6" ht="20.25" customHeight="1">
      <c r="A29" s="235">
        <v>4</v>
      </c>
      <c r="B29" s="236" t="s">
        <v>827</v>
      </c>
      <c r="C29" s="237">
        <v>4369116</v>
      </c>
      <c r="D29" s="237">
        <v>9098203</v>
      </c>
      <c r="E29" s="237">
        <f t="shared" si="2"/>
        <v>4729087</v>
      </c>
      <c r="F29" s="238">
        <f t="shared" si="3"/>
        <v>1.0823898930584586</v>
      </c>
    </row>
    <row r="30" spans="1:6" ht="20.25" customHeight="1">
      <c r="A30" s="235">
        <v>5</v>
      </c>
      <c r="B30" s="236" t="s">
        <v>763</v>
      </c>
      <c r="C30" s="239">
        <v>803</v>
      </c>
      <c r="D30" s="239">
        <v>1464</v>
      </c>
      <c r="E30" s="239">
        <f t="shared" si="2"/>
        <v>661</v>
      </c>
      <c r="F30" s="238">
        <f t="shared" si="3"/>
        <v>0.8231631382316313</v>
      </c>
    </row>
    <row r="31" spans="1:6" ht="20.25" customHeight="1">
      <c r="A31" s="235">
        <v>6</v>
      </c>
      <c r="B31" s="236" t="s">
        <v>762</v>
      </c>
      <c r="C31" s="239">
        <v>2485</v>
      </c>
      <c r="D31" s="239">
        <v>5123</v>
      </c>
      <c r="E31" s="239">
        <f t="shared" si="2"/>
        <v>2638</v>
      </c>
      <c r="F31" s="238">
        <f t="shared" si="3"/>
        <v>1.061569416498994</v>
      </c>
    </row>
    <row r="32" spans="1:6" ht="20.25" customHeight="1">
      <c r="A32" s="235">
        <v>7</v>
      </c>
      <c r="B32" s="236" t="s">
        <v>828</v>
      </c>
      <c r="C32" s="239">
        <v>8239</v>
      </c>
      <c r="D32" s="239">
        <v>15430</v>
      </c>
      <c r="E32" s="239">
        <f t="shared" si="2"/>
        <v>7191</v>
      </c>
      <c r="F32" s="238">
        <f t="shared" si="3"/>
        <v>0.8728000970991625</v>
      </c>
    </row>
    <row r="33" spans="1:6" ht="20.25" customHeight="1">
      <c r="A33" s="235">
        <v>8</v>
      </c>
      <c r="B33" s="236" t="s">
        <v>829</v>
      </c>
      <c r="C33" s="239">
        <v>5692</v>
      </c>
      <c r="D33" s="239">
        <v>12666</v>
      </c>
      <c r="E33" s="239">
        <f t="shared" si="2"/>
        <v>6974</v>
      </c>
      <c r="F33" s="238">
        <f t="shared" si="3"/>
        <v>1.2252283907238228</v>
      </c>
    </row>
    <row r="34" spans="1:6" ht="20.25" customHeight="1">
      <c r="A34" s="235">
        <v>9</v>
      </c>
      <c r="B34" s="236" t="s">
        <v>830</v>
      </c>
      <c r="C34" s="239">
        <v>233</v>
      </c>
      <c r="D34" s="239">
        <v>516</v>
      </c>
      <c r="E34" s="239">
        <f t="shared" si="2"/>
        <v>283</v>
      </c>
      <c r="F34" s="238">
        <f t="shared" si="3"/>
        <v>1.2145922746781115</v>
      </c>
    </row>
    <row r="35" spans="1:6" s="240" customFormat="1" ht="39.75" customHeight="1">
      <c r="A35" s="245"/>
      <c r="B35" s="242" t="s">
        <v>831</v>
      </c>
      <c r="C35" s="243">
        <f>+C26+C28</f>
        <v>31265189</v>
      </c>
      <c r="D35" s="243">
        <f>+D26+D28</f>
        <v>70750664</v>
      </c>
      <c r="E35" s="243">
        <f t="shared" si="2"/>
        <v>39485475</v>
      </c>
      <c r="F35" s="244">
        <f t="shared" si="3"/>
        <v>1.2629213595990096</v>
      </c>
    </row>
    <row r="36" spans="1:6" s="240" customFormat="1" ht="39.75" customHeight="1">
      <c r="A36" s="245"/>
      <c r="B36" s="242" t="s">
        <v>860</v>
      </c>
      <c r="C36" s="243">
        <f>+C27+C29</f>
        <v>7554540</v>
      </c>
      <c r="D36" s="243">
        <f>+D27+D29</f>
        <v>16558748</v>
      </c>
      <c r="E36" s="243">
        <f t="shared" si="2"/>
        <v>9004208</v>
      </c>
      <c r="F36" s="244">
        <f t="shared" si="3"/>
        <v>1.191893616289013</v>
      </c>
    </row>
    <row r="37" spans="1:6" ht="42" customHeight="1">
      <c r="A37" s="227" t="s">
        <v>531</v>
      </c>
      <c r="B37" s="261" t="s">
        <v>864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824</v>
      </c>
      <c r="C38" s="237">
        <v>9564094</v>
      </c>
      <c r="D38" s="237">
        <v>6899887</v>
      </c>
      <c r="E38" s="237">
        <f aca="true" t="shared" si="4" ref="E38:E48">D38-C38</f>
        <v>-2664207</v>
      </c>
      <c r="F38" s="238">
        <f aca="true" t="shared" si="5" ref="F38:F48">IF(C38=0,0,E38/C38)</f>
        <v>-0.27856344782893183</v>
      </c>
    </row>
    <row r="39" spans="1:6" ht="20.25" customHeight="1">
      <c r="A39" s="235">
        <v>2</v>
      </c>
      <c r="B39" s="236" t="s">
        <v>825</v>
      </c>
      <c r="C39" s="237">
        <v>2136406</v>
      </c>
      <c r="D39" s="237">
        <v>1692787</v>
      </c>
      <c r="E39" s="237">
        <f t="shared" si="4"/>
        <v>-443619</v>
      </c>
      <c r="F39" s="238">
        <f t="shared" si="5"/>
        <v>-0.20764732920615275</v>
      </c>
    </row>
    <row r="40" spans="1:6" ht="20.25" customHeight="1">
      <c r="A40" s="235">
        <v>3</v>
      </c>
      <c r="B40" s="236" t="s">
        <v>826</v>
      </c>
      <c r="C40" s="237">
        <v>10519246</v>
      </c>
      <c r="D40" s="237">
        <v>6974029</v>
      </c>
      <c r="E40" s="237">
        <f t="shared" si="4"/>
        <v>-3545217</v>
      </c>
      <c r="F40" s="238">
        <f t="shared" si="5"/>
        <v>-0.3370219690650832</v>
      </c>
    </row>
    <row r="41" spans="1:6" ht="20.25" customHeight="1">
      <c r="A41" s="235">
        <v>4</v>
      </c>
      <c r="B41" s="236" t="s">
        <v>827</v>
      </c>
      <c r="C41" s="237">
        <v>2327188</v>
      </c>
      <c r="D41" s="237">
        <v>1561159</v>
      </c>
      <c r="E41" s="237">
        <f t="shared" si="4"/>
        <v>-766029</v>
      </c>
      <c r="F41" s="238">
        <f t="shared" si="5"/>
        <v>-0.32916506960331526</v>
      </c>
    </row>
    <row r="42" spans="1:6" ht="20.25" customHeight="1">
      <c r="A42" s="235">
        <v>5</v>
      </c>
      <c r="B42" s="236" t="s">
        <v>763</v>
      </c>
      <c r="C42" s="239">
        <v>564</v>
      </c>
      <c r="D42" s="239">
        <v>369</v>
      </c>
      <c r="E42" s="239">
        <f t="shared" si="4"/>
        <v>-195</v>
      </c>
      <c r="F42" s="238">
        <f t="shared" si="5"/>
        <v>-0.34574468085106386</v>
      </c>
    </row>
    <row r="43" spans="1:6" ht="20.25" customHeight="1">
      <c r="A43" s="235">
        <v>6</v>
      </c>
      <c r="B43" s="236" t="s">
        <v>762</v>
      </c>
      <c r="C43" s="239">
        <v>1941</v>
      </c>
      <c r="D43" s="239">
        <v>1187</v>
      </c>
      <c r="E43" s="239">
        <f t="shared" si="4"/>
        <v>-754</v>
      </c>
      <c r="F43" s="238">
        <f t="shared" si="5"/>
        <v>-0.3884595569294178</v>
      </c>
    </row>
    <row r="44" spans="1:6" ht="20.25" customHeight="1">
      <c r="A44" s="235">
        <v>7</v>
      </c>
      <c r="B44" s="236" t="s">
        <v>828</v>
      </c>
      <c r="C44" s="239">
        <v>4564</v>
      </c>
      <c r="D44" s="239">
        <v>3132</v>
      </c>
      <c r="E44" s="239">
        <f t="shared" si="4"/>
        <v>-1432</v>
      </c>
      <c r="F44" s="238">
        <f t="shared" si="5"/>
        <v>-0.3137598597721297</v>
      </c>
    </row>
    <row r="45" spans="1:6" ht="20.25" customHeight="1">
      <c r="A45" s="235">
        <v>8</v>
      </c>
      <c r="B45" s="236" t="s">
        <v>829</v>
      </c>
      <c r="C45" s="239">
        <v>3055</v>
      </c>
      <c r="D45" s="239">
        <v>2066</v>
      </c>
      <c r="E45" s="239">
        <f t="shared" si="4"/>
        <v>-989</v>
      </c>
      <c r="F45" s="238">
        <f t="shared" si="5"/>
        <v>-0.3237315875613748</v>
      </c>
    </row>
    <row r="46" spans="1:6" ht="20.25" customHeight="1">
      <c r="A46" s="235">
        <v>9</v>
      </c>
      <c r="B46" s="236" t="s">
        <v>830</v>
      </c>
      <c r="C46" s="239">
        <v>146</v>
      </c>
      <c r="D46" s="239">
        <v>104</v>
      </c>
      <c r="E46" s="239">
        <f t="shared" si="4"/>
        <v>-42</v>
      </c>
      <c r="F46" s="238">
        <f t="shared" si="5"/>
        <v>-0.2876712328767123</v>
      </c>
    </row>
    <row r="47" spans="1:6" s="240" customFormat="1" ht="39.75" customHeight="1">
      <c r="A47" s="245"/>
      <c r="B47" s="242" t="s">
        <v>831</v>
      </c>
      <c r="C47" s="243">
        <f>+C38+C40</f>
        <v>20083340</v>
      </c>
      <c r="D47" s="243">
        <f>+D38+D40</f>
        <v>13873916</v>
      </c>
      <c r="E47" s="243">
        <f t="shared" si="4"/>
        <v>-6209424</v>
      </c>
      <c r="F47" s="244">
        <f t="shared" si="5"/>
        <v>-0.30918283512602984</v>
      </c>
    </row>
    <row r="48" spans="1:6" s="240" customFormat="1" ht="39.75" customHeight="1">
      <c r="A48" s="245"/>
      <c r="B48" s="242" t="s">
        <v>860</v>
      </c>
      <c r="C48" s="243">
        <f>+C39+C41</f>
        <v>4463594</v>
      </c>
      <c r="D48" s="243">
        <f>+D39+D41</f>
        <v>3253946</v>
      </c>
      <c r="E48" s="243">
        <f t="shared" si="4"/>
        <v>-1209648</v>
      </c>
      <c r="F48" s="244">
        <f t="shared" si="5"/>
        <v>-0.27100314231088224</v>
      </c>
    </row>
    <row r="49" spans="1:6" ht="42" customHeight="1">
      <c r="A49" s="227" t="s">
        <v>561</v>
      </c>
      <c r="B49" s="261" t="s">
        <v>865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824</v>
      </c>
      <c r="C50" s="237">
        <v>0</v>
      </c>
      <c r="D50" s="237">
        <v>0</v>
      </c>
      <c r="E50" s="237">
        <f aca="true" t="shared" si="6" ref="E50:E60">D50-C50</f>
        <v>0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825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>
      <c r="A52" s="235">
        <v>3</v>
      </c>
      <c r="B52" s="236" t="s">
        <v>826</v>
      </c>
      <c r="C52" s="237">
        <v>0</v>
      </c>
      <c r="D52" s="237">
        <v>2354</v>
      </c>
      <c r="E52" s="237">
        <f t="shared" si="6"/>
        <v>2354</v>
      </c>
      <c r="F52" s="238">
        <f t="shared" si="7"/>
        <v>0</v>
      </c>
    </row>
    <row r="53" spans="1:6" ht="20.25" customHeight="1">
      <c r="A53" s="235">
        <v>4</v>
      </c>
      <c r="B53" s="236" t="s">
        <v>827</v>
      </c>
      <c r="C53" s="237">
        <v>0</v>
      </c>
      <c r="D53" s="237">
        <v>430</v>
      </c>
      <c r="E53" s="237">
        <f t="shared" si="6"/>
        <v>430</v>
      </c>
      <c r="F53" s="238">
        <f t="shared" si="7"/>
        <v>0</v>
      </c>
    </row>
    <row r="54" spans="1:6" ht="20.25" customHeight="1">
      <c r="A54" s="235">
        <v>5</v>
      </c>
      <c r="B54" s="236" t="s">
        <v>763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>
      <c r="A55" s="235">
        <v>6</v>
      </c>
      <c r="B55" s="236" t="s">
        <v>762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>
      <c r="A56" s="235">
        <v>7</v>
      </c>
      <c r="B56" s="236" t="s">
        <v>828</v>
      </c>
      <c r="C56" s="239">
        <v>0</v>
      </c>
      <c r="D56" s="239">
        <v>2</v>
      </c>
      <c r="E56" s="239">
        <f t="shared" si="6"/>
        <v>2</v>
      </c>
      <c r="F56" s="238">
        <f t="shared" si="7"/>
        <v>0</v>
      </c>
    </row>
    <row r="57" spans="1:6" ht="20.25" customHeight="1">
      <c r="A57" s="235">
        <v>8</v>
      </c>
      <c r="B57" s="236" t="s">
        <v>829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>
      <c r="A58" s="235">
        <v>9</v>
      </c>
      <c r="B58" s="236" t="s">
        <v>830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831</v>
      </c>
      <c r="C59" s="243">
        <f>+C50+C52</f>
        <v>0</v>
      </c>
      <c r="D59" s="243">
        <f>+D50+D52</f>
        <v>2354</v>
      </c>
      <c r="E59" s="243">
        <f t="shared" si="6"/>
        <v>2354</v>
      </c>
      <c r="F59" s="244">
        <f t="shared" si="7"/>
        <v>0</v>
      </c>
    </row>
    <row r="60" spans="1:6" s="240" customFormat="1" ht="39.75" customHeight="1">
      <c r="A60" s="245"/>
      <c r="B60" s="242" t="s">
        <v>860</v>
      </c>
      <c r="C60" s="243">
        <f>+C51+C53</f>
        <v>0</v>
      </c>
      <c r="D60" s="243">
        <f>+D51+D53</f>
        <v>430</v>
      </c>
      <c r="E60" s="243">
        <f t="shared" si="6"/>
        <v>430</v>
      </c>
      <c r="F60" s="244">
        <f t="shared" si="7"/>
        <v>0</v>
      </c>
    </row>
    <row r="61" spans="1:6" ht="42" customHeight="1">
      <c r="A61" s="227" t="s">
        <v>566</v>
      </c>
      <c r="B61" s="261" t="s">
        <v>839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824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825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826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827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763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762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828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829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830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831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860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572</v>
      </c>
      <c r="B73" s="261" t="s">
        <v>866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824</v>
      </c>
      <c r="C74" s="237">
        <v>4080549</v>
      </c>
      <c r="D74" s="237">
        <v>0</v>
      </c>
      <c r="E74" s="237">
        <f aca="true" t="shared" si="10" ref="E74:E84">D74-C74</f>
        <v>-4080549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825</v>
      </c>
      <c r="C75" s="237">
        <v>763388</v>
      </c>
      <c r="D75" s="237">
        <v>0</v>
      </c>
      <c r="E75" s="237">
        <f t="shared" si="10"/>
        <v>-763388</v>
      </c>
      <c r="F75" s="238">
        <f t="shared" si="11"/>
        <v>-1</v>
      </c>
    </row>
    <row r="76" spans="1:6" ht="20.25" customHeight="1">
      <c r="A76" s="235">
        <v>3</v>
      </c>
      <c r="B76" s="236" t="s">
        <v>826</v>
      </c>
      <c r="C76" s="237">
        <v>5954942</v>
      </c>
      <c r="D76" s="237">
        <v>0</v>
      </c>
      <c r="E76" s="237">
        <f t="shared" si="10"/>
        <v>-5954942</v>
      </c>
      <c r="F76" s="238">
        <f t="shared" si="11"/>
        <v>-1</v>
      </c>
    </row>
    <row r="77" spans="1:6" ht="20.25" customHeight="1">
      <c r="A77" s="235">
        <v>4</v>
      </c>
      <c r="B77" s="236" t="s">
        <v>827</v>
      </c>
      <c r="C77" s="237">
        <v>1304716</v>
      </c>
      <c r="D77" s="237">
        <v>0</v>
      </c>
      <c r="E77" s="237">
        <f t="shared" si="10"/>
        <v>-1304716</v>
      </c>
      <c r="F77" s="238">
        <f t="shared" si="11"/>
        <v>-1</v>
      </c>
    </row>
    <row r="78" spans="1:6" ht="20.25" customHeight="1">
      <c r="A78" s="235">
        <v>5</v>
      </c>
      <c r="B78" s="236" t="s">
        <v>763</v>
      </c>
      <c r="C78" s="239">
        <v>284</v>
      </c>
      <c r="D78" s="239">
        <v>0</v>
      </c>
      <c r="E78" s="239">
        <f t="shared" si="10"/>
        <v>-284</v>
      </c>
      <c r="F78" s="238">
        <f t="shared" si="11"/>
        <v>-1</v>
      </c>
    </row>
    <row r="79" spans="1:6" ht="20.25" customHeight="1">
      <c r="A79" s="235">
        <v>6</v>
      </c>
      <c r="B79" s="236" t="s">
        <v>762</v>
      </c>
      <c r="C79" s="239">
        <v>819</v>
      </c>
      <c r="D79" s="239">
        <v>0</v>
      </c>
      <c r="E79" s="239">
        <f t="shared" si="10"/>
        <v>-819</v>
      </c>
      <c r="F79" s="238">
        <f t="shared" si="11"/>
        <v>-1</v>
      </c>
    </row>
    <row r="80" spans="1:6" ht="20.25" customHeight="1">
      <c r="A80" s="235">
        <v>7</v>
      </c>
      <c r="B80" s="236" t="s">
        <v>828</v>
      </c>
      <c r="C80" s="239">
        <v>3429</v>
      </c>
      <c r="D80" s="239">
        <v>0</v>
      </c>
      <c r="E80" s="239">
        <f t="shared" si="10"/>
        <v>-3429</v>
      </c>
      <c r="F80" s="238">
        <f t="shared" si="11"/>
        <v>-1</v>
      </c>
    </row>
    <row r="81" spans="1:6" ht="20.25" customHeight="1">
      <c r="A81" s="235">
        <v>8</v>
      </c>
      <c r="B81" s="236" t="s">
        <v>829</v>
      </c>
      <c r="C81" s="239">
        <v>1969</v>
      </c>
      <c r="D81" s="239">
        <v>0</v>
      </c>
      <c r="E81" s="239">
        <f t="shared" si="10"/>
        <v>-1969</v>
      </c>
      <c r="F81" s="238">
        <f t="shared" si="11"/>
        <v>-1</v>
      </c>
    </row>
    <row r="82" spans="1:6" ht="20.25" customHeight="1">
      <c r="A82" s="235">
        <v>9</v>
      </c>
      <c r="B82" s="236" t="s">
        <v>830</v>
      </c>
      <c r="C82" s="239">
        <v>80</v>
      </c>
      <c r="D82" s="239">
        <v>0</v>
      </c>
      <c r="E82" s="239">
        <f t="shared" si="10"/>
        <v>-80</v>
      </c>
      <c r="F82" s="238">
        <f t="shared" si="11"/>
        <v>-1</v>
      </c>
    </row>
    <row r="83" spans="1:6" s="240" customFormat="1" ht="39.75" customHeight="1">
      <c r="A83" s="245"/>
      <c r="B83" s="242" t="s">
        <v>831</v>
      </c>
      <c r="C83" s="243">
        <f>+C74+C76</f>
        <v>10035491</v>
      </c>
      <c r="D83" s="243">
        <f>+D74+D76</f>
        <v>0</v>
      </c>
      <c r="E83" s="243">
        <f t="shared" si="10"/>
        <v>-10035491</v>
      </c>
      <c r="F83" s="244">
        <f t="shared" si="11"/>
        <v>-1</v>
      </c>
    </row>
    <row r="84" spans="1:6" s="240" customFormat="1" ht="39.75" customHeight="1">
      <c r="A84" s="245"/>
      <c r="B84" s="242" t="s">
        <v>860</v>
      </c>
      <c r="C84" s="243">
        <f>+C75+C77</f>
        <v>2068104</v>
      </c>
      <c r="D84" s="243">
        <f>+D75+D77</f>
        <v>0</v>
      </c>
      <c r="E84" s="243">
        <f t="shared" si="10"/>
        <v>-2068104</v>
      </c>
      <c r="F84" s="244">
        <f t="shared" si="11"/>
        <v>-1</v>
      </c>
    </row>
    <row r="85" spans="1:6" ht="42" customHeight="1">
      <c r="A85" s="227" t="s">
        <v>574</v>
      </c>
      <c r="B85" s="261" t="s">
        <v>867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824</v>
      </c>
      <c r="C86" s="237">
        <v>0</v>
      </c>
      <c r="D86" s="237">
        <v>0</v>
      </c>
      <c r="E86" s="237">
        <f aca="true" t="shared" si="12" ref="E86:E96">D86-C86</f>
        <v>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825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>
      <c r="A88" s="235">
        <v>3</v>
      </c>
      <c r="B88" s="236" t="s">
        <v>826</v>
      </c>
      <c r="C88" s="237">
        <v>0</v>
      </c>
      <c r="D88" s="237">
        <v>4092</v>
      </c>
      <c r="E88" s="237">
        <f t="shared" si="12"/>
        <v>4092</v>
      </c>
      <c r="F88" s="238">
        <f t="shared" si="13"/>
        <v>0</v>
      </c>
    </row>
    <row r="89" spans="1:6" ht="20.25" customHeight="1">
      <c r="A89" s="235">
        <v>4</v>
      </c>
      <c r="B89" s="236" t="s">
        <v>827</v>
      </c>
      <c r="C89" s="237">
        <v>0</v>
      </c>
      <c r="D89" s="237">
        <v>2930</v>
      </c>
      <c r="E89" s="237">
        <f t="shared" si="12"/>
        <v>2930</v>
      </c>
      <c r="F89" s="238">
        <f t="shared" si="13"/>
        <v>0</v>
      </c>
    </row>
    <row r="90" spans="1:6" ht="20.25" customHeight="1">
      <c r="A90" s="235">
        <v>5</v>
      </c>
      <c r="B90" s="236" t="s">
        <v>763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>
      <c r="A91" s="235">
        <v>6</v>
      </c>
      <c r="B91" s="236" t="s">
        <v>762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>
      <c r="A92" s="235">
        <v>7</v>
      </c>
      <c r="B92" s="236" t="s">
        <v>828</v>
      </c>
      <c r="C92" s="239">
        <v>0</v>
      </c>
      <c r="D92" s="239">
        <v>1</v>
      </c>
      <c r="E92" s="239">
        <f t="shared" si="12"/>
        <v>1</v>
      </c>
      <c r="F92" s="238">
        <f t="shared" si="13"/>
        <v>0</v>
      </c>
    </row>
    <row r="93" spans="1:6" ht="20.25" customHeight="1">
      <c r="A93" s="235">
        <v>8</v>
      </c>
      <c r="B93" s="236" t="s">
        <v>829</v>
      </c>
      <c r="C93" s="239">
        <v>0</v>
      </c>
      <c r="D93" s="239">
        <v>3</v>
      </c>
      <c r="E93" s="239">
        <f t="shared" si="12"/>
        <v>3</v>
      </c>
      <c r="F93" s="238">
        <f t="shared" si="13"/>
        <v>0</v>
      </c>
    </row>
    <row r="94" spans="1:6" ht="20.25" customHeight="1">
      <c r="A94" s="235">
        <v>9</v>
      </c>
      <c r="B94" s="236" t="s">
        <v>830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75" customHeight="1">
      <c r="A95" s="245"/>
      <c r="B95" s="242" t="s">
        <v>831</v>
      </c>
      <c r="C95" s="243">
        <f>+C86+C88</f>
        <v>0</v>
      </c>
      <c r="D95" s="243">
        <f>+D86+D88</f>
        <v>4092</v>
      </c>
      <c r="E95" s="243">
        <f t="shared" si="12"/>
        <v>4092</v>
      </c>
      <c r="F95" s="244">
        <f t="shared" si="13"/>
        <v>0</v>
      </c>
    </row>
    <row r="96" spans="1:6" s="240" customFormat="1" ht="39.75" customHeight="1">
      <c r="A96" s="245"/>
      <c r="B96" s="242" t="s">
        <v>860</v>
      </c>
      <c r="C96" s="243">
        <f>+C87+C89</f>
        <v>0</v>
      </c>
      <c r="D96" s="243">
        <f>+D87+D89</f>
        <v>2930</v>
      </c>
      <c r="E96" s="243">
        <f t="shared" si="12"/>
        <v>2930</v>
      </c>
      <c r="F96" s="244">
        <f t="shared" si="13"/>
        <v>0</v>
      </c>
    </row>
    <row r="97" spans="1:6" ht="42" customHeight="1">
      <c r="A97" s="227" t="s">
        <v>577</v>
      </c>
      <c r="B97" s="261" t="s">
        <v>840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824</v>
      </c>
      <c r="C98" s="237">
        <v>0</v>
      </c>
      <c r="D98" s="237">
        <v>10701522</v>
      </c>
      <c r="E98" s="237">
        <f aca="true" t="shared" si="14" ref="E98:E108">D98-C98</f>
        <v>10701522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825</v>
      </c>
      <c r="C99" s="237">
        <v>0</v>
      </c>
      <c r="D99" s="237">
        <v>2567518</v>
      </c>
      <c r="E99" s="237">
        <f t="shared" si="14"/>
        <v>2567518</v>
      </c>
      <c r="F99" s="238">
        <f t="shared" si="15"/>
        <v>0</v>
      </c>
    </row>
    <row r="100" spans="1:6" ht="20.25" customHeight="1">
      <c r="A100" s="235">
        <v>3</v>
      </c>
      <c r="B100" s="236" t="s">
        <v>826</v>
      </c>
      <c r="C100" s="237">
        <v>0</v>
      </c>
      <c r="D100" s="237">
        <v>11506342</v>
      </c>
      <c r="E100" s="237">
        <f t="shared" si="14"/>
        <v>11506342</v>
      </c>
      <c r="F100" s="238">
        <f t="shared" si="15"/>
        <v>0</v>
      </c>
    </row>
    <row r="101" spans="1:6" ht="20.25" customHeight="1">
      <c r="A101" s="235">
        <v>4</v>
      </c>
      <c r="B101" s="236" t="s">
        <v>827</v>
      </c>
      <c r="C101" s="237">
        <v>0</v>
      </c>
      <c r="D101" s="237">
        <v>2535901</v>
      </c>
      <c r="E101" s="237">
        <f t="shared" si="14"/>
        <v>2535901</v>
      </c>
      <c r="F101" s="238">
        <f t="shared" si="15"/>
        <v>0</v>
      </c>
    </row>
    <row r="102" spans="1:6" ht="20.25" customHeight="1">
      <c r="A102" s="235">
        <v>5</v>
      </c>
      <c r="B102" s="236" t="s">
        <v>763</v>
      </c>
      <c r="C102" s="239">
        <v>0</v>
      </c>
      <c r="D102" s="239">
        <v>485</v>
      </c>
      <c r="E102" s="239">
        <f t="shared" si="14"/>
        <v>485</v>
      </c>
      <c r="F102" s="238">
        <f t="shared" si="15"/>
        <v>0</v>
      </c>
    </row>
    <row r="103" spans="1:6" ht="20.25" customHeight="1">
      <c r="A103" s="235">
        <v>6</v>
      </c>
      <c r="B103" s="236" t="s">
        <v>762</v>
      </c>
      <c r="C103" s="239">
        <v>0</v>
      </c>
      <c r="D103" s="239">
        <v>1729</v>
      </c>
      <c r="E103" s="239">
        <f t="shared" si="14"/>
        <v>1729</v>
      </c>
      <c r="F103" s="238">
        <f t="shared" si="15"/>
        <v>0</v>
      </c>
    </row>
    <row r="104" spans="1:6" ht="20.25" customHeight="1">
      <c r="A104" s="235">
        <v>7</v>
      </c>
      <c r="B104" s="236" t="s">
        <v>828</v>
      </c>
      <c r="C104" s="239">
        <v>0</v>
      </c>
      <c r="D104" s="239">
        <v>4672</v>
      </c>
      <c r="E104" s="239">
        <f t="shared" si="14"/>
        <v>4672</v>
      </c>
      <c r="F104" s="238">
        <f t="shared" si="15"/>
        <v>0</v>
      </c>
    </row>
    <row r="105" spans="1:6" ht="20.25" customHeight="1">
      <c r="A105" s="235">
        <v>8</v>
      </c>
      <c r="B105" s="236" t="s">
        <v>829</v>
      </c>
      <c r="C105" s="239">
        <v>0</v>
      </c>
      <c r="D105" s="239">
        <v>3079</v>
      </c>
      <c r="E105" s="239">
        <f t="shared" si="14"/>
        <v>3079</v>
      </c>
      <c r="F105" s="238">
        <f t="shared" si="15"/>
        <v>0</v>
      </c>
    </row>
    <row r="106" spans="1:6" ht="20.25" customHeight="1">
      <c r="A106" s="235">
        <v>9</v>
      </c>
      <c r="B106" s="236" t="s">
        <v>830</v>
      </c>
      <c r="C106" s="239">
        <v>0</v>
      </c>
      <c r="D106" s="239">
        <v>132</v>
      </c>
      <c r="E106" s="239">
        <f t="shared" si="14"/>
        <v>132</v>
      </c>
      <c r="F106" s="238">
        <f t="shared" si="15"/>
        <v>0</v>
      </c>
    </row>
    <row r="107" spans="1:6" s="240" customFormat="1" ht="39.75" customHeight="1">
      <c r="A107" s="245"/>
      <c r="B107" s="242" t="s">
        <v>831</v>
      </c>
      <c r="C107" s="243">
        <f>+C98+C100</f>
        <v>0</v>
      </c>
      <c r="D107" s="243">
        <f>+D98+D100</f>
        <v>22207864</v>
      </c>
      <c r="E107" s="243">
        <f t="shared" si="14"/>
        <v>22207864</v>
      </c>
      <c r="F107" s="244">
        <f t="shared" si="15"/>
        <v>0</v>
      </c>
    </row>
    <row r="108" spans="1:6" s="240" customFormat="1" ht="39.75" customHeight="1">
      <c r="A108" s="245"/>
      <c r="B108" s="242" t="s">
        <v>860</v>
      </c>
      <c r="C108" s="243">
        <f>+C99+C101</f>
        <v>0</v>
      </c>
      <c r="D108" s="243">
        <f>+D99+D101</f>
        <v>5103419</v>
      </c>
      <c r="E108" s="243">
        <f t="shared" si="14"/>
        <v>5103419</v>
      </c>
      <c r="F108" s="244">
        <f t="shared" si="15"/>
        <v>0</v>
      </c>
    </row>
    <row r="109" spans="1:7" s="240" customFormat="1" ht="20.25" customHeight="1">
      <c r="A109" s="676" t="s">
        <v>434</v>
      </c>
      <c r="B109" s="678" t="s">
        <v>868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850</v>
      </c>
      <c r="C112" s="243">
        <f aca="true" t="shared" si="16" ref="C112:D120">+C98+C86+C74+C62+C50+C38+C26+C14</f>
        <v>39484839</v>
      </c>
      <c r="D112" s="243">
        <f t="shared" si="16"/>
        <v>52059570</v>
      </c>
      <c r="E112" s="243">
        <f aca="true" t="shared" si="17" ref="E112:E122">D112-C112</f>
        <v>12574731</v>
      </c>
      <c r="F112" s="244">
        <f aca="true" t="shared" si="18" ref="F112:F122">IF(C112=0,0,E112/C112)</f>
        <v>0.3184698562402648</v>
      </c>
    </row>
    <row r="113" spans="1:6" ht="20.25" customHeight="1">
      <c r="A113" s="249"/>
      <c r="B113" s="250" t="s">
        <v>851</v>
      </c>
      <c r="C113" s="243">
        <f t="shared" si="16"/>
        <v>9383326</v>
      </c>
      <c r="D113" s="243">
        <f t="shared" si="16"/>
        <v>12709030</v>
      </c>
      <c r="E113" s="243">
        <f t="shared" si="17"/>
        <v>3325704</v>
      </c>
      <c r="F113" s="244">
        <f t="shared" si="18"/>
        <v>0.35442699102642283</v>
      </c>
    </row>
    <row r="114" spans="1:6" ht="20.25" customHeight="1">
      <c r="A114" s="249"/>
      <c r="B114" s="250" t="s">
        <v>852</v>
      </c>
      <c r="C114" s="243">
        <f t="shared" si="16"/>
        <v>49180672</v>
      </c>
      <c r="D114" s="243">
        <f t="shared" si="16"/>
        <v>64409193</v>
      </c>
      <c r="E114" s="243">
        <f t="shared" si="17"/>
        <v>15228521</v>
      </c>
      <c r="F114" s="244">
        <f t="shared" si="18"/>
        <v>0.30964442698139627</v>
      </c>
    </row>
    <row r="115" spans="1:6" ht="20.25" customHeight="1">
      <c r="A115" s="249"/>
      <c r="B115" s="250" t="s">
        <v>853</v>
      </c>
      <c r="C115" s="243">
        <f t="shared" si="16"/>
        <v>10931798</v>
      </c>
      <c r="D115" s="243">
        <f t="shared" si="16"/>
        <v>14503033</v>
      </c>
      <c r="E115" s="243">
        <f t="shared" si="17"/>
        <v>3571235</v>
      </c>
      <c r="F115" s="244">
        <f t="shared" si="18"/>
        <v>0.3266832226501075</v>
      </c>
    </row>
    <row r="116" spans="1:6" ht="20.25" customHeight="1">
      <c r="A116" s="249"/>
      <c r="B116" s="250" t="s">
        <v>854</v>
      </c>
      <c r="C116" s="252">
        <f t="shared" si="16"/>
        <v>2355</v>
      </c>
      <c r="D116" s="252">
        <f t="shared" si="16"/>
        <v>2560</v>
      </c>
      <c r="E116" s="252">
        <f t="shared" si="17"/>
        <v>205</v>
      </c>
      <c r="F116" s="244">
        <f t="shared" si="18"/>
        <v>0.0870488322717622</v>
      </c>
    </row>
    <row r="117" spans="1:6" ht="20.25" customHeight="1">
      <c r="A117" s="249"/>
      <c r="B117" s="250" t="s">
        <v>855</v>
      </c>
      <c r="C117" s="252">
        <f t="shared" si="16"/>
        <v>7763</v>
      </c>
      <c r="D117" s="252">
        <f t="shared" si="16"/>
        <v>8763</v>
      </c>
      <c r="E117" s="252">
        <f t="shared" si="17"/>
        <v>1000</v>
      </c>
      <c r="F117" s="244">
        <f t="shared" si="18"/>
        <v>0.1288161793121216</v>
      </c>
    </row>
    <row r="118" spans="1:6" ht="39.75" customHeight="1">
      <c r="A118" s="249"/>
      <c r="B118" s="250" t="s">
        <v>856</v>
      </c>
      <c r="C118" s="252">
        <f t="shared" si="16"/>
        <v>22551</v>
      </c>
      <c r="D118" s="252">
        <f t="shared" si="16"/>
        <v>25412</v>
      </c>
      <c r="E118" s="252">
        <f t="shared" si="17"/>
        <v>2861</v>
      </c>
      <c r="F118" s="244">
        <f t="shared" si="18"/>
        <v>0.12686798811582634</v>
      </c>
    </row>
    <row r="119" spans="1:6" ht="39.75" customHeight="1">
      <c r="A119" s="249"/>
      <c r="B119" s="250" t="s">
        <v>857</v>
      </c>
      <c r="C119" s="252">
        <f t="shared" si="16"/>
        <v>14579</v>
      </c>
      <c r="D119" s="252">
        <f t="shared" si="16"/>
        <v>19534</v>
      </c>
      <c r="E119" s="252">
        <f t="shared" si="17"/>
        <v>4955</v>
      </c>
      <c r="F119" s="244">
        <f t="shared" si="18"/>
        <v>0.33987241923314354</v>
      </c>
    </row>
    <row r="120" spans="1:6" ht="39.75" customHeight="1">
      <c r="A120" s="249"/>
      <c r="B120" s="250" t="s">
        <v>858</v>
      </c>
      <c r="C120" s="252">
        <f t="shared" si="16"/>
        <v>651</v>
      </c>
      <c r="D120" s="252">
        <f t="shared" si="16"/>
        <v>823</v>
      </c>
      <c r="E120" s="252">
        <f t="shared" si="17"/>
        <v>172</v>
      </c>
      <c r="F120" s="244">
        <f t="shared" si="18"/>
        <v>0.2642089093701997</v>
      </c>
    </row>
    <row r="121" spans="1:6" ht="39.75" customHeight="1">
      <c r="A121" s="249"/>
      <c r="B121" s="242" t="s">
        <v>831</v>
      </c>
      <c r="C121" s="243">
        <f>+C112+C114</f>
        <v>88665511</v>
      </c>
      <c r="D121" s="243">
        <f>+D112+D114</f>
        <v>116468763</v>
      </c>
      <c r="E121" s="243">
        <f t="shared" si="17"/>
        <v>27803252</v>
      </c>
      <c r="F121" s="244">
        <f t="shared" si="18"/>
        <v>0.313574598357641</v>
      </c>
    </row>
    <row r="122" spans="1:6" ht="39.75" customHeight="1">
      <c r="A122" s="249"/>
      <c r="B122" s="242" t="s">
        <v>860</v>
      </c>
      <c r="C122" s="243">
        <f>+C113+C115</f>
        <v>20315124</v>
      </c>
      <c r="D122" s="243">
        <f>+D113+D115</f>
        <v>27212063</v>
      </c>
      <c r="E122" s="243">
        <f t="shared" si="17"/>
        <v>6896939</v>
      </c>
      <c r="F122" s="244">
        <f t="shared" si="18"/>
        <v>0.33949775546533706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/>
  <headerFooter alignWithMargins="0">
    <oddHeader>&amp;LOFFICE OF HEALTH CARE ACCESS&amp;CTWELVE MONTHS ACTUAL FILING&amp;RBRIDGEPORT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869</v>
      </c>
      <c r="C1" s="3"/>
      <c r="D1" s="3"/>
      <c r="E1" s="4"/>
      <c r="F1" s="5"/>
    </row>
    <row r="2" spans="1:6" ht="24" customHeight="1">
      <c r="A2" s="3"/>
      <c r="B2" s="3" t="s">
        <v>391</v>
      </c>
      <c r="C2" s="3"/>
      <c r="D2" s="3"/>
      <c r="E2" s="4"/>
      <c r="F2" s="5"/>
    </row>
    <row r="3" spans="1:6" ht="24" customHeight="1">
      <c r="A3" s="3"/>
      <c r="B3" s="3" t="s">
        <v>392</v>
      </c>
      <c r="C3" s="3"/>
      <c r="D3" s="3"/>
      <c r="E3" s="4"/>
      <c r="F3" s="5"/>
    </row>
    <row r="4" spans="1:6" ht="24" customHeight="1">
      <c r="A4" s="3"/>
      <c r="B4" s="3" t="s">
        <v>870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394</v>
      </c>
      <c r="D7" s="10" t="s">
        <v>395</v>
      </c>
      <c r="E7" s="11" t="s">
        <v>396</v>
      </c>
      <c r="F7" s="11" t="s">
        <v>397</v>
      </c>
      <c r="H7" s="12"/>
    </row>
    <row r="8" spans="1:6" s="6" customFormat="1" ht="15.75" customHeight="1">
      <c r="A8" s="13" t="s">
        <v>398</v>
      </c>
      <c r="B8" s="13" t="s">
        <v>399</v>
      </c>
      <c r="C8" s="14" t="s">
        <v>400</v>
      </c>
      <c r="D8" s="14" t="s">
        <v>400</v>
      </c>
      <c r="E8" s="15" t="s">
        <v>401</v>
      </c>
      <c r="F8" s="15" t="s">
        <v>401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402</v>
      </c>
      <c r="B10" s="16" t="s">
        <v>403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404</v>
      </c>
      <c r="B12" s="16" t="s">
        <v>405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406</v>
      </c>
      <c r="C13" s="23">
        <v>29605000</v>
      </c>
      <c r="D13" s="23">
        <v>35088000</v>
      </c>
      <c r="E13" s="23">
        <f aca="true" t="shared" si="0" ref="E13:E22">D13-C13</f>
        <v>5483000</v>
      </c>
      <c r="F13" s="24">
        <f aca="true" t="shared" si="1" ref="F13:F22">IF(C13=0,0,E13/C13)</f>
        <v>0.1852052018240162</v>
      </c>
    </row>
    <row r="14" spans="1:6" ht="24" customHeight="1">
      <c r="A14" s="21">
        <v>2</v>
      </c>
      <c r="B14" s="22" t="s">
        <v>407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408</v>
      </c>
      <c r="C15" s="23">
        <v>36168000</v>
      </c>
      <c r="D15" s="23">
        <v>34835000</v>
      </c>
      <c r="E15" s="23">
        <f t="shared" si="0"/>
        <v>-1333000</v>
      </c>
      <c r="F15" s="24">
        <f t="shared" si="1"/>
        <v>-0.03685578411855784</v>
      </c>
    </row>
    <row r="16" spans="1:6" ht="34.5" customHeight="1">
      <c r="A16" s="21">
        <v>4</v>
      </c>
      <c r="B16" s="22" t="s">
        <v>409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410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411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412</v>
      </c>
      <c r="C19" s="23">
        <v>4075000</v>
      </c>
      <c r="D19" s="23">
        <v>3286000</v>
      </c>
      <c r="E19" s="23">
        <f t="shared" si="0"/>
        <v>-789000</v>
      </c>
      <c r="F19" s="24">
        <f t="shared" si="1"/>
        <v>-0.19361963190184048</v>
      </c>
    </row>
    <row r="20" spans="1:6" ht="24" customHeight="1">
      <c r="A20" s="21">
        <v>8</v>
      </c>
      <c r="B20" s="22" t="s">
        <v>413</v>
      </c>
      <c r="C20" s="23">
        <v>2027000</v>
      </c>
      <c r="D20" s="23">
        <v>1796000</v>
      </c>
      <c r="E20" s="23">
        <f t="shared" si="0"/>
        <v>-231000</v>
      </c>
      <c r="F20" s="24">
        <f t="shared" si="1"/>
        <v>-0.1139615194869265</v>
      </c>
    </row>
    <row r="21" spans="1:6" ht="24" customHeight="1">
      <c r="A21" s="21">
        <v>9</v>
      </c>
      <c r="B21" s="22" t="s">
        <v>414</v>
      </c>
      <c r="C21" s="23">
        <v>7973000</v>
      </c>
      <c r="D21" s="23">
        <v>4761000</v>
      </c>
      <c r="E21" s="23">
        <f t="shared" si="0"/>
        <v>-3212000</v>
      </c>
      <c r="F21" s="24">
        <f t="shared" si="1"/>
        <v>-0.40285965132321583</v>
      </c>
    </row>
    <row r="22" spans="1:6" ht="24" customHeight="1">
      <c r="A22" s="25"/>
      <c r="B22" s="26" t="s">
        <v>415</v>
      </c>
      <c r="C22" s="27">
        <f>SUM(C13:C21)</f>
        <v>79848000</v>
      </c>
      <c r="D22" s="27">
        <f>SUM(D13:D21)</f>
        <v>79766000</v>
      </c>
      <c r="E22" s="27">
        <f t="shared" si="0"/>
        <v>-82000</v>
      </c>
      <c r="F22" s="28">
        <f t="shared" si="1"/>
        <v>-0.0010269512072938584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416</v>
      </c>
      <c r="B24" s="30" t="s">
        <v>417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418</v>
      </c>
      <c r="C25" s="23">
        <v>2134000</v>
      </c>
      <c r="D25" s="23">
        <v>580000</v>
      </c>
      <c r="E25" s="23">
        <f>D25-C25</f>
        <v>-1554000</v>
      </c>
      <c r="F25" s="24">
        <f>IF(C25=0,0,E25/C25)</f>
        <v>-0.7282099343955014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419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420</v>
      </c>
      <c r="C27" s="23">
        <v>5899000</v>
      </c>
      <c r="D27" s="23">
        <v>5845000</v>
      </c>
      <c r="E27" s="23">
        <f>D27-C27</f>
        <v>-54000</v>
      </c>
      <c r="F27" s="24">
        <f>IF(C27=0,0,E27/C27)</f>
        <v>-0.00915409391422275</v>
      </c>
    </row>
    <row r="28" spans="1:6" ht="34.5" customHeight="1">
      <c r="A28" s="21">
        <v>4</v>
      </c>
      <c r="B28" s="22" t="s">
        <v>421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6" ht="34.5" customHeight="1">
      <c r="A29" s="25"/>
      <c r="B29" s="26" t="s">
        <v>422</v>
      </c>
      <c r="C29" s="27">
        <f>SUM(C25:C28)</f>
        <v>8033000</v>
      </c>
      <c r="D29" s="27">
        <f>SUM(D25:D28)</f>
        <v>6425000</v>
      </c>
      <c r="E29" s="27">
        <f>D29-C29</f>
        <v>-1608000</v>
      </c>
      <c r="F29" s="28">
        <f>IF(C29=0,0,E29/C29)</f>
        <v>-0.20017428109050167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423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424</v>
      </c>
      <c r="C32" s="23">
        <v>67829000</v>
      </c>
      <c r="D32" s="23">
        <v>67769000</v>
      </c>
      <c r="E32" s="23">
        <f>D32-C32</f>
        <v>-60000</v>
      </c>
      <c r="F32" s="24">
        <f>IF(C32=0,0,E32/C32)</f>
        <v>-0.0008845773931504224</v>
      </c>
    </row>
    <row r="33" spans="1:6" ht="24" customHeight="1">
      <c r="A33" s="21">
        <v>7</v>
      </c>
      <c r="B33" s="22" t="s">
        <v>425</v>
      </c>
      <c r="C33" s="23">
        <v>14169000</v>
      </c>
      <c r="D33" s="23">
        <v>9337000</v>
      </c>
      <c r="E33" s="23">
        <f>D33-C33</f>
        <v>-4832000</v>
      </c>
      <c r="F33" s="24">
        <f>IF(C33=0,0,E33/C33)</f>
        <v>-0.34102618392264805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426</v>
      </c>
      <c r="B35" s="30" t="s">
        <v>427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428</v>
      </c>
      <c r="C36" s="23">
        <v>346765000</v>
      </c>
      <c r="D36" s="23">
        <v>370563000</v>
      </c>
      <c r="E36" s="23">
        <f>D36-C36</f>
        <v>23798000</v>
      </c>
      <c r="F36" s="24">
        <f>IF(C36=0,0,E36/C36)</f>
        <v>0.06862861015385059</v>
      </c>
    </row>
    <row r="37" spans="1:6" ht="24" customHeight="1">
      <c r="A37" s="21">
        <v>2</v>
      </c>
      <c r="B37" s="22" t="s">
        <v>429</v>
      </c>
      <c r="C37" s="23">
        <v>243520000</v>
      </c>
      <c r="D37" s="23">
        <v>261403000</v>
      </c>
      <c r="E37" s="23">
        <f>D37-C37</f>
        <v>17883000</v>
      </c>
      <c r="F37" s="23">
        <f>IF(C37=0,0,E37/C37)</f>
        <v>0.0734354467805519</v>
      </c>
    </row>
    <row r="38" spans="1:6" ht="24" customHeight="1">
      <c r="A38" s="25"/>
      <c r="B38" s="26" t="s">
        <v>430</v>
      </c>
      <c r="C38" s="27">
        <f>C36-C37</f>
        <v>103245000</v>
      </c>
      <c r="D38" s="27">
        <f>D36-D37</f>
        <v>109160000</v>
      </c>
      <c r="E38" s="27">
        <f>D38-C38</f>
        <v>5915000</v>
      </c>
      <c r="F38" s="28">
        <f>IF(C38=0,0,E38/C38)</f>
        <v>0.05729090997142719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431</v>
      </c>
      <c r="C40" s="23">
        <v>22622000</v>
      </c>
      <c r="D40" s="23">
        <v>12497000</v>
      </c>
      <c r="E40" s="23">
        <f>D40-C40</f>
        <v>-10125000</v>
      </c>
      <c r="F40" s="24">
        <f>IF(C40=0,0,E40/C40)</f>
        <v>-0.44757315887189464</v>
      </c>
    </row>
    <row r="41" spans="1:6" ht="24" customHeight="1">
      <c r="A41" s="25"/>
      <c r="B41" s="26" t="s">
        <v>432</v>
      </c>
      <c r="C41" s="27">
        <f>+C38+C40</f>
        <v>125867000</v>
      </c>
      <c r="D41" s="27">
        <f>+D38+D40</f>
        <v>121657000</v>
      </c>
      <c r="E41" s="27">
        <f>D41-C41</f>
        <v>-4210000</v>
      </c>
      <c r="F41" s="28">
        <f>IF(C41=0,0,E41/C41)</f>
        <v>-0.03344800463981822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433</v>
      </c>
      <c r="C43" s="27">
        <f>C22+C29+C31+C32+C33+C41</f>
        <v>295746000</v>
      </c>
      <c r="D43" s="27">
        <f>D22+D29+D31+D32+D33+D41</f>
        <v>284954000</v>
      </c>
      <c r="E43" s="27">
        <f>D43-C43</f>
        <v>-10792000</v>
      </c>
      <c r="F43" s="28">
        <f>IF(C43=0,0,E43/C43)</f>
        <v>-0.03649077248720185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434</v>
      </c>
      <c r="B46" s="16" t="s">
        <v>435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404</v>
      </c>
      <c r="B48" s="41" t="s">
        <v>436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437</v>
      </c>
      <c r="C49" s="23">
        <v>48851000</v>
      </c>
      <c r="D49" s="23">
        <v>46318000</v>
      </c>
      <c r="E49" s="23">
        <f aca="true" t="shared" si="2" ref="E49:E56">D49-C49</f>
        <v>-2533000</v>
      </c>
      <c r="F49" s="24">
        <f aca="true" t="shared" si="3" ref="F49:F56">IF(C49=0,0,E49/C49)</f>
        <v>-0.051851548586518185</v>
      </c>
    </row>
    <row r="50" spans="1:6" ht="24" customHeight="1">
      <c r="A50" s="21">
        <f aca="true" t="shared" si="4" ref="A50:A55">1+A49</f>
        <v>2</v>
      </c>
      <c r="B50" s="22" t="s">
        <v>438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>
      <c r="A51" s="21">
        <f t="shared" si="4"/>
        <v>3</v>
      </c>
      <c r="B51" s="22" t="s">
        <v>439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440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441</v>
      </c>
      <c r="C53" s="23">
        <v>2795000</v>
      </c>
      <c r="D53" s="23">
        <v>2785000</v>
      </c>
      <c r="E53" s="23">
        <f t="shared" si="2"/>
        <v>-10000</v>
      </c>
      <c r="F53" s="24">
        <f t="shared" si="3"/>
        <v>-0.0035778175313059034</v>
      </c>
    </row>
    <row r="54" spans="1:6" ht="24" customHeight="1">
      <c r="A54" s="21">
        <f t="shared" si="4"/>
        <v>6</v>
      </c>
      <c r="B54" s="22" t="s">
        <v>442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443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>
      <c r="A56" s="25"/>
      <c r="B56" s="26" t="s">
        <v>444</v>
      </c>
      <c r="C56" s="27">
        <f>SUM(C49:C55)</f>
        <v>51646000</v>
      </c>
      <c r="D56" s="27">
        <f>SUM(D49:D55)</f>
        <v>49103000</v>
      </c>
      <c r="E56" s="27">
        <f t="shared" si="2"/>
        <v>-2543000</v>
      </c>
      <c r="F56" s="28">
        <f t="shared" si="3"/>
        <v>-0.049239050458893235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416</v>
      </c>
      <c r="B58" s="41" t="s">
        <v>445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446</v>
      </c>
      <c r="C59" s="23">
        <v>52875000</v>
      </c>
      <c r="D59" s="23">
        <v>50090000</v>
      </c>
      <c r="E59" s="23">
        <f>D59-C59</f>
        <v>-2785000</v>
      </c>
      <c r="F59" s="24">
        <f>IF(C59=0,0,E59/C59)</f>
        <v>-0.052671394799054375</v>
      </c>
    </row>
    <row r="60" spans="1:6" ht="24" customHeight="1">
      <c r="A60" s="21">
        <v>2</v>
      </c>
      <c r="B60" s="22" t="s">
        <v>447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448</v>
      </c>
      <c r="C61" s="27">
        <f>SUM(C59:C60)</f>
        <v>52875000</v>
      </c>
      <c r="D61" s="27">
        <f>SUM(D59:D60)</f>
        <v>50090000</v>
      </c>
      <c r="E61" s="27">
        <f>D61-C61</f>
        <v>-2785000</v>
      </c>
      <c r="F61" s="28">
        <f>IF(C61=0,0,E61/C61)</f>
        <v>-0.052671394799054375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449</v>
      </c>
      <c r="C63" s="23">
        <v>0</v>
      </c>
      <c r="D63" s="23">
        <v>54221000</v>
      </c>
      <c r="E63" s="23">
        <f>D63-C63</f>
        <v>54221000</v>
      </c>
      <c r="F63" s="24">
        <f>IF(C63=0,0,E63/C63)</f>
        <v>0</v>
      </c>
    </row>
    <row r="64" spans="1:6" ht="24" customHeight="1">
      <c r="A64" s="21">
        <v>4</v>
      </c>
      <c r="B64" s="22" t="s">
        <v>450</v>
      </c>
      <c r="C64" s="23">
        <v>41314000</v>
      </c>
      <c r="D64" s="23">
        <v>44849000</v>
      </c>
      <c r="E64" s="23">
        <f>D64-C64</f>
        <v>3535000</v>
      </c>
      <c r="F64" s="24">
        <f>IF(C64=0,0,E64/C64)</f>
        <v>0.08556421552016266</v>
      </c>
    </row>
    <row r="65" spans="1:6" ht="24" customHeight="1">
      <c r="A65" s="25"/>
      <c r="B65" s="26" t="s">
        <v>451</v>
      </c>
      <c r="C65" s="27">
        <f>SUM(C61:C64)</f>
        <v>94189000</v>
      </c>
      <c r="D65" s="27">
        <f>SUM(D61:D64)</f>
        <v>149160000</v>
      </c>
      <c r="E65" s="27">
        <f>D65-C65</f>
        <v>54971000</v>
      </c>
      <c r="F65" s="28">
        <f>IF(C65=0,0,E65/C65)</f>
        <v>0.5836244147405748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452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426</v>
      </c>
      <c r="B69" s="41" t="s">
        <v>453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454</v>
      </c>
      <c r="C70" s="23">
        <v>110103000</v>
      </c>
      <c r="D70" s="23">
        <v>47837000</v>
      </c>
      <c r="E70" s="23">
        <f>D70-C70</f>
        <v>-62266000</v>
      </c>
      <c r="F70" s="24">
        <f>IF(C70=0,0,E70/C70)</f>
        <v>-0.5655250084012243</v>
      </c>
    </row>
    <row r="71" spans="1:6" ht="24" customHeight="1">
      <c r="A71" s="21">
        <v>2</v>
      </c>
      <c r="B71" s="22" t="s">
        <v>455</v>
      </c>
      <c r="C71" s="23">
        <v>29127000</v>
      </c>
      <c r="D71" s="23">
        <v>26622000</v>
      </c>
      <c r="E71" s="23">
        <f>D71-C71</f>
        <v>-2505000</v>
      </c>
      <c r="F71" s="24">
        <f>IF(C71=0,0,E71/C71)</f>
        <v>-0.08600267792769595</v>
      </c>
    </row>
    <row r="72" spans="1:6" ht="24" customHeight="1">
      <c r="A72" s="21">
        <v>3</v>
      </c>
      <c r="B72" s="22" t="s">
        <v>456</v>
      </c>
      <c r="C72" s="23">
        <v>10681000</v>
      </c>
      <c r="D72" s="23">
        <v>12232000</v>
      </c>
      <c r="E72" s="23">
        <f>D72-C72</f>
        <v>1551000</v>
      </c>
      <c r="F72" s="24">
        <f>IF(C72=0,0,E72/C72)</f>
        <v>0.14521112255406798</v>
      </c>
    </row>
    <row r="73" spans="1:6" ht="24" customHeight="1">
      <c r="A73" s="21"/>
      <c r="B73" s="26" t="s">
        <v>457</v>
      </c>
      <c r="C73" s="27">
        <f>SUM(C70:C72)</f>
        <v>149911000</v>
      </c>
      <c r="D73" s="27">
        <f>SUM(D70:D72)</f>
        <v>86691000</v>
      </c>
      <c r="E73" s="27">
        <f>D73-C73</f>
        <v>-63220000</v>
      </c>
      <c r="F73" s="28">
        <f>IF(C73=0,0,E73/C73)</f>
        <v>-0.4217168853519755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458</v>
      </c>
      <c r="C75" s="27">
        <f>C56+C65+C67+C73</f>
        <v>295746000</v>
      </c>
      <c r="D75" s="27">
        <f>D56+D65+D67+D73</f>
        <v>284954000</v>
      </c>
      <c r="E75" s="27">
        <f>D75-C75</f>
        <v>-10792000</v>
      </c>
      <c r="F75" s="28">
        <f>IF(C75=0,0,E75/C75)</f>
        <v>-0.03649077248720185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/>
  <headerFooter alignWithMargins="0">
    <oddHeader>&amp;LOFFICE OF HEALTH CARE ACCESS&amp;CTWELVE MONTHS ACTUAL FILING&amp;RBRIDGEPORT HOSPITAL &amp;AMP; HEALTHCARE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869</v>
      </c>
      <c r="B1" s="696"/>
      <c r="C1" s="696"/>
      <c r="D1" s="696"/>
      <c r="E1" s="696"/>
      <c r="F1" s="697"/>
    </row>
    <row r="2" spans="1:6" ht="22.5" customHeight="1">
      <c r="A2" s="695" t="s">
        <v>391</v>
      </c>
      <c r="B2" s="696"/>
      <c r="C2" s="696"/>
      <c r="D2" s="696"/>
      <c r="E2" s="696"/>
      <c r="F2" s="697"/>
    </row>
    <row r="3" spans="1:6" ht="22.5" customHeight="1">
      <c r="A3" s="695" t="s">
        <v>392</v>
      </c>
      <c r="B3" s="696"/>
      <c r="C3" s="696"/>
      <c r="D3" s="696"/>
      <c r="E3" s="696"/>
      <c r="F3" s="697"/>
    </row>
    <row r="4" spans="1:6" ht="22.5" customHeight="1">
      <c r="A4" s="695" t="s">
        <v>871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394</v>
      </c>
      <c r="D6" s="10" t="s">
        <v>395</v>
      </c>
      <c r="E6" s="59" t="s">
        <v>396</v>
      </c>
      <c r="F6" s="59" t="s">
        <v>397</v>
      </c>
    </row>
    <row r="7" spans="1:8" ht="15.75" customHeight="1">
      <c r="A7" s="61" t="s">
        <v>398</v>
      </c>
      <c r="B7" s="62" t="s">
        <v>399</v>
      </c>
      <c r="C7" s="14" t="s">
        <v>400</v>
      </c>
      <c r="D7" s="14" t="s">
        <v>400</v>
      </c>
      <c r="E7" s="63" t="s">
        <v>401</v>
      </c>
      <c r="F7" s="63" t="s">
        <v>401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404</v>
      </c>
      <c r="B11" s="30" t="s">
        <v>460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461</v>
      </c>
      <c r="C12" s="51">
        <v>1084041000</v>
      </c>
      <c r="D12" s="51">
        <v>1155983000</v>
      </c>
      <c r="E12" s="51">
        <f aca="true" t="shared" si="0" ref="E12:E19">D12-C12</f>
        <v>71942000</v>
      </c>
      <c r="F12" s="70">
        <f aca="true" t="shared" si="1" ref="F12:F19">IF(C12=0,0,E12/C12)</f>
        <v>0.06636464856956517</v>
      </c>
    </row>
    <row r="13" spans="1:6" ht="22.5" customHeight="1">
      <c r="A13" s="25">
        <v>2</v>
      </c>
      <c r="B13" s="48" t="s">
        <v>462</v>
      </c>
      <c r="C13" s="51">
        <v>691325000</v>
      </c>
      <c r="D13" s="51">
        <v>740508000</v>
      </c>
      <c r="E13" s="51">
        <f t="shared" si="0"/>
        <v>49183000</v>
      </c>
      <c r="F13" s="70">
        <f t="shared" si="1"/>
        <v>0.07114309478175966</v>
      </c>
    </row>
    <row r="14" spans="1:6" ht="22.5" customHeight="1">
      <c r="A14" s="25">
        <v>3</v>
      </c>
      <c r="B14" s="48" t="s">
        <v>463</v>
      </c>
      <c r="C14" s="51">
        <v>39618000</v>
      </c>
      <c r="D14" s="51">
        <v>35961000</v>
      </c>
      <c r="E14" s="51">
        <f t="shared" si="0"/>
        <v>-3657000</v>
      </c>
      <c r="F14" s="70">
        <f t="shared" si="1"/>
        <v>-0.09230652733605936</v>
      </c>
    </row>
    <row r="15" spans="1:7" ht="22.5" customHeight="1">
      <c r="A15" s="25">
        <v>4</v>
      </c>
      <c r="B15" s="48" t="s">
        <v>464</v>
      </c>
      <c r="C15" s="51">
        <v>8141000</v>
      </c>
      <c r="D15" s="51">
        <v>8234000</v>
      </c>
      <c r="E15" s="51">
        <f t="shared" si="0"/>
        <v>93000</v>
      </c>
      <c r="F15" s="70">
        <f t="shared" si="1"/>
        <v>0.011423658027269377</v>
      </c>
      <c r="G15" s="64"/>
    </row>
    <row r="16" spans="1:6" ht="22.5" customHeight="1">
      <c r="A16" s="29"/>
      <c r="B16" s="71" t="s">
        <v>465</v>
      </c>
      <c r="C16" s="27">
        <f>C12-C13-C14-C15</f>
        <v>344957000</v>
      </c>
      <c r="D16" s="27">
        <f>D12-D13-D14-D15</f>
        <v>371280000</v>
      </c>
      <c r="E16" s="27">
        <f t="shared" si="0"/>
        <v>26323000</v>
      </c>
      <c r="F16" s="28">
        <f t="shared" si="1"/>
        <v>0.07630806158448734</v>
      </c>
    </row>
    <row r="17" spans="1:7" ht="22.5" customHeight="1">
      <c r="A17" s="25">
        <v>5</v>
      </c>
      <c r="B17" s="48" t="s">
        <v>466</v>
      </c>
      <c r="C17" s="51">
        <v>9133000</v>
      </c>
      <c r="D17" s="51">
        <v>5322000</v>
      </c>
      <c r="E17" s="51">
        <f t="shared" si="0"/>
        <v>-3811000</v>
      </c>
      <c r="F17" s="70">
        <f t="shared" si="1"/>
        <v>-0.4172780028468192</v>
      </c>
      <c r="G17" s="64"/>
    </row>
    <row r="18" spans="1:7" ht="33" customHeight="1">
      <c r="A18" s="25">
        <v>6</v>
      </c>
      <c r="B18" s="45" t="s">
        <v>467</v>
      </c>
      <c r="C18" s="51">
        <v>4542000</v>
      </c>
      <c r="D18" s="51">
        <v>4386000</v>
      </c>
      <c r="E18" s="51">
        <f t="shared" si="0"/>
        <v>-156000</v>
      </c>
      <c r="F18" s="70">
        <f t="shared" si="1"/>
        <v>-0.034346103038309116</v>
      </c>
      <c r="G18" s="64"/>
    </row>
    <row r="19" spans="1:6" ht="22.5" customHeight="1">
      <c r="A19" s="29"/>
      <c r="B19" s="71" t="s">
        <v>468</v>
      </c>
      <c r="C19" s="27">
        <f>SUM(C16:C18)</f>
        <v>358632000</v>
      </c>
      <c r="D19" s="27">
        <f>SUM(D16:D18)</f>
        <v>380988000</v>
      </c>
      <c r="E19" s="27">
        <f t="shared" si="0"/>
        <v>22356000</v>
      </c>
      <c r="F19" s="28">
        <f t="shared" si="1"/>
        <v>0.062336880144549286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416</v>
      </c>
      <c r="B21" s="30" t="s">
        <v>469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470</v>
      </c>
      <c r="C22" s="51">
        <v>148790000</v>
      </c>
      <c r="D22" s="51">
        <v>152260000</v>
      </c>
      <c r="E22" s="51">
        <f aca="true" t="shared" si="2" ref="E22:E31">D22-C22</f>
        <v>3470000</v>
      </c>
      <c r="F22" s="70">
        <f aca="true" t="shared" si="3" ref="F22:F31">IF(C22=0,0,E22/C22)</f>
        <v>0.023321459775522548</v>
      </c>
    </row>
    <row r="23" spans="1:6" ht="22.5" customHeight="1">
      <c r="A23" s="25">
        <v>2</v>
      </c>
      <c r="B23" s="48" t="s">
        <v>471</v>
      </c>
      <c r="C23" s="51">
        <v>39649000</v>
      </c>
      <c r="D23" s="51">
        <v>43009000</v>
      </c>
      <c r="E23" s="51">
        <f t="shared" si="2"/>
        <v>3360000</v>
      </c>
      <c r="F23" s="70">
        <f t="shared" si="3"/>
        <v>0.0847436253121138</v>
      </c>
    </row>
    <row r="24" spans="1:7" ht="22.5" customHeight="1">
      <c r="A24" s="25">
        <v>3</v>
      </c>
      <c r="B24" s="48" t="s">
        <v>472</v>
      </c>
      <c r="C24" s="51">
        <v>3904000</v>
      </c>
      <c r="D24" s="51">
        <v>4105000</v>
      </c>
      <c r="E24" s="51">
        <f t="shared" si="2"/>
        <v>201000</v>
      </c>
      <c r="F24" s="70">
        <f t="shared" si="3"/>
        <v>0.051485655737704916</v>
      </c>
      <c r="G24" s="64"/>
    </row>
    <row r="25" spans="1:6" ht="22.5" customHeight="1">
      <c r="A25" s="25">
        <v>4</v>
      </c>
      <c r="B25" s="48" t="s">
        <v>473</v>
      </c>
      <c r="C25" s="51">
        <v>135097000</v>
      </c>
      <c r="D25" s="51">
        <v>141023000</v>
      </c>
      <c r="E25" s="51">
        <f t="shared" si="2"/>
        <v>5926000</v>
      </c>
      <c r="F25" s="70">
        <f t="shared" si="3"/>
        <v>0.043864778640532356</v>
      </c>
    </row>
    <row r="26" spans="1:6" ht="22.5" customHeight="1">
      <c r="A26" s="25">
        <v>5</v>
      </c>
      <c r="B26" s="48" t="s">
        <v>474</v>
      </c>
      <c r="C26" s="51">
        <v>17338000</v>
      </c>
      <c r="D26" s="51">
        <v>19468000</v>
      </c>
      <c r="E26" s="51">
        <f t="shared" si="2"/>
        <v>2130000</v>
      </c>
      <c r="F26" s="70">
        <f t="shared" si="3"/>
        <v>0.12285153997000807</v>
      </c>
    </row>
    <row r="27" spans="1:6" ht="22.5" customHeight="1">
      <c r="A27" s="25">
        <v>6</v>
      </c>
      <c r="B27" s="48" t="s">
        <v>475</v>
      </c>
      <c r="C27" s="51">
        <v>6818000</v>
      </c>
      <c r="D27" s="51">
        <v>14535000</v>
      </c>
      <c r="E27" s="51">
        <f t="shared" si="2"/>
        <v>7717000</v>
      </c>
      <c r="F27" s="70">
        <f t="shared" si="3"/>
        <v>1.131856849515987</v>
      </c>
    </row>
    <row r="28" spans="1:6" ht="22.5" customHeight="1">
      <c r="A28" s="25">
        <v>7</v>
      </c>
      <c r="B28" s="48" t="s">
        <v>476</v>
      </c>
      <c r="C28" s="51">
        <v>3483000</v>
      </c>
      <c r="D28" s="51">
        <v>3200000</v>
      </c>
      <c r="E28" s="51">
        <f t="shared" si="2"/>
        <v>-283000</v>
      </c>
      <c r="F28" s="70">
        <f t="shared" si="3"/>
        <v>-0.08125179443008901</v>
      </c>
    </row>
    <row r="29" spans="1:6" ht="22.5" customHeight="1">
      <c r="A29" s="25">
        <v>8</v>
      </c>
      <c r="B29" s="48" t="s">
        <v>477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6" ht="22.5" customHeight="1">
      <c r="A30" s="25">
        <v>9</v>
      </c>
      <c r="B30" s="48" t="s">
        <v>478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6" ht="22.5" customHeight="1">
      <c r="A31" s="29"/>
      <c r="B31" s="71" t="s">
        <v>479</v>
      </c>
      <c r="C31" s="27">
        <f>SUM(C22:C30)</f>
        <v>355079000</v>
      </c>
      <c r="D31" s="27">
        <f>SUM(D22:D30)</f>
        <v>377600000</v>
      </c>
      <c r="E31" s="27">
        <f t="shared" si="2"/>
        <v>22521000</v>
      </c>
      <c r="F31" s="28">
        <f t="shared" si="3"/>
        <v>0.0634253222522312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480</v>
      </c>
      <c r="C33" s="27">
        <f>+C19-C31</f>
        <v>3553000</v>
      </c>
      <c r="D33" s="27">
        <f>+D19-D31</f>
        <v>3388000</v>
      </c>
      <c r="E33" s="27">
        <f>D33-C33</f>
        <v>-165000</v>
      </c>
      <c r="F33" s="28">
        <f>IF(C33=0,0,E33/C33)</f>
        <v>-0.04643962848297214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426</v>
      </c>
      <c r="B35" s="30" t="s">
        <v>481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482</v>
      </c>
      <c r="C36" s="51">
        <v>0</v>
      </c>
      <c r="D36" s="51">
        <v>0</v>
      </c>
      <c r="E36" s="51">
        <f>D36-C36</f>
        <v>0</v>
      </c>
      <c r="F36" s="70">
        <f>IF(C36=0,0,E36/C36)</f>
        <v>0</v>
      </c>
    </row>
    <row r="37" spans="1:6" ht="22.5" customHeight="1">
      <c r="A37" s="44">
        <v>2</v>
      </c>
      <c r="B37" s="48" t="s">
        <v>483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484</v>
      </c>
      <c r="C38" s="51">
        <v>-5514000</v>
      </c>
      <c r="D38" s="51">
        <v>-3545000</v>
      </c>
      <c r="E38" s="51">
        <f>D38-C38</f>
        <v>1969000</v>
      </c>
      <c r="F38" s="70">
        <f>IF(C38=0,0,E38/C38)</f>
        <v>-0.3570910409865796</v>
      </c>
    </row>
    <row r="39" spans="1:6" ht="22.5" customHeight="1">
      <c r="A39" s="20"/>
      <c r="B39" s="71" t="s">
        <v>485</v>
      </c>
      <c r="C39" s="27">
        <f>SUM(C36:C38)</f>
        <v>-5514000</v>
      </c>
      <c r="D39" s="27">
        <f>SUM(D36:D38)</f>
        <v>-3545000</v>
      </c>
      <c r="E39" s="27">
        <f>D39-C39</f>
        <v>1969000</v>
      </c>
      <c r="F39" s="28">
        <f>IF(C39=0,0,E39/C39)</f>
        <v>-0.3570910409865796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486</v>
      </c>
      <c r="C41" s="27">
        <f>C33+C39</f>
        <v>-1961000</v>
      </c>
      <c r="D41" s="27">
        <f>D33+D39</f>
        <v>-157000</v>
      </c>
      <c r="E41" s="27">
        <f>D41-C41</f>
        <v>1804000</v>
      </c>
      <c r="F41" s="28">
        <f>IF(C41=0,0,E41/C41)</f>
        <v>-0.9199388067312596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487</v>
      </c>
      <c r="C43" s="27"/>
      <c r="D43" s="27"/>
      <c r="E43" s="27"/>
      <c r="F43" s="28"/>
    </row>
    <row r="44" spans="1:6" ht="22.5" customHeight="1">
      <c r="A44" s="44"/>
      <c r="B44" s="48" t="s">
        <v>488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489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490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491</v>
      </c>
      <c r="C48" s="27">
        <f>C41+C46</f>
        <v>-1961000</v>
      </c>
      <c r="D48" s="27">
        <f>D41+D46</f>
        <v>-157000</v>
      </c>
      <c r="E48" s="27">
        <f>D48-C48</f>
        <v>1804000</v>
      </c>
      <c r="F48" s="28">
        <f>IF(C48=0,0,E48/C48)</f>
        <v>-0.9199388067312596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/>
  <headerFooter alignWithMargins="0">
    <oddHeader>&amp;L&amp;8OFFICE OF HEALTH CARE ACCESS&amp;C&amp;8TWELVE MONTHS ACTUAL FILING&amp;R&amp;8BRIDGEPORT HOSPITAL &amp;AMP; HEALTHCARE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2010-08-12T15:06:02Z</cp:lastPrinted>
  <dcterms:created xsi:type="dcterms:W3CDTF">2006-08-03T13:49:12Z</dcterms:created>
  <dcterms:modified xsi:type="dcterms:W3CDTF">2010-08-12T15:06:10Z</dcterms:modified>
  <cp:category/>
  <cp:version/>
  <cp:contentType/>
  <cp:contentStatus/>
</cp:coreProperties>
</file>