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<sst xmlns="http://schemas.openxmlformats.org/spreadsheetml/2006/main" count="2300" uniqueCount="978">
  <si>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</si>
  <si>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</si>
  <si>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</si>
  <si>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</si>
  <si>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</si>
  <si>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</si>
  <si>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</si>
  <si>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</si>
  <si>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</si>
  <si>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</si>
  <si>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</si>
  <si>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</si>
  <si>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</si>
  <si>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</si>
  <si>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</si>
  <si>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</si>
  <si>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</si>
  <si>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</si>
  <si>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</si>
  <si>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</si>
  <si>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</si>
  <si>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</si>
  <si>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</si>
  <si>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</si>
  <si>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</si>
  <si>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</si>
  <si>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</si>
  <si>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</si>
  <si>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</si>
  <si>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</si>
  <si>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</si>
  <si>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</si>
  <si>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</si>
  <si>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</si>
  <si>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</si>
  <si>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</si>
  <si>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</si>
  <si>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</si>
  <si>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</si>
  <si>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</si>
  <si>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</si>
  <si>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</si>
  <si>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</si>
  <si>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</si>
  <si>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</si>
  <si>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</si>
  <si>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</si>
  <si>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</si>
  <si>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</si>
  <si>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</si>
  <si>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</si>
  <si>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</si>
  <si>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</si>
  <si>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</si>
  <si>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</si>
  <si>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</si>
  <si>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</si>
  <si>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</si>
  <si>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</si>
  <si>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</si>
  <si>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</si>
  <si>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</si>
  <si>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</si>
  <si>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</si>
  <si>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</si>
  <si>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</si>
  <si>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</si>
  <si>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</si>
  <si>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</si>
  <si>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</si>
  <si>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</si>
  <si>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</si>
  <si>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</si>
  <si>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</si>
  <si>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</si>
  <si>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</si>
  <si>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</si>
  <si>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</si>
  <si>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</si>
  <si>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</si>
  <si>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</si>
  <si>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</si>
  <si>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</si>
  <si>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</si>
  <si>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</si>
  <si>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</si>
  <si>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</si>
  <si>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</si>
  <si>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</si>
  <si>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</si>
  <si>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</si>
  <si>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</si>
  <si>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</si>
  <si>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</si>
  <si>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</si>
  <si>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</si>
  <si>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</si>
  <si>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</si>
  <si>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</si>
  <si>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</si>
  <si>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</si>
  <si>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</si>
  <si>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</si>
  <si>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</si>
  <si>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</si>
  <si>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</si>
  <si>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</si>
  <si>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</si>
  <si>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</si>
  <si>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</si>
  <si>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</si>
  <si>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</si>
  <si>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</si>
  <si>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</si>
  <si>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</si>
  <si>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</si>
  <si>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</si>
  <si>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</si>
  <si>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</si>
  <si>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</si>
  <si>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</si>
  <si>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</si>
  <si>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</si>
  <si>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</si>
  <si>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</si>
  <si>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</si>
  <si>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</si>
  <si>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</si>
  <si>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</si>
  <si>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</si>
  <si>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</si>
  <si>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</si>
  <si>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</si>
  <si>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</si>
  <si>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</si>
  <si>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</si>
  <si>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</si>
  <si>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</si>
  <si>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</si>
  <si>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</si>
  <si>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</si>
  <si>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</si>
  <si>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</si>
  <si>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</si>
  <si>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</si>
  <si>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</si>
  <si>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</si>
  <si>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</si>
  <si>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</si>
  <si>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</si>
  <si>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</si>
  <si>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</si>
  <si>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</si>
  <si>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</si>
  <si>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</si>
  <si>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</si>
  <si>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WILLIAM W. BACKUS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</si>
  <si>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</si>
  <si>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</si>
  <si>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</si>
  <si>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</si>
  <si>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</si>
  <si>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</si>
  <si>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</si>
  <si>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</si>
  <si>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</si>
  <si>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</si>
  <si>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</si>
  <si>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</si>
  <si>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</si>
  <si>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</si>
  <si>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</si>
  <si>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</si>
  <si>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</si>
  <si>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</si>
  <si>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</si>
  <si>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</si>
  <si>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</si>
  <si>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</si>
  <si>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</si>
  <si>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</si>
  <si>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</si>
  <si>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</si>
  <si>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</si>
  <si>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</si>
  <si>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</si>
  <si>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</si>
  <si>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</si>
  <si>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</si>
  <si>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</si>
  <si>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</si>
  <si>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</si>
  <si>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</si>
  <si>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</si>
  <si>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</si>
  <si>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</si>
  <si>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</si>
  <si>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</si>
  <si>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</si>
  <si>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</si>
  <si>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</si>
  <si>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</si>
  <si>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</si>
  <si>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</si>
  <si>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</si>
  <si>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</si>
  <si>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</si>
  <si>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</si>
  <si>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</si>
  <si>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</si>
  <si>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</si>
  <si>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</si>
  <si>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</si>
  <si>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</si>
  <si>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</si>
  <si>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</si>
  <si>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</si>
  <si>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</si>
  <si>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</si>
  <si>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</si>
  <si>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</si>
  <si>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</si>
  <si>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</si>
  <si>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</si>
  <si>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</si>
  <si>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</si>
  <si>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</si>
  <si>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</si>
  <si>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</si>
  <si>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</si>
  <si>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</si>
  <si>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</si>
  <si>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</si>
  <si>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</si>
  <si>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</si>
  <si>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</si>
  <si>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</si>
  <si>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</si>
  <si>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</si>
  <si>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</si>
  <si>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</si>
  <si>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</si>
  <si>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</si>
  <si>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</si>
  <si>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</si>
  <si>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</si>
  <si>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</si>
  <si>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</si>
  <si>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</si>
  <si>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</si>
  <si>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</si>
  <si>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</si>
  <si>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</si>
  <si>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</si>
  <si>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</si>
  <si>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</si>
  <si>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</si>
  <si>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</si>
  <si>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</si>
  <si>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</si>
  <si>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</si>
  <si>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</si>
  <si>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</si>
  <si>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</si>
  <si>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</si>
  <si>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</si>
  <si>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</si>
  <si>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</si>
  <si>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</si>
  <si>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</si>
  <si>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</si>
  <si>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</si>
  <si>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</si>
  <si>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</si>
  <si>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</si>
  <si>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</si>
  <si>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</si>
  <si>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</si>
  <si>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</si>
  <si>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</si>
  <si>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</si>
  <si>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</si>
  <si>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</si>
  <si>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</si>
  <si>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</si>
  <si>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</si>
  <si>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</si>
  <si>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</si>
  <si>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</si>
  <si>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</si>
  <si>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</si>
  <si>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</si>
  <si>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</si>
  <si>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</si>
  <si>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</si>
  <si>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</si>
  <si>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</si>
  <si>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</si>
  <si>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</si>
  <si>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</si>
  <si>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</si>
  <si>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</si>
  <si>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</si>
  <si>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</si>
  <si>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</si>
  <si>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</si>
  <si>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</si>
  <si>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</si>
  <si>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</si>
  <si>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</si>
  <si>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</si>
  <si>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</si>
  <si>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</si>
  <si>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</si>
  <si>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</si>
  <si>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</si>
  <si>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</si>
  <si>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</si>
  <si>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</si>
  <si>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</si>
  <si>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</si>
  <si>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</si>
  <si>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</si>
  <si>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</si>
  <si>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</si>
  <si>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</si>
  <si>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</si>
  <si>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</si>
  <si>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</si>
  <si>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</si>
  <si>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</si>
  <si>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</si>
  <si>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</si>
  <si>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</si>
  <si>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</si>
  <si>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</si>
  <si>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</si>
  <si>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</si>
  <si>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</si>
  <si>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</si>
  <si>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</si>
  <si>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</si>
  <si>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</si>
  <si>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</si>
  <si>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</si>
  <si>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</si>
  <si>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</si>
  <si>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</si>
  <si>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</si>
  <si>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</si>
  <si>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</si>
  <si>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</si>
  <si>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</si>
  <si>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</si>
  <si>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</si>
  <si>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</si>
  <si>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</si>
  <si>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</si>
  <si>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</si>
  <si>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</si>
  <si>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</si>
  <si>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</si>
  <si>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</si>
  <si>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</si>
  <si>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</si>
  <si>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</si>
  <si>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</si>
  <si>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</si>
  <si>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</si>
  <si>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</si>
  <si>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</si>
  <si>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</si>
  <si>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</si>
  <si>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</si>
  <si>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</si>
  <si>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</si>
  <si>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</si>
  <si>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</si>
  <si>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</si>
  <si>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</si>
  <si>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</si>
  <si>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</si>
  <si>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</si>
  <si>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</si>
  <si>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</si>
  <si>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</si>
  <si>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</si>
  <si>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</si>
  <si>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</si>
  <si>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</si>
  <si>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</si>
  <si>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</si>
  <si>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</si>
  <si>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</si>
  <si>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</si>
  <si>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</si>
  <si>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</si>
  <si>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</si>
  <si>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</si>
  <si>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</si>
  <si>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</si>
  <si>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</si>
  <si>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</si>
  <si>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</si>
  <si>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</si>
  <si>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</si>
  <si>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</si>
  <si>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</si>
  <si>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</si>
  <si>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</si>
  <si>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</si>
  <si>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</si>
  <si>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</si>
  <si>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</si>
  <si>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</si>
  <si>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</si>
  <si>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</si>
  <si>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</si>
  <si>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</si>
  <si>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</si>
  <si>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</si>
  <si>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</si>
  <si>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</si>
  <si>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</si>
  <si>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</si>
  <si>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</si>
  <si>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</si>
  <si>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</si>
  <si>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</si>
  <si>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</si>
  <si>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</si>
  <si>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</si>
  <si>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</si>
  <si>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</si>
  <si>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</si>
  <si>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</si>
  <si>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</si>
  <si>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</si>
  <si>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</si>
  <si>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</si>
  <si>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</si>
  <si>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</si>
  <si>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</si>
  <si>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</si>
  <si>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</si>
  <si>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</si>
  <si>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</si>
  <si>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</si>
  <si>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</si>
  <si>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</si>
  <si>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</si>
  <si>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</si>
  <si>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</si>
  <si>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</si>
  <si>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</si>
  <si>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</si>
  <si>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</si>
  <si>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</si>
  <si>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</si>
  <si>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</si>
  <si>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</si>
  <si>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</si>
  <si>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</si>
  <si>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</si>
  <si>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</si>
  <si>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</si>
  <si>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</si>
  <si>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</si>
  <si>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</si>
  <si>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</si>
  <si>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</si>
  <si>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</si>
  <si>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</si>
  <si>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</si>
  <si>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</si>
  <si>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</si>
  <si>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</si>
  <si>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</si>
  <si>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</si>
  <si>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</si>
  <si>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</si>
  <si>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</si>
  <si>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</si>
  <si>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</si>
  <si>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</si>
  <si>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</si>
  <si>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</si>
  <si>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</si>
  <si>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</si>
  <si>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</si>
  <si>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</si>
  <si>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</si>
  <si>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</si>
  <si>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</si>
  <si>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</si>
  <si>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</si>
  <si>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</si>
  <si>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</si>
  <si>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</si>
  <si>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</si>
  <si>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</si>
  <si>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</si>
  <si>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</si>
  <si>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</si>
  <si>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</si>
  <si>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</si>
  <si>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</si>
  <si>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</si>
  <si>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</si>
  <si>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</si>
  <si>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</si>
  <si>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</si>
  <si>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</si>
  <si>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</si>
  <si>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</si>
  <si>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</si>
  <si>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</si>
  <si>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</si>
  <si>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</si>
  <si>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</si>
  <si>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</si>
  <si>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</si>
  <si>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</si>
  <si>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</si>
  <si>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</si>
  <si>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</si>
  <si>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</si>
  <si>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</si>
  <si>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</si>
  <si>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</si>
  <si>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</si>
  <si>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</si>
  <si>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</si>
  <si>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</si>
  <si>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</si>
  <si>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</si>
  <si>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</si>
  <si>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</si>
  <si>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</si>
  <si>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</si>
  <si>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</si>
  <si>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</si>
  <si>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</si>
  <si>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</si>
  <si>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</si>
  <si>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</si>
  <si>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</si>
  <si>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</si>
  <si>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</si>
  <si>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</si>
  <si>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</si>
  <si>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</si>
  <si>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</si>
  <si>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</si>
  <si>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</si>
  <si>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</si>
  <si>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</si>
  <si>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</si>
  <si>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</si>
  <si>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</si>
  <si>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</si>
  <si>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</si>
  <si>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</si>
  <si>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</si>
  <si>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</si>
  <si>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</si>
  <si>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</si>
  <si>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</si>
  <si>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</si>
  <si>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</si>
  <si>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</si>
  <si>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</si>
  <si>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</si>
  <si>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</si>
  <si>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</si>
  <si>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</si>
  <si>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</si>
  <si>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</si>
  <si>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</si>
  <si>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</si>
  <si>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</si>
  <si>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</si>
  <si>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</si>
  <si>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</si>
  <si>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</si>
  <si>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</si>
  <si>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</si>
  <si>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</si>
  <si>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</si>
  <si>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</si>
  <si>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</si>
  <si>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</si>
  <si>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</si>
  <si>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</si>
  <si>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</si>
  <si>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</si>
  <si>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</si>
  <si>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</si>
  <si>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</si>
  <si>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</si>
  <si>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</si>
  <si>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</si>
  <si>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</si>
  <si>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</si>
  <si>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</si>
  <si>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</si>
  <si>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</si>
  <si>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</si>
  <si>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</si>
  <si>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</si>
  <si>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</si>
  <si>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</si>
  <si>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</si>
  <si>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</si>
  <si>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</si>
  <si>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</si>
  <si>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</si>
  <si>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</si>
  <si>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</si>
  <si>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</si>
  <si>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</si>
  <si>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</si>
  <si>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</si>
  <si>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</si>
  <si>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</si>
  <si>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</si>
  <si>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</si>
  <si>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</si>
  <si>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</si>
  <si>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</si>
  <si>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</si>
  <si>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</si>
  <si>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</si>
  <si>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</si>
  <si>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</si>
  <si>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BACKUS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</si>
  <si>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</si>
  <si>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</si>
  <si>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</si>
  <si>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</si>
  <si>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</si>
  <si>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</si>
  <si>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</si>
  <si>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</si>
  <si>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</si>
  <si>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</si>
  <si>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</si>
  <si>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</si>
  <si>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</si>
  <si>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</si>
  <si>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</si>
  <si>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</si>
  <si>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</si>
  <si>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</si>
  <si>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</si>
  <si>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</si>
  <si>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</si>
  <si>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</si>
  <si>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</si>
  <si>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</si>
  <si>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</si>
  <si>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</si>
  <si>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</si>
  <si>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</si>
  <si>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</si>
  <si>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</si>
  <si>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</si>
  <si>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</si>
  <si>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</si>
  <si>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</si>
  <si>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</si>
  <si>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</si>
  <si>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</si>
  <si>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</si>
  <si>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</si>
  <si>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</si>
  <si>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</si>
  <si>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</si>
  <si>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</si>
  <si>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</si>
  <si>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</si>
  <si>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</si>
  <si>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</si>
  <si>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</si>
  <si>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</si>
  <si>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</si>
  <si>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</si>
  <si>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</si>
  <si>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</si>
  <si>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</si>
  <si>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</si>
  <si>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</si>
  <si>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</si>
  <si>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</si>
  <si>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</si>
  <si>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</si>
  <si>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</si>
  <si>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</si>
  <si>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</si>
  <si>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</si>
  <si>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</si>
  <si>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</si>
  <si>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</si>
  <si>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</si>
  <si>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</si>
  <si>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</si>
  <si>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</si>
  <si>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</si>
  <si>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</si>
  <si>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</si>
  <si>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</si>
  <si>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</si>
  <si>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</si>
  <si>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</si>
  <si>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</si>
  <si>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</si>
  <si>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</si>
  <si>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</si>
  <si>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</si>
  <si>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</si>
  <si>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</si>
  <si>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</si>
  <si>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</si>
  <si>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</si>
  <si>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</si>
  <si>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</si>
  <si>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</si>
  <si>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</si>
  <si>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</si>
  <si>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</si>
  <si>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</si>
  <si>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</si>
  <si>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</si>
  <si>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</si>
  <si>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</si>
  <si>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</si>
  <si>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</si>
  <si>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</si>
  <si>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</si>
  <si>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BACKUS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</si>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</sst>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168" fontId="23" fillId="20" borderId="35" xfId="0" applyNumberFormat="1" applyFont="1" applyFill="1" applyBorder="1" applyAlignment="1">
      <alignment horizontal="center" wrapText="1"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8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168" fontId="23" fillId="0" borderId="38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156</v>
      </c>
      <c r="C1" s="3"/>
      <c r="D1" s="3"/>
      <c r="E1" s="4"/>
      <c r="F1" s="5"/>
    </row>
    <row r="2" spans="1:6" ht="24" customHeight="1">
      <c r="A2" s="3"/>
      <c r="B2" s="3" t="s">
        <v>157</v>
      </c>
      <c r="C2" s="3"/>
      <c r="D2" s="3"/>
      <c r="E2" s="4"/>
      <c r="F2" s="5"/>
    </row>
    <row r="3" spans="1:6" ht="24" customHeight="1">
      <c r="A3" s="3"/>
      <c r="B3" s="3" t="s">
        <v>158</v>
      </c>
      <c r="C3" s="3"/>
      <c r="D3" s="3"/>
      <c r="E3" s="4"/>
      <c r="F3" s="5"/>
    </row>
    <row r="4" spans="1:6" ht="24" customHeight="1">
      <c r="A4" s="3"/>
      <c r="B4" s="3" t="s">
        <v>159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160</v>
      </c>
      <c r="D7" s="10" t="s">
        <v>161</v>
      </c>
      <c r="E7" s="11" t="s">
        <v>162</v>
      </c>
      <c r="F7" s="11" t="s">
        <v>163</v>
      </c>
      <c r="H7" s="12"/>
    </row>
    <row r="8" spans="1:6" s="6" customFormat="1" ht="15.75" customHeight="1">
      <c r="A8" s="13" t="s">
        <v>164</v>
      </c>
      <c r="B8" s="13" t="s">
        <v>165</v>
      </c>
      <c r="C8" s="14" t="s">
        <v>166</v>
      </c>
      <c r="D8" s="14" t="s">
        <v>166</v>
      </c>
      <c r="E8" s="15" t="s">
        <v>167</v>
      </c>
      <c r="F8" s="15" t="s">
        <v>167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168</v>
      </c>
      <c r="B10" s="16" t="s">
        <v>169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170</v>
      </c>
      <c r="B12" s="16" t="s">
        <v>171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172</v>
      </c>
      <c r="C13" s="23">
        <v>46717416</v>
      </c>
      <c r="D13" s="23">
        <v>57570735</v>
      </c>
      <c r="E13" s="23">
        <f aca="true" t="shared" si="0" ref="E13:E22">D13-C13</f>
        <v>10853319</v>
      </c>
      <c r="F13" s="24">
        <f aca="true" t="shared" si="1" ref="F13:F22">IF(C13=0,0,E13/C13)</f>
        <v>0.2323184784021445</v>
      </c>
    </row>
    <row r="14" spans="1:6" ht="24" customHeight="1">
      <c r="A14" s="21">
        <v>2</v>
      </c>
      <c r="B14" s="22" t="s">
        <v>173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29.25" customHeight="1">
      <c r="A15" s="21">
        <v>3</v>
      </c>
      <c r="B15" s="22" t="s">
        <v>174</v>
      </c>
      <c r="C15" s="23">
        <v>33683248</v>
      </c>
      <c r="D15" s="23">
        <v>36111295</v>
      </c>
      <c r="E15" s="23">
        <f t="shared" si="0"/>
        <v>2428047</v>
      </c>
      <c r="F15" s="24">
        <f t="shared" si="1"/>
        <v>0.07208470513294918</v>
      </c>
    </row>
    <row r="16" spans="1:6" ht="24" customHeight="1">
      <c r="A16" s="21">
        <v>4</v>
      </c>
      <c r="B16" s="22" t="s">
        <v>175</v>
      </c>
      <c r="C16" s="23">
        <v>6648187</v>
      </c>
      <c r="D16" s="23">
        <v>7240812</v>
      </c>
      <c r="E16" s="23">
        <f t="shared" si="0"/>
        <v>592625</v>
      </c>
      <c r="F16" s="24">
        <f t="shared" si="1"/>
        <v>0.08914084396242164</v>
      </c>
    </row>
    <row r="17" spans="1:6" ht="24" customHeight="1">
      <c r="A17" s="21">
        <v>5</v>
      </c>
      <c r="B17" s="22" t="s">
        <v>176</v>
      </c>
      <c r="C17" s="23">
        <v>3388030</v>
      </c>
      <c r="D17" s="23">
        <v>3901924</v>
      </c>
      <c r="E17" s="23">
        <f t="shared" si="0"/>
        <v>513894</v>
      </c>
      <c r="F17" s="24">
        <f t="shared" si="1"/>
        <v>0.15167929445725098</v>
      </c>
    </row>
    <row r="18" spans="1:6" ht="24" customHeight="1">
      <c r="A18" s="21">
        <v>6</v>
      </c>
      <c r="B18" s="22" t="s">
        <v>177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178</v>
      </c>
      <c r="C19" s="23">
        <v>1923318</v>
      </c>
      <c r="D19" s="23">
        <v>3252641</v>
      </c>
      <c r="E19" s="23">
        <f t="shared" si="0"/>
        <v>1329323</v>
      </c>
      <c r="F19" s="24">
        <f t="shared" si="1"/>
        <v>0.691161316017424</v>
      </c>
    </row>
    <row r="20" spans="1:6" ht="24" customHeight="1">
      <c r="A20" s="21">
        <v>8</v>
      </c>
      <c r="B20" s="22" t="s">
        <v>179</v>
      </c>
      <c r="C20" s="23">
        <v>1760273</v>
      </c>
      <c r="D20" s="23">
        <v>905576</v>
      </c>
      <c r="E20" s="23">
        <f t="shared" si="0"/>
        <v>-854697</v>
      </c>
      <c r="F20" s="24">
        <f t="shared" si="1"/>
        <v>-0.4855479803416856</v>
      </c>
    </row>
    <row r="21" spans="1:6" ht="24" customHeight="1">
      <c r="A21" s="21">
        <v>9</v>
      </c>
      <c r="B21" s="22" t="s">
        <v>180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6" ht="24" customHeight="1">
      <c r="A22" s="25"/>
      <c r="B22" s="26" t="s">
        <v>181</v>
      </c>
      <c r="C22" s="27">
        <f>SUM(C13:C21)</f>
        <v>94120472</v>
      </c>
      <c r="D22" s="27">
        <f>SUM(D13:D21)</f>
        <v>108982983</v>
      </c>
      <c r="E22" s="27">
        <f t="shared" si="0"/>
        <v>14862511</v>
      </c>
      <c r="F22" s="28">
        <f t="shared" si="1"/>
        <v>0.1579094397231667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182</v>
      </c>
      <c r="B24" s="30" t="s">
        <v>183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184</v>
      </c>
      <c r="C25" s="23">
        <v>18156456</v>
      </c>
      <c r="D25" s="23">
        <v>22743662</v>
      </c>
      <c r="E25" s="23">
        <f>D25-C25</f>
        <v>4587206</v>
      </c>
      <c r="F25" s="24">
        <f>IF(C25=0,0,E25/C25)</f>
        <v>0.2526487548010471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185</v>
      </c>
      <c r="C26" s="23">
        <v>36354725</v>
      </c>
      <c r="D26" s="23">
        <v>37259421</v>
      </c>
      <c r="E26" s="23">
        <f>D26-C26</f>
        <v>904696</v>
      </c>
      <c r="F26" s="24">
        <f>IF(C26=0,0,E26/C26)</f>
        <v>0.024885238438744895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186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187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24" customHeight="1">
      <c r="A29" s="25"/>
      <c r="B29" s="26" t="s">
        <v>188</v>
      </c>
      <c r="C29" s="27">
        <f>SUM(C25:C28)</f>
        <v>54511181</v>
      </c>
      <c r="D29" s="27">
        <f>SUM(D25:D28)</f>
        <v>60003083</v>
      </c>
      <c r="E29" s="27">
        <f>D29-C29</f>
        <v>5491902</v>
      </c>
      <c r="F29" s="28">
        <f>IF(C29=0,0,E29/C29)</f>
        <v>0.10074817494781484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189</v>
      </c>
      <c r="C31" s="23">
        <v>39032937</v>
      </c>
      <c r="D31" s="23">
        <v>41147474</v>
      </c>
      <c r="E31" s="23">
        <f>D31-C31</f>
        <v>2114537</v>
      </c>
      <c r="F31" s="24">
        <f>IF(C31=0,0,E31/C31)</f>
        <v>0.054173146130407766</v>
      </c>
    </row>
    <row r="32" spans="1:6" ht="24" customHeight="1">
      <c r="A32" s="21">
        <v>6</v>
      </c>
      <c r="B32" s="22" t="s">
        <v>190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191</v>
      </c>
      <c r="C33" s="23">
        <v>5906735</v>
      </c>
      <c r="D33" s="23">
        <v>3827148</v>
      </c>
      <c r="E33" s="23">
        <f>D33-C33</f>
        <v>-2079587</v>
      </c>
      <c r="F33" s="24">
        <f>IF(C33=0,0,E33/C33)</f>
        <v>-0.3520704754826482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192</v>
      </c>
      <c r="B35" s="30" t="s">
        <v>193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194</v>
      </c>
      <c r="C36" s="23">
        <v>191006781</v>
      </c>
      <c r="D36" s="23">
        <v>208277975</v>
      </c>
      <c r="E36" s="23">
        <f>D36-C36</f>
        <v>17271194</v>
      </c>
      <c r="F36" s="24">
        <f>IF(C36=0,0,E36/C36)</f>
        <v>0.09042188926266445</v>
      </c>
    </row>
    <row r="37" spans="1:6" ht="24" customHeight="1">
      <c r="A37" s="21">
        <v>2</v>
      </c>
      <c r="B37" s="22" t="s">
        <v>195</v>
      </c>
      <c r="C37" s="23">
        <v>100305907</v>
      </c>
      <c r="D37" s="23">
        <v>114398504</v>
      </c>
      <c r="E37" s="23">
        <f>D37-C37</f>
        <v>14092597</v>
      </c>
      <c r="F37" s="24">
        <f>IF(C37=0,0,E37/C37)</f>
        <v>0.14049618234347855</v>
      </c>
    </row>
    <row r="38" spans="1:6" ht="24" customHeight="1">
      <c r="A38" s="25"/>
      <c r="B38" s="26" t="s">
        <v>196</v>
      </c>
      <c r="C38" s="27">
        <f>C36-C37</f>
        <v>90700874</v>
      </c>
      <c r="D38" s="27">
        <f>D36-D37</f>
        <v>93879471</v>
      </c>
      <c r="E38" s="27">
        <f>D38-C38</f>
        <v>3178597</v>
      </c>
      <c r="F38" s="28">
        <f>IF(C38=0,0,E38/C38)</f>
        <v>0.0350448331953229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197</v>
      </c>
      <c r="C40" s="23">
        <v>4429799</v>
      </c>
      <c r="D40" s="23">
        <v>4251661</v>
      </c>
      <c r="E40" s="23">
        <f>D40-C40</f>
        <v>-178138</v>
      </c>
      <c r="F40" s="24">
        <f>IF(C40=0,0,E40/C40)</f>
        <v>-0.040213562737270926</v>
      </c>
    </row>
    <row r="41" spans="1:6" ht="24" customHeight="1">
      <c r="A41" s="25"/>
      <c r="B41" s="26" t="s">
        <v>198</v>
      </c>
      <c r="C41" s="27">
        <f>+C38+C40</f>
        <v>95130673</v>
      </c>
      <c r="D41" s="27">
        <f>+D38+D40</f>
        <v>98131132</v>
      </c>
      <c r="E41" s="27">
        <f>D41-C41</f>
        <v>3000459</v>
      </c>
      <c r="F41" s="28">
        <f>IF(C41=0,0,E41/C41)</f>
        <v>0.031540394968087734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199</v>
      </c>
      <c r="C43" s="27">
        <f>C22+C29+C31+C32+C33+C41</f>
        <v>288701998</v>
      </c>
      <c r="D43" s="27">
        <f>D22+D29+D31+D32+D33+D41</f>
        <v>312091820</v>
      </c>
      <c r="E43" s="27">
        <f>D43-C43</f>
        <v>23389822</v>
      </c>
      <c r="F43" s="28">
        <f>IF(C43=0,0,E43/C43)</f>
        <v>0.08101718090638223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200</v>
      </c>
      <c r="B46" s="16" t="s">
        <v>201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170</v>
      </c>
      <c r="B48" s="41" t="s">
        <v>202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203</v>
      </c>
      <c r="C49" s="23">
        <v>9994419</v>
      </c>
      <c r="D49" s="23">
        <v>10508835</v>
      </c>
      <c r="E49" s="23">
        <f aca="true" t="shared" si="2" ref="E49:E56">D49-C49</f>
        <v>514416</v>
      </c>
      <c r="F49" s="24">
        <f aca="true" t="shared" si="3" ref="F49:F56">IF(C49=0,0,E49/C49)</f>
        <v>0.051470325588711056</v>
      </c>
    </row>
    <row r="50" spans="1:6" ht="24" customHeight="1">
      <c r="A50" s="21">
        <f aca="true" t="shared" si="4" ref="A50:A55">1+A49</f>
        <v>2</v>
      </c>
      <c r="B50" s="22" t="s">
        <v>204</v>
      </c>
      <c r="C50" s="23">
        <v>6787976</v>
      </c>
      <c r="D50" s="23">
        <v>8205022</v>
      </c>
      <c r="E50" s="23">
        <f t="shared" si="2"/>
        <v>1417046</v>
      </c>
      <c r="F50" s="24">
        <f t="shared" si="3"/>
        <v>0.20875825135504308</v>
      </c>
    </row>
    <row r="51" spans="1:6" ht="24" customHeight="1">
      <c r="A51" s="21">
        <f t="shared" si="4"/>
        <v>3</v>
      </c>
      <c r="B51" s="22" t="s">
        <v>205</v>
      </c>
      <c r="C51" s="23">
        <v>1270638</v>
      </c>
      <c r="D51" s="23">
        <v>1831013</v>
      </c>
      <c r="E51" s="23">
        <f t="shared" si="2"/>
        <v>560375</v>
      </c>
      <c r="F51" s="24">
        <f t="shared" si="3"/>
        <v>0.4410186064008789</v>
      </c>
    </row>
    <row r="52" spans="1:6" ht="24" customHeight="1">
      <c r="A52" s="21">
        <f t="shared" si="4"/>
        <v>4</v>
      </c>
      <c r="B52" s="22" t="s">
        <v>206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207</v>
      </c>
      <c r="C53" s="23">
        <v>1755000</v>
      </c>
      <c r="D53" s="23">
        <v>1825000</v>
      </c>
      <c r="E53" s="23">
        <f t="shared" si="2"/>
        <v>70000</v>
      </c>
      <c r="F53" s="24">
        <f t="shared" si="3"/>
        <v>0.039886039886039885</v>
      </c>
    </row>
    <row r="54" spans="1:6" ht="24" customHeight="1">
      <c r="A54" s="21">
        <f t="shared" si="4"/>
        <v>6</v>
      </c>
      <c r="B54" s="22" t="s">
        <v>208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209</v>
      </c>
      <c r="C55" s="23">
        <v>6722114</v>
      </c>
      <c r="D55" s="23">
        <v>7188517</v>
      </c>
      <c r="E55" s="23">
        <f t="shared" si="2"/>
        <v>466403</v>
      </c>
      <c r="F55" s="24">
        <f t="shared" si="3"/>
        <v>0.06938338147791008</v>
      </c>
    </row>
    <row r="56" spans="1:6" ht="24" customHeight="1">
      <c r="A56" s="25"/>
      <c r="B56" s="26" t="s">
        <v>210</v>
      </c>
      <c r="C56" s="27">
        <f>SUM(C49:C55)</f>
        <v>26530147</v>
      </c>
      <c r="D56" s="27">
        <f>SUM(D49:D55)</f>
        <v>29558387</v>
      </c>
      <c r="E56" s="27">
        <f t="shared" si="2"/>
        <v>3028240</v>
      </c>
      <c r="F56" s="28">
        <f t="shared" si="3"/>
        <v>0.11414335548159608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182</v>
      </c>
      <c r="B58" s="41" t="s">
        <v>211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212</v>
      </c>
      <c r="C59" s="23">
        <v>65808169</v>
      </c>
      <c r="D59" s="23">
        <v>63931536</v>
      </c>
      <c r="E59" s="23">
        <f>D59-C59</f>
        <v>-1876633</v>
      </c>
      <c r="F59" s="24">
        <f>IF(C59=0,0,E59/C59)</f>
        <v>-0.028516718038455072</v>
      </c>
    </row>
    <row r="60" spans="1:6" ht="24" customHeight="1">
      <c r="A60" s="21">
        <v>2</v>
      </c>
      <c r="B60" s="22" t="s">
        <v>213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214</v>
      </c>
      <c r="C61" s="27">
        <f>SUM(C59:C60)</f>
        <v>65808169</v>
      </c>
      <c r="D61" s="27">
        <f>SUM(D59:D60)</f>
        <v>63931536</v>
      </c>
      <c r="E61" s="27">
        <f>D61-C61</f>
        <v>-1876633</v>
      </c>
      <c r="F61" s="28">
        <f>IF(C61=0,0,E61/C61)</f>
        <v>-0.028516718038455072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215</v>
      </c>
      <c r="C63" s="23">
        <v>35623338</v>
      </c>
      <c r="D63" s="23">
        <v>75300446</v>
      </c>
      <c r="E63" s="23">
        <f>D63-C63</f>
        <v>39677108</v>
      </c>
      <c r="F63" s="24">
        <f>IF(C63=0,0,E63/C63)</f>
        <v>1.1137953439399755</v>
      </c>
    </row>
    <row r="64" spans="1:6" ht="24" customHeight="1">
      <c r="A64" s="21">
        <v>4</v>
      </c>
      <c r="B64" s="22" t="s">
        <v>216</v>
      </c>
      <c r="C64" s="23">
        <v>19952258</v>
      </c>
      <c r="D64" s="23">
        <v>30697882</v>
      </c>
      <c r="E64" s="23">
        <f>D64-C64</f>
        <v>10745624</v>
      </c>
      <c r="F64" s="24">
        <f>IF(C64=0,0,E64/C64)</f>
        <v>0.5385668128389278</v>
      </c>
    </row>
    <row r="65" spans="1:6" ht="24" customHeight="1">
      <c r="A65" s="25"/>
      <c r="B65" s="26" t="s">
        <v>217</v>
      </c>
      <c r="C65" s="27">
        <f>SUM(C61:C64)</f>
        <v>121383765</v>
      </c>
      <c r="D65" s="27">
        <f>SUM(D61:D64)</f>
        <v>169929864</v>
      </c>
      <c r="E65" s="27">
        <f>D65-C65</f>
        <v>48546099</v>
      </c>
      <c r="F65" s="28">
        <f>IF(C65=0,0,E65/C65)</f>
        <v>0.39993897865995504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218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192</v>
      </c>
      <c r="B69" s="41" t="s">
        <v>219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220</v>
      </c>
      <c r="C70" s="23">
        <v>132391851</v>
      </c>
      <c r="D70" s="23">
        <v>102294307</v>
      </c>
      <c r="E70" s="23">
        <f>D70-C70</f>
        <v>-30097544</v>
      </c>
      <c r="F70" s="24">
        <f>IF(C70=0,0,E70/C70)</f>
        <v>-0.2273368320834188</v>
      </c>
    </row>
    <row r="71" spans="1:6" ht="24" customHeight="1">
      <c r="A71" s="21">
        <v>2</v>
      </c>
      <c r="B71" s="22" t="s">
        <v>221</v>
      </c>
      <c r="C71" s="23">
        <v>2475427</v>
      </c>
      <c r="D71" s="23">
        <v>3447432</v>
      </c>
      <c r="E71" s="23">
        <f>D71-C71</f>
        <v>972005</v>
      </c>
      <c r="F71" s="24">
        <f>IF(C71=0,0,E71/C71)</f>
        <v>0.39266154889641264</v>
      </c>
    </row>
    <row r="72" spans="1:6" ht="24" customHeight="1">
      <c r="A72" s="21">
        <v>3</v>
      </c>
      <c r="B72" s="22" t="s">
        <v>222</v>
      </c>
      <c r="C72" s="23">
        <v>5920808</v>
      </c>
      <c r="D72" s="23">
        <v>6861830</v>
      </c>
      <c r="E72" s="23">
        <f>D72-C72</f>
        <v>941022</v>
      </c>
      <c r="F72" s="24">
        <f>IF(C72=0,0,E72/C72)</f>
        <v>0.15893472647652146</v>
      </c>
    </row>
    <row r="73" spans="1:6" ht="24" customHeight="1">
      <c r="A73" s="21"/>
      <c r="B73" s="26" t="s">
        <v>223</v>
      </c>
      <c r="C73" s="27">
        <f>SUM(C70:C72)</f>
        <v>140788086</v>
      </c>
      <c r="D73" s="27">
        <f>SUM(D70:D72)</f>
        <v>112603569</v>
      </c>
      <c r="E73" s="27">
        <f>D73-C73</f>
        <v>-28184517</v>
      </c>
      <c r="F73" s="28">
        <f>IF(C73=0,0,E73/C73)</f>
        <v>-0.20019106588323105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224</v>
      </c>
      <c r="C75" s="27">
        <f>C56+C65+C67+C73</f>
        <v>288701998</v>
      </c>
      <c r="D75" s="27">
        <f>D56+D65+D67+D73</f>
        <v>312091820</v>
      </c>
      <c r="E75" s="27">
        <f>D75-C75</f>
        <v>23389822</v>
      </c>
      <c r="F75" s="28">
        <f>IF(C75=0,0,E75/C75)</f>
        <v>0.08101718090638223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FILING&amp;RWILLIAM W. BACKUS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635</v>
      </c>
      <c r="B1" s="696"/>
      <c r="C1" s="696"/>
      <c r="D1" s="696"/>
      <c r="E1" s="697"/>
    </row>
    <row r="2" spans="1:5" ht="24" customHeight="1">
      <c r="A2" s="695" t="s">
        <v>157</v>
      </c>
      <c r="B2" s="696"/>
      <c r="C2" s="696"/>
      <c r="D2" s="696"/>
      <c r="E2" s="697"/>
    </row>
    <row r="3" spans="1:5" ht="24" customHeight="1">
      <c r="A3" s="695" t="s">
        <v>158</v>
      </c>
      <c r="B3" s="696"/>
      <c r="C3" s="696"/>
      <c r="D3" s="696"/>
      <c r="E3" s="697"/>
    </row>
    <row r="4" spans="1:5" ht="24" customHeight="1">
      <c r="A4" s="695" t="s">
        <v>638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166</v>
      </c>
      <c r="D7" s="59" t="s">
        <v>166</v>
      </c>
      <c r="E7" s="59" t="s">
        <v>166</v>
      </c>
      <c r="F7" s="59"/>
    </row>
    <row r="8" spans="1:6" ht="24" customHeight="1">
      <c r="A8" s="61" t="s">
        <v>164</v>
      </c>
      <c r="B8" s="62" t="s">
        <v>165</v>
      </c>
      <c r="C8" s="264" t="s">
        <v>463</v>
      </c>
      <c r="D8" s="264" t="s">
        <v>160</v>
      </c>
      <c r="E8" s="264" t="s">
        <v>161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170</v>
      </c>
      <c r="B10" s="187" t="s">
        <v>639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640</v>
      </c>
      <c r="C11" s="51">
        <v>221834947</v>
      </c>
      <c r="D11" s="51">
        <v>251767293</v>
      </c>
      <c r="E11" s="51">
        <v>271765388</v>
      </c>
      <c r="F11" s="28"/>
    </row>
    <row r="12" spans="1:6" ht="24" customHeight="1">
      <c r="A12" s="44">
        <v>2</v>
      </c>
      <c r="B12" s="48" t="s">
        <v>232</v>
      </c>
      <c r="C12" s="49">
        <v>7969204</v>
      </c>
      <c r="D12" s="49">
        <v>5003372</v>
      </c>
      <c r="E12" s="49">
        <v>4498687</v>
      </c>
      <c r="F12" s="28"/>
    </row>
    <row r="13" spans="1:6" s="56" customFormat="1" ht="24" customHeight="1">
      <c r="A13" s="44">
        <v>3</v>
      </c>
      <c r="B13" s="48" t="s">
        <v>234</v>
      </c>
      <c r="C13" s="51">
        <f>+C11+C12</f>
        <v>229804151</v>
      </c>
      <c r="D13" s="51">
        <f>+D11+D12</f>
        <v>256770665</v>
      </c>
      <c r="E13" s="51">
        <f>+E11+E12</f>
        <v>276264075</v>
      </c>
      <c r="F13" s="70"/>
    </row>
    <row r="14" spans="1:6" s="56" customFormat="1" ht="24" customHeight="1">
      <c r="A14" s="44">
        <v>4</v>
      </c>
      <c r="B14" s="48" t="s">
        <v>245</v>
      </c>
      <c r="C14" s="49">
        <v>220221850</v>
      </c>
      <c r="D14" s="49">
        <v>251916811</v>
      </c>
      <c r="E14" s="49">
        <v>268287931</v>
      </c>
      <c r="F14" s="70"/>
    </row>
    <row r="15" spans="1:6" s="56" customFormat="1" ht="24" customHeight="1">
      <c r="A15" s="44">
        <v>5</v>
      </c>
      <c r="B15" s="48" t="s">
        <v>246</v>
      </c>
      <c r="C15" s="51">
        <f>+C13-C14</f>
        <v>9582301</v>
      </c>
      <c r="D15" s="51">
        <f>+D13-D14</f>
        <v>4853854</v>
      </c>
      <c r="E15" s="51">
        <f>+E13-E14</f>
        <v>7976144</v>
      </c>
      <c r="F15" s="70"/>
    </row>
    <row r="16" spans="1:6" s="56" customFormat="1" ht="24" customHeight="1">
      <c r="A16" s="44">
        <v>6</v>
      </c>
      <c r="B16" s="48" t="s">
        <v>251</v>
      </c>
      <c r="C16" s="49">
        <v>10814964</v>
      </c>
      <c r="D16" s="49">
        <v>-12381815</v>
      </c>
      <c r="E16" s="49">
        <v>5607279</v>
      </c>
      <c r="F16" s="70"/>
    </row>
    <row r="17" spans="1:6" s="56" customFormat="1" ht="24" customHeight="1">
      <c r="A17" s="44">
        <v>7</v>
      </c>
      <c r="B17" s="45" t="s">
        <v>466</v>
      </c>
      <c r="C17" s="51">
        <f>C15+C16</f>
        <v>20397265</v>
      </c>
      <c r="D17" s="51">
        <f>D15+D16</f>
        <v>-7527961</v>
      </c>
      <c r="E17" s="51">
        <f>E15+E16</f>
        <v>13583423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182</v>
      </c>
      <c r="B19" s="30" t="s">
        <v>641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642</v>
      </c>
      <c r="C20" s="169">
        <f>IF(+C27=0,0,+C24/+C27)</f>
        <v>0.03982352357999488</v>
      </c>
      <c r="D20" s="169">
        <f>IF(+D27=0,0,+D24/+D27)</f>
        <v>0.019861192521671917</v>
      </c>
      <c r="E20" s="169">
        <f>IF(+E27=0,0,+E24/+E27)</f>
        <v>0.028297107481166744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643</v>
      </c>
      <c r="C21" s="169">
        <f>IF(+C27=0,0,+C26/+C27)</f>
        <v>0.04494640419569326</v>
      </c>
      <c r="D21" s="169">
        <f>IF(+D27=0,0,+D26/+D27)</f>
        <v>-0.05066440224257367</v>
      </c>
      <c r="E21" s="169">
        <f>IF(+E27=0,0,+E26/+E27)</f>
        <v>0.019893043122076178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644</v>
      </c>
      <c r="C22" s="169">
        <f>IF(+C27=0,0,+C28/+C27)</f>
        <v>0.08476992777568815</v>
      </c>
      <c r="D22" s="169">
        <f>IF(+D27=0,0,+D28/+D27)</f>
        <v>-0.030803209720901753</v>
      </c>
      <c r="E22" s="169">
        <f>IF(+E27=0,0,+E28/+E27)</f>
        <v>0.04819015060324292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246</v>
      </c>
      <c r="C24" s="51">
        <f>+C15</f>
        <v>9582301</v>
      </c>
      <c r="D24" s="51">
        <f>+D15</f>
        <v>4853854</v>
      </c>
      <c r="E24" s="51">
        <f>+E15</f>
        <v>7976144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234</v>
      </c>
      <c r="C25" s="51">
        <f>+C13</f>
        <v>229804151</v>
      </c>
      <c r="D25" s="51">
        <f>+D13</f>
        <v>256770665</v>
      </c>
      <c r="E25" s="51">
        <f>+E13</f>
        <v>276264075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251</v>
      </c>
      <c r="C26" s="51">
        <f>+C16</f>
        <v>10814964</v>
      </c>
      <c r="D26" s="51">
        <f>+D16</f>
        <v>-12381815</v>
      </c>
      <c r="E26" s="51">
        <f>+E16</f>
        <v>5607279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471</v>
      </c>
      <c r="C27" s="51">
        <f>SUM(C25:C26)</f>
        <v>240619115</v>
      </c>
      <c r="D27" s="51">
        <f>SUM(D25:D26)</f>
        <v>244388850</v>
      </c>
      <c r="E27" s="51">
        <f>SUM(E25:E26)</f>
        <v>281871354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466</v>
      </c>
      <c r="C28" s="51">
        <f>+C17</f>
        <v>20397265</v>
      </c>
      <c r="D28" s="51">
        <f>+D17</f>
        <v>-7527961</v>
      </c>
      <c r="E28" s="51">
        <f>+E17</f>
        <v>13583423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192</v>
      </c>
      <c r="B30" s="41" t="s">
        <v>645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646</v>
      </c>
      <c r="C31" s="51">
        <v>159117857</v>
      </c>
      <c r="D31" s="51">
        <v>136705366</v>
      </c>
      <c r="E31" s="52">
        <v>104776463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647</v>
      </c>
      <c r="C32" s="51">
        <v>168392530</v>
      </c>
      <c r="D32" s="51">
        <v>145101601</v>
      </c>
      <c r="E32" s="51">
        <v>115085725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648</v>
      </c>
      <c r="C33" s="51">
        <v>168392530</v>
      </c>
      <c r="D33" s="51">
        <f>+D32-C32</f>
        <v>-23290929</v>
      </c>
      <c r="E33" s="51">
        <f>+E32-D32</f>
        <v>-30015876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649</v>
      </c>
      <c r="C34" s="171">
        <v>0</v>
      </c>
      <c r="D34" s="171">
        <f>IF(C32=0,0,+D33/C32)</f>
        <v>-0.13831331472957856</v>
      </c>
      <c r="E34" s="171">
        <f>IF(D32=0,0,+E33/D32)</f>
        <v>-0.20686109452369172</v>
      </c>
      <c r="F34" s="28"/>
    </row>
    <row r="35" spans="5:6" ht="24" customHeight="1">
      <c r="E35" s="55"/>
      <c r="F35" s="28"/>
    </row>
    <row r="36" spans="1:6" ht="15.75" customHeight="1">
      <c r="A36" s="20" t="s">
        <v>477</v>
      </c>
      <c r="B36" s="16" t="s">
        <v>499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500</v>
      </c>
      <c r="C38" s="269">
        <f>IF(+C40=0,0,+C39/+C40)</f>
        <v>3.0881199585021695</v>
      </c>
      <c r="D38" s="269">
        <f>IF(+D40=0,0,+D39/+D40)</f>
        <v>3.4192226774095316</v>
      </c>
      <c r="E38" s="269">
        <f>IF(+E40=0,0,+E39/+E40)</f>
        <v>3.322966918058877</v>
      </c>
      <c r="F38" s="28"/>
    </row>
    <row r="39" spans="1:6" ht="24" customHeight="1">
      <c r="A39" s="17">
        <v>2</v>
      </c>
      <c r="B39" s="45" t="s">
        <v>181</v>
      </c>
      <c r="C39" s="270">
        <v>87543476</v>
      </c>
      <c r="D39" s="270">
        <v>97840503</v>
      </c>
      <c r="E39" s="270">
        <v>112352984</v>
      </c>
      <c r="F39" s="28"/>
    </row>
    <row r="40" spans="1:5" ht="24" customHeight="1">
      <c r="A40" s="17">
        <v>3</v>
      </c>
      <c r="B40" s="45" t="s">
        <v>210</v>
      </c>
      <c r="C40" s="270">
        <v>28348470</v>
      </c>
      <c r="D40" s="270">
        <v>28614838</v>
      </c>
      <c r="E40" s="270">
        <v>33811045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501</v>
      </c>
      <c r="C42" s="271">
        <f>IF((C48/365)=0,0,+C45/(C48/365))</f>
        <v>83.05721263996305</v>
      </c>
      <c r="D42" s="271">
        <f>IF((D48/365)=0,0,+D45/(D48/365))</f>
        <v>78.2932579663247</v>
      </c>
      <c r="E42" s="271">
        <f>IF((E48/365)=0,0,+E45/(E48/365))</f>
        <v>90.40181971273199</v>
      </c>
    </row>
    <row r="43" spans="1:5" ht="24" customHeight="1">
      <c r="A43" s="17">
        <v>5</v>
      </c>
      <c r="B43" s="188" t="s">
        <v>172</v>
      </c>
      <c r="C43" s="272">
        <v>47187854</v>
      </c>
      <c r="D43" s="272">
        <v>50429864</v>
      </c>
      <c r="E43" s="272">
        <v>62155067</v>
      </c>
    </row>
    <row r="44" spans="1:5" ht="24" customHeight="1">
      <c r="A44" s="17">
        <v>6</v>
      </c>
      <c r="B44" s="273" t="s">
        <v>173</v>
      </c>
      <c r="C44" s="274">
        <v>0</v>
      </c>
      <c r="D44" s="274">
        <v>0</v>
      </c>
      <c r="E44" s="274">
        <v>0</v>
      </c>
    </row>
    <row r="45" spans="1:5" ht="24" customHeight="1">
      <c r="A45" s="17">
        <v>7</v>
      </c>
      <c r="B45" s="45" t="s">
        <v>502</v>
      </c>
      <c r="C45" s="270">
        <f>+C43+C44</f>
        <v>47187854</v>
      </c>
      <c r="D45" s="270">
        <f>+D43+D44</f>
        <v>50429864</v>
      </c>
      <c r="E45" s="270">
        <f>+E43+E44</f>
        <v>62155067</v>
      </c>
    </row>
    <row r="46" spans="1:5" ht="24" customHeight="1">
      <c r="A46" s="17">
        <v>8</v>
      </c>
      <c r="B46" s="45" t="s">
        <v>480</v>
      </c>
      <c r="C46" s="270">
        <f>+C14</f>
        <v>220221850</v>
      </c>
      <c r="D46" s="270">
        <f>+D14</f>
        <v>251916811</v>
      </c>
      <c r="E46" s="270">
        <f>+E14</f>
        <v>268287931</v>
      </c>
    </row>
    <row r="47" spans="1:5" ht="24" customHeight="1">
      <c r="A47" s="17">
        <v>9</v>
      </c>
      <c r="B47" s="45" t="s">
        <v>503</v>
      </c>
      <c r="C47" s="270">
        <v>12851940</v>
      </c>
      <c r="D47" s="270">
        <v>16814826</v>
      </c>
      <c r="E47" s="270">
        <v>17335024</v>
      </c>
    </row>
    <row r="48" spans="1:5" ht="24" customHeight="1">
      <c r="A48" s="17">
        <v>10</v>
      </c>
      <c r="B48" s="45" t="s">
        <v>504</v>
      </c>
      <c r="C48" s="270">
        <f>+C46-C47</f>
        <v>207369910</v>
      </c>
      <c r="D48" s="270">
        <f>+D46-D47</f>
        <v>235101985</v>
      </c>
      <c r="E48" s="270">
        <f>+E46-E47</f>
        <v>250952907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505</v>
      </c>
      <c r="C50" s="278">
        <f>IF((C55/365)=0,0,+C54/(C55/365))</f>
        <v>49.50748573893544</v>
      </c>
      <c r="D50" s="278">
        <f>IF((D55/365)=0,0,+D54/(D55/365))</f>
        <v>49.33909415707941</v>
      </c>
      <c r="E50" s="278">
        <f>IF((E55/365)=0,0,+E54/(E55/365))</f>
        <v>47.976435928625314</v>
      </c>
    </row>
    <row r="51" spans="1:5" ht="24" customHeight="1">
      <c r="A51" s="17">
        <v>12</v>
      </c>
      <c r="B51" s="188" t="s">
        <v>506</v>
      </c>
      <c r="C51" s="279">
        <v>31517555</v>
      </c>
      <c r="D51" s="279">
        <v>35783224</v>
      </c>
      <c r="E51" s="279">
        <v>38032269</v>
      </c>
    </row>
    <row r="52" spans="1:5" ht="24" customHeight="1">
      <c r="A52" s="17">
        <v>13</v>
      </c>
      <c r="B52" s="188" t="s">
        <v>177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205</v>
      </c>
      <c r="C53" s="270">
        <v>1428540</v>
      </c>
      <c r="D53" s="270">
        <v>1750429</v>
      </c>
      <c r="E53" s="270">
        <v>2310804</v>
      </c>
    </row>
    <row r="54" spans="1:5" ht="32.25" customHeight="1">
      <c r="A54" s="17">
        <v>15</v>
      </c>
      <c r="B54" s="45" t="s">
        <v>507</v>
      </c>
      <c r="C54" s="280">
        <f>+C51+C52-C53</f>
        <v>30089015</v>
      </c>
      <c r="D54" s="280">
        <f>+D51+D52-D53</f>
        <v>34032795</v>
      </c>
      <c r="E54" s="280">
        <f>+E51+E52-E53</f>
        <v>35721465</v>
      </c>
    </row>
    <row r="55" spans="1:5" ht="24" customHeight="1">
      <c r="A55" s="17">
        <v>16</v>
      </c>
      <c r="B55" s="45" t="s">
        <v>231</v>
      </c>
      <c r="C55" s="270">
        <f>+C11</f>
        <v>221834947</v>
      </c>
      <c r="D55" s="270">
        <f>+D11</f>
        <v>251767293</v>
      </c>
      <c r="E55" s="270">
        <f>+E11</f>
        <v>271765388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508</v>
      </c>
      <c r="C57" s="283">
        <f>IF((C61/365)=0,0,+C58/(C61/365))</f>
        <v>49.89726595338736</v>
      </c>
      <c r="D57" s="283">
        <f>IF((D61/365)=0,0,+D58/(D61/365))</f>
        <v>44.42504332747339</v>
      </c>
      <c r="E57" s="283">
        <f>IF((E61/365)=0,0,+E58/(E61/365))</f>
        <v>49.176682480111694</v>
      </c>
    </row>
    <row r="58" spans="1:5" ht="24" customHeight="1">
      <c r="A58" s="17">
        <v>18</v>
      </c>
      <c r="B58" s="45" t="s">
        <v>210</v>
      </c>
      <c r="C58" s="281">
        <f>+C40</f>
        <v>28348470</v>
      </c>
      <c r="D58" s="281">
        <f>+D40</f>
        <v>28614838</v>
      </c>
      <c r="E58" s="281">
        <f>+E40</f>
        <v>33811045</v>
      </c>
    </row>
    <row r="59" spans="1:5" ht="24" customHeight="1">
      <c r="A59" s="17">
        <v>19</v>
      </c>
      <c r="B59" s="45" t="s">
        <v>480</v>
      </c>
      <c r="C59" s="281">
        <f aca="true" t="shared" si="0" ref="C59:E60">+C46</f>
        <v>220221850</v>
      </c>
      <c r="D59" s="281">
        <f t="shared" si="0"/>
        <v>251916811</v>
      </c>
      <c r="E59" s="281">
        <f t="shared" si="0"/>
        <v>268287931</v>
      </c>
    </row>
    <row r="60" spans="1:5" ht="24" customHeight="1">
      <c r="A60" s="17">
        <v>20</v>
      </c>
      <c r="B60" s="45" t="s">
        <v>503</v>
      </c>
      <c r="C60" s="176">
        <f t="shared" si="0"/>
        <v>12851940</v>
      </c>
      <c r="D60" s="176">
        <f t="shared" si="0"/>
        <v>16814826</v>
      </c>
      <c r="E60" s="176">
        <f t="shared" si="0"/>
        <v>17335024</v>
      </c>
    </row>
    <row r="61" spans="1:5" ht="24" customHeight="1">
      <c r="A61" s="17">
        <v>21</v>
      </c>
      <c r="B61" s="45" t="s">
        <v>509</v>
      </c>
      <c r="C61" s="281">
        <f>+C59-C60</f>
        <v>207369910</v>
      </c>
      <c r="D61" s="281">
        <f>+D59-D60</f>
        <v>235101985</v>
      </c>
      <c r="E61" s="281">
        <f>+E59-E60</f>
        <v>250952907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498</v>
      </c>
      <c r="B63" s="16" t="s">
        <v>511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512</v>
      </c>
      <c r="C65" s="284">
        <f>IF(C67=0,0,(C66/C67)*100)</f>
        <v>55.44717102783665</v>
      </c>
      <c r="D65" s="284">
        <f>IF(D67=0,0,(D66/D67)*100)</f>
        <v>48.95118338230714</v>
      </c>
      <c r="E65" s="284">
        <f>IF(E67=0,0,(E66/E67)*100)</f>
        <v>35.9757251834151</v>
      </c>
    </row>
    <row r="66" spans="1:5" ht="24" customHeight="1">
      <c r="A66" s="17">
        <v>2</v>
      </c>
      <c r="B66" s="45" t="s">
        <v>223</v>
      </c>
      <c r="C66" s="281">
        <f>+C32</f>
        <v>168392530</v>
      </c>
      <c r="D66" s="281">
        <f>+D32</f>
        <v>145101601</v>
      </c>
      <c r="E66" s="281">
        <f>+E32</f>
        <v>115085725</v>
      </c>
    </row>
    <row r="67" spans="1:5" ht="24" customHeight="1">
      <c r="A67" s="17">
        <v>3</v>
      </c>
      <c r="B67" s="45" t="s">
        <v>199</v>
      </c>
      <c r="C67" s="281">
        <v>303699047</v>
      </c>
      <c r="D67" s="281">
        <v>296421028</v>
      </c>
      <c r="E67" s="281">
        <v>319898277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513</v>
      </c>
      <c r="C69" s="284">
        <f>IF(C75=0,0,(C72/C75)*100)</f>
        <v>34.1852251810462</v>
      </c>
      <c r="D69" s="284">
        <f>IF(D75=0,0,(D72/D75)*100)</f>
        <v>9.700457995288644</v>
      </c>
      <c r="E69" s="284">
        <f>IF(E75=0,0,(E72/E75)*100)</f>
        <v>31.29184476056665</v>
      </c>
    </row>
    <row r="70" spans="1:5" ht="24" customHeight="1">
      <c r="A70" s="17">
        <v>5</v>
      </c>
      <c r="B70" s="45" t="s">
        <v>514</v>
      </c>
      <c r="C70" s="281">
        <f>+C28</f>
        <v>20397265</v>
      </c>
      <c r="D70" s="281">
        <f>+D28</f>
        <v>-7527961</v>
      </c>
      <c r="E70" s="281">
        <f>+E28</f>
        <v>13583423</v>
      </c>
    </row>
    <row r="71" spans="1:5" ht="24" customHeight="1">
      <c r="A71" s="17">
        <v>6</v>
      </c>
      <c r="B71" s="45" t="s">
        <v>503</v>
      </c>
      <c r="C71" s="176">
        <f>+C47</f>
        <v>12851940</v>
      </c>
      <c r="D71" s="176">
        <f>+D47</f>
        <v>16814826</v>
      </c>
      <c r="E71" s="176">
        <f>+E47</f>
        <v>17335024</v>
      </c>
    </row>
    <row r="72" spans="1:5" ht="24" customHeight="1">
      <c r="A72" s="17">
        <v>7</v>
      </c>
      <c r="B72" s="45" t="s">
        <v>515</v>
      </c>
      <c r="C72" s="281">
        <f>+C70+C71</f>
        <v>33249205</v>
      </c>
      <c r="D72" s="281">
        <f>+D70+D71</f>
        <v>9286865</v>
      </c>
      <c r="E72" s="281">
        <f>+E70+E71</f>
        <v>30918447</v>
      </c>
    </row>
    <row r="73" spans="1:5" ht="24" customHeight="1">
      <c r="A73" s="17">
        <v>8</v>
      </c>
      <c r="B73" s="45" t="s">
        <v>210</v>
      </c>
      <c r="C73" s="270">
        <f>+C40</f>
        <v>28348470</v>
      </c>
      <c r="D73" s="270">
        <f>+D40</f>
        <v>28614838</v>
      </c>
      <c r="E73" s="270">
        <f>+E40</f>
        <v>33811045</v>
      </c>
    </row>
    <row r="74" spans="1:5" ht="24" customHeight="1">
      <c r="A74" s="17">
        <v>9</v>
      </c>
      <c r="B74" s="45" t="s">
        <v>214</v>
      </c>
      <c r="C74" s="281">
        <v>68913446</v>
      </c>
      <c r="D74" s="281">
        <v>67121518</v>
      </c>
      <c r="E74" s="281">
        <v>64995680</v>
      </c>
    </row>
    <row r="75" spans="1:5" ht="24" customHeight="1">
      <c r="A75" s="17">
        <v>10</v>
      </c>
      <c r="B75" s="285" t="s">
        <v>516</v>
      </c>
      <c r="C75" s="270">
        <f>+C73+C74</f>
        <v>97261916</v>
      </c>
      <c r="D75" s="270">
        <f>+D73+D74</f>
        <v>95736356</v>
      </c>
      <c r="E75" s="270">
        <f>+E73+E74</f>
        <v>98806725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517</v>
      </c>
      <c r="C77" s="286">
        <f>IF(C80=0,0,(C78/C80)*100)</f>
        <v>29.039911746681003</v>
      </c>
      <c r="D77" s="286">
        <f>IF(D80=0,0,(D78/D80)*100)</f>
        <v>31.627806770665735</v>
      </c>
      <c r="E77" s="286">
        <f>IF(E80=0,0,(E78/E80)*100)</f>
        <v>36.09238832848955</v>
      </c>
    </row>
    <row r="78" spans="1:5" ht="24" customHeight="1">
      <c r="A78" s="17">
        <v>12</v>
      </c>
      <c r="B78" s="45" t="s">
        <v>214</v>
      </c>
      <c r="C78" s="270">
        <f>+C74</f>
        <v>68913446</v>
      </c>
      <c r="D78" s="270">
        <f>+D74</f>
        <v>67121518</v>
      </c>
      <c r="E78" s="270">
        <f>+E74</f>
        <v>64995680</v>
      </c>
    </row>
    <row r="79" spans="1:5" ht="24" customHeight="1">
      <c r="A79" s="17">
        <v>13</v>
      </c>
      <c r="B79" s="45" t="s">
        <v>223</v>
      </c>
      <c r="C79" s="270">
        <f>+C32</f>
        <v>168392530</v>
      </c>
      <c r="D79" s="270">
        <f>+D32</f>
        <v>145101601</v>
      </c>
      <c r="E79" s="270">
        <f>+E32</f>
        <v>115085725</v>
      </c>
    </row>
    <row r="80" spans="1:5" ht="24" customHeight="1">
      <c r="A80" s="17">
        <v>14</v>
      </c>
      <c r="B80" s="45" t="s">
        <v>518</v>
      </c>
      <c r="C80" s="270">
        <f>+C78+C79</f>
        <v>237305976</v>
      </c>
      <c r="D80" s="270">
        <f>+D78+D79</f>
        <v>212223119</v>
      </c>
      <c r="E80" s="270">
        <f>+E78+E79</f>
        <v>180081405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FILING&amp;R&amp;8BACKUS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156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157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158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650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651</v>
      </c>
      <c r="G7" s="126" t="s">
        <v>651</v>
      </c>
      <c r="H7" s="125"/>
      <c r="I7" s="289"/>
    </row>
    <row r="8" spans="1:9" ht="15.75" customHeight="1">
      <c r="A8" s="287"/>
      <c r="B8" s="126"/>
      <c r="C8" s="126" t="s">
        <v>652</v>
      </c>
      <c r="D8" s="126" t="s">
        <v>653</v>
      </c>
      <c r="E8" s="126" t="s">
        <v>654</v>
      </c>
      <c r="F8" s="126" t="s">
        <v>655</v>
      </c>
      <c r="G8" s="126" t="s">
        <v>656</v>
      </c>
      <c r="H8" s="125"/>
      <c r="I8" s="289"/>
    </row>
    <row r="9" spans="1:9" ht="15.75" customHeight="1">
      <c r="A9" s="290" t="s">
        <v>164</v>
      </c>
      <c r="B9" s="291" t="s">
        <v>165</v>
      </c>
      <c r="C9" s="292" t="s">
        <v>657</v>
      </c>
      <c r="D9" s="292" t="s">
        <v>658</v>
      </c>
      <c r="E9" s="292" t="s">
        <v>659</v>
      </c>
      <c r="F9" s="292" t="s">
        <v>658</v>
      </c>
      <c r="G9" s="292" t="s">
        <v>659</v>
      </c>
      <c r="H9" s="125"/>
      <c r="I9" s="56"/>
    </row>
    <row r="10" spans="1:9" ht="15.75" customHeight="1">
      <c r="A10" s="293" t="s">
        <v>660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661</v>
      </c>
      <c r="C11" s="296">
        <v>37390</v>
      </c>
      <c r="D11" s="297">
        <v>139</v>
      </c>
      <c r="E11" s="297">
        <v>166</v>
      </c>
      <c r="F11" s="298">
        <f>IF(D11=0,0,$C11/(D11*365))</f>
        <v>0.7369665911106731</v>
      </c>
      <c r="G11" s="298">
        <f>IF(E11=0,0,$C11/(E11*365))</f>
        <v>0.6170985311107443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662</v>
      </c>
      <c r="C13" s="296">
        <v>3246</v>
      </c>
      <c r="D13" s="297">
        <v>12</v>
      </c>
      <c r="E13" s="297">
        <v>12</v>
      </c>
      <c r="F13" s="298">
        <f>IF(D13=0,0,$C13/(D13*365))</f>
        <v>0.7410958904109589</v>
      </c>
      <c r="G13" s="298">
        <f>IF(E13=0,0,$C13/(E13*365))</f>
        <v>0.7410958904109589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663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664</v>
      </c>
      <c r="C16" s="296">
        <v>4850</v>
      </c>
      <c r="D16" s="297">
        <v>18</v>
      </c>
      <c r="E16" s="297">
        <v>20</v>
      </c>
      <c r="F16" s="298">
        <f t="shared" si="0"/>
        <v>0.7382039573820396</v>
      </c>
      <c r="G16" s="298">
        <f t="shared" si="0"/>
        <v>0.6643835616438356</v>
      </c>
      <c r="H16" s="125"/>
      <c r="I16" s="299"/>
    </row>
    <row r="17" spans="1:9" ht="15.75" customHeight="1">
      <c r="A17" s="293"/>
      <c r="B17" s="135" t="s">
        <v>665</v>
      </c>
      <c r="C17" s="300">
        <f>SUM(C15:C16)</f>
        <v>4850</v>
      </c>
      <c r="D17" s="300">
        <f>SUM(D15:D16)</f>
        <v>18</v>
      </c>
      <c r="E17" s="300">
        <f>SUM(E15:E16)</f>
        <v>20</v>
      </c>
      <c r="F17" s="301">
        <f t="shared" si="0"/>
        <v>0.7382039573820396</v>
      </c>
      <c r="G17" s="301">
        <f t="shared" si="0"/>
        <v>0.6643835616438356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666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667</v>
      </c>
      <c r="C21" s="296">
        <v>2412</v>
      </c>
      <c r="D21" s="297">
        <v>15</v>
      </c>
      <c r="E21" s="297">
        <v>15</v>
      </c>
      <c r="F21" s="298">
        <f>IF(D21=0,0,$C21/(D21*365))</f>
        <v>0.44054794520547946</v>
      </c>
      <c r="G21" s="298">
        <f>IF(E21=0,0,$C21/(E21*365))</f>
        <v>0.44054794520547946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668</v>
      </c>
      <c r="C23" s="296">
        <v>2134</v>
      </c>
      <c r="D23" s="297">
        <v>18</v>
      </c>
      <c r="E23" s="297">
        <v>20</v>
      </c>
      <c r="F23" s="298">
        <f>IF(D23=0,0,$C23/(D23*365))</f>
        <v>0.3248097412480974</v>
      </c>
      <c r="G23" s="298">
        <f>IF(E23=0,0,$C23/(E23*365))</f>
        <v>0.29232876712328765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451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669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670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671</v>
      </c>
      <c r="C31" s="300">
        <f>SUM(C10:C29)-C17-C23</f>
        <v>47898</v>
      </c>
      <c r="D31" s="300">
        <f>SUM(D10:D29)-D17-D23</f>
        <v>184</v>
      </c>
      <c r="E31" s="300">
        <f>SUM(E10:E29)-E17-E23</f>
        <v>213</v>
      </c>
      <c r="F31" s="301">
        <f>IF(D31=0,0,$C31/(D31*365))</f>
        <v>0.7131923764145325</v>
      </c>
      <c r="G31" s="301">
        <f>IF(E31=0,0,$C31/(E31*365))</f>
        <v>0.6160910669496431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672</v>
      </c>
      <c r="C33" s="300">
        <f>SUM(C10:C29)-C17</f>
        <v>50032</v>
      </c>
      <c r="D33" s="300">
        <f>SUM(D10:D29)-D17</f>
        <v>202</v>
      </c>
      <c r="E33" s="300">
        <f>SUM(E10:E29)-E17</f>
        <v>233</v>
      </c>
      <c r="F33" s="301">
        <f>IF(D33=0,0,$C33/(D33*365))</f>
        <v>0.6785840227858402</v>
      </c>
      <c r="G33" s="301">
        <f>IF(E33=0,0,$C33/(E33*365))</f>
        <v>0.5883003115997413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673</v>
      </c>
      <c r="C36" s="300">
        <f>+C33</f>
        <v>50032</v>
      </c>
      <c r="D36" s="300">
        <f>+D33</f>
        <v>202</v>
      </c>
      <c r="E36" s="300">
        <f>+E33</f>
        <v>233</v>
      </c>
      <c r="F36" s="301">
        <f>+F33</f>
        <v>0.6785840227858402</v>
      </c>
      <c r="G36" s="301">
        <f>+G33</f>
        <v>0.5883003115997413</v>
      </c>
      <c r="H36" s="125"/>
      <c r="I36" s="299"/>
    </row>
    <row r="37" spans="1:9" ht="15.75" customHeight="1">
      <c r="A37" s="293"/>
      <c r="B37" s="135" t="s">
        <v>674</v>
      </c>
      <c r="C37" s="300">
        <v>50512</v>
      </c>
      <c r="D37" s="302">
        <v>202</v>
      </c>
      <c r="E37" s="302">
        <v>233</v>
      </c>
      <c r="F37" s="301">
        <f>IF(D37=0,0,$C37/(D37*365))</f>
        <v>0.6850942628509427</v>
      </c>
      <c r="G37" s="301">
        <f>IF(E37=0,0,$C37/(E37*365))</f>
        <v>0.5939443823857957</v>
      </c>
      <c r="H37" s="125"/>
      <c r="I37" s="299"/>
    </row>
    <row r="38" spans="1:9" ht="15.75" customHeight="1">
      <c r="A38" s="293"/>
      <c r="B38" s="135" t="s">
        <v>675</v>
      </c>
      <c r="C38" s="300">
        <f>+C36-C37</f>
        <v>-480</v>
      </c>
      <c r="D38" s="300">
        <f>+D36-D37</f>
        <v>0</v>
      </c>
      <c r="E38" s="300">
        <f>+E36-E37</f>
        <v>0</v>
      </c>
      <c r="F38" s="301">
        <f>+F36-F37</f>
        <v>-0.0065102400651024794</v>
      </c>
      <c r="G38" s="301">
        <f>+G36-G37</f>
        <v>-0.005644070786054445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676</v>
      </c>
      <c r="C40" s="148">
        <f>IF(C37=0,0,C38/C37)</f>
        <v>-0.009502692429521698</v>
      </c>
      <c r="D40" s="148">
        <f>IF(D37=0,0,D38/D37)</f>
        <v>0</v>
      </c>
      <c r="E40" s="148">
        <f>IF(E37=0,0,E38/E37)</f>
        <v>0</v>
      </c>
      <c r="F40" s="148">
        <f>IF(F37=0,0,F38/F37)</f>
        <v>-0.009502692429521812</v>
      </c>
      <c r="G40" s="148">
        <f>IF(G37=0,0,G38/G37)</f>
        <v>-0.009502692429521703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677</v>
      </c>
      <c r="C42" s="295">
        <v>233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678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660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 r:id="rId1"/>
  <headerFooter alignWithMargins="0">
    <oddHeader>&amp;LOFFICE OF HEALTH CARE ACCESS&amp;CTWELVE MONTHS ACTUAL FILING&amp;RWILLIAM W. BACKUS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156</v>
      </c>
      <c r="B1" s="698"/>
      <c r="C1" s="698"/>
      <c r="D1" s="698"/>
      <c r="E1" s="698"/>
      <c r="F1" s="698"/>
    </row>
    <row r="2" spans="1:6" ht="15.75" customHeight="1">
      <c r="A2" s="698" t="s">
        <v>157</v>
      </c>
      <c r="B2" s="698"/>
      <c r="C2" s="698"/>
      <c r="D2" s="698"/>
      <c r="E2" s="698"/>
      <c r="F2" s="698"/>
    </row>
    <row r="3" spans="1:6" ht="15.75" customHeight="1">
      <c r="A3" s="698" t="s">
        <v>158</v>
      </c>
      <c r="B3" s="698"/>
      <c r="C3" s="698"/>
      <c r="D3" s="698"/>
      <c r="E3" s="698"/>
      <c r="F3" s="698"/>
    </row>
    <row r="4" spans="1:6" ht="15.75" customHeight="1">
      <c r="A4" s="698" t="s">
        <v>679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166</v>
      </c>
      <c r="D8" s="312" t="s">
        <v>166</v>
      </c>
      <c r="E8" s="126" t="s">
        <v>162</v>
      </c>
      <c r="F8" s="126" t="s">
        <v>163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164</v>
      </c>
      <c r="B9" s="291" t="s">
        <v>165</v>
      </c>
      <c r="C9" s="292" t="s">
        <v>160</v>
      </c>
      <c r="D9" s="292" t="s">
        <v>161</v>
      </c>
      <c r="E9" s="315" t="s">
        <v>167</v>
      </c>
      <c r="F9" s="315" t="s">
        <v>167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170</v>
      </c>
      <c r="B11" s="291" t="s">
        <v>680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681</v>
      </c>
      <c r="C12" s="296">
        <v>9123</v>
      </c>
      <c r="D12" s="296">
        <v>8673</v>
      </c>
      <c r="E12" s="296">
        <f>+D12-C12</f>
        <v>-450</v>
      </c>
      <c r="F12" s="316">
        <f>IF(C12=0,0,+E12/C12)</f>
        <v>-0.04932587964485367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682</v>
      </c>
      <c r="C13" s="296">
        <v>14515</v>
      </c>
      <c r="D13" s="296">
        <v>15183</v>
      </c>
      <c r="E13" s="296">
        <f>+D13-C13</f>
        <v>668</v>
      </c>
      <c r="F13" s="316">
        <f>IF(C13=0,0,+E13/C13)</f>
        <v>0.04602135721667241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683</v>
      </c>
      <c r="C14" s="296">
        <v>11849</v>
      </c>
      <c r="D14" s="296">
        <v>12972</v>
      </c>
      <c r="E14" s="296">
        <f>+D14-C14</f>
        <v>1123</v>
      </c>
      <c r="F14" s="316">
        <f>IF(C14=0,0,+E14/C14)</f>
        <v>0.09477593045826652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684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685</v>
      </c>
      <c r="C16" s="300">
        <f>SUM(C12:C15)</f>
        <v>35487</v>
      </c>
      <c r="D16" s="300">
        <f>SUM(D12:D15)</f>
        <v>36828</v>
      </c>
      <c r="E16" s="300">
        <f>+D16-C16</f>
        <v>1341</v>
      </c>
      <c r="F16" s="309">
        <f>IF(C16=0,0,+E16/C16)</f>
        <v>0.03778848592442303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182</v>
      </c>
      <c r="B18" s="291" t="s">
        <v>686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681</v>
      </c>
      <c r="C19" s="296">
        <v>1153</v>
      </c>
      <c r="D19" s="296">
        <v>1160</v>
      </c>
      <c r="E19" s="296">
        <f>+D19-C19</f>
        <v>7</v>
      </c>
      <c r="F19" s="316">
        <f>IF(C19=0,0,+E19/C19)</f>
        <v>0.006071118820468344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682</v>
      </c>
      <c r="C20" s="296">
        <v>8093</v>
      </c>
      <c r="D20" s="296">
        <v>8517</v>
      </c>
      <c r="E20" s="296">
        <f>+D20-C20</f>
        <v>424</v>
      </c>
      <c r="F20" s="316">
        <f>IF(C20=0,0,+E20/C20)</f>
        <v>0.052390955146422835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683</v>
      </c>
      <c r="C21" s="296">
        <v>185</v>
      </c>
      <c r="D21" s="296">
        <v>277</v>
      </c>
      <c r="E21" s="296">
        <f>+D21-C21</f>
        <v>92</v>
      </c>
      <c r="F21" s="316">
        <f>IF(C21=0,0,+E21/C21)</f>
        <v>0.4972972972972973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684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687</v>
      </c>
      <c r="C23" s="300">
        <f>SUM(C19:C22)</f>
        <v>9431</v>
      </c>
      <c r="D23" s="300">
        <f>SUM(D19:D22)</f>
        <v>9954</v>
      </c>
      <c r="E23" s="300">
        <f>+D23-C23</f>
        <v>523</v>
      </c>
      <c r="F23" s="309">
        <f>IF(C23=0,0,+E23/C23)</f>
        <v>0.0554554129996819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192</v>
      </c>
      <c r="B25" s="291" t="s">
        <v>688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681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682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683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684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689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477</v>
      </c>
      <c r="B32" s="291" t="s">
        <v>690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681</v>
      </c>
      <c r="C33" s="296">
        <v>9</v>
      </c>
      <c r="D33" s="296">
        <v>10</v>
      </c>
      <c r="E33" s="296">
        <f>+D33-C33</f>
        <v>1</v>
      </c>
      <c r="F33" s="316">
        <f>IF(C33=0,0,+E33/C33)</f>
        <v>0.1111111111111111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682</v>
      </c>
      <c r="C34" s="296">
        <v>738</v>
      </c>
      <c r="D34" s="296">
        <v>722</v>
      </c>
      <c r="E34" s="296">
        <f>+D34-C34</f>
        <v>-16</v>
      </c>
      <c r="F34" s="316">
        <f>IF(C34=0,0,+E34/C34)</f>
        <v>-0.02168021680216802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683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684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691</v>
      </c>
      <c r="C37" s="300">
        <f>SUM(C33:C36)</f>
        <v>747</v>
      </c>
      <c r="D37" s="300">
        <f>SUM(D33:D36)</f>
        <v>732</v>
      </c>
      <c r="E37" s="300">
        <f>+D37-C37</f>
        <v>-15</v>
      </c>
      <c r="F37" s="309">
        <f>IF(C37=0,0,+E37/C37)</f>
        <v>-0.020080321285140562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692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693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498</v>
      </c>
      <c r="B42" s="291" t="s">
        <v>694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695</v>
      </c>
      <c r="C43" s="296">
        <v>442</v>
      </c>
      <c r="D43" s="296">
        <v>573</v>
      </c>
      <c r="E43" s="296">
        <f>+D43-C43</f>
        <v>131</v>
      </c>
      <c r="F43" s="316">
        <f>IF(C43=0,0,+E43/C43)</f>
        <v>0.29638009049773756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696</v>
      </c>
      <c r="C44" s="296">
        <v>10778</v>
      </c>
      <c r="D44" s="296">
        <v>10000</v>
      </c>
      <c r="E44" s="296">
        <f>+D44-C44</f>
        <v>-778</v>
      </c>
      <c r="F44" s="316">
        <f>IF(C44=0,0,+E44/C44)</f>
        <v>-0.07218407867879013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697</v>
      </c>
      <c r="C45" s="300">
        <f>SUM(C43:C44)</f>
        <v>11220</v>
      </c>
      <c r="D45" s="300">
        <f>SUM(D43:D44)</f>
        <v>10573</v>
      </c>
      <c r="E45" s="300">
        <f>+D45-C45</f>
        <v>-647</v>
      </c>
      <c r="F45" s="309">
        <f>IF(C45=0,0,+E45/C45)</f>
        <v>-0.05766488413547237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510</v>
      </c>
      <c r="B47" s="291" t="s">
        <v>698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695</v>
      </c>
      <c r="C48" s="296">
        <v>102</v>
      </c>
      <c r="D48" s="296">
        <v>127</v>
      </c>
      <c r="E48" s="296">
        <f>+D48-C48</f>
        <v>25</v>
      </c>
      <c r="F48" s="316">
        <f>IF(C48=0,0,+E48/C48)</f>
        <v>0.24509803921568626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696</v>
      </c>
      <c r="C49" s="296">
        <v>213</v>
      </c>
      <c r="D49" s="296">
        <v>260</v>
      </c>
      <c r="E49" s="296">
        <f>+D49-C49</f>
        <v>47</v>
      </c>
      <c r="F49" s="316">
        <f>IF(C49=0,0,+E49/C49)</f>
        <v>0.22065727699530516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699</v>
      </c>
      <c r="C50" s="300">
        <f>SUM(C48:C49)</f>
        <v>315</v>
      </c>
      <c r="D50" s="300">
        <f>SUM(D48:D49)</f>
        <v>387</v>
      </c>
      <c r="E50" s="300">
        <f>+D50-C50</f>
        <v>72</v>
      </c>
      <c r="F50" s="309">
        <f>IF(C50=0,0,+E50/C50)</f>
        <v>0.22857142857142856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522</v>
      </c>
      <c r="B52" s="291" t="s">
        <v>700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701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702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703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526</v>
      </c>
      <c r="B57" s="291" t="s">
        <v>704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705</v>
      </c>
      <c r="C58" s="296">
        <v>132</v>
      </c>
      <c r="D58" s="296">
        <v>37</v>
      </c>
      <c r="E58" s="296">
        <f>+D58-C58</f>
        <v>-95</v>
      </c>
      <c r="F58" s="316">
        <f>IF(C58=0,0,+E58/C58)</f>
        <v>-0.7196969696969697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706</v>
      </c>
      <c r="C59" s="296">
        <v>33</v>
      </c>
      <c r="D59" s="296">
        <v>15</v>
      </c>
      <c r="E59" s="296">
        <f>+D59-C59</f>
        <v>-18</v>
      </c>
      <c r="F59" s="316">
        <f>IF(C59=0,0,+E59/C59)</f>
        <v>-0.5454545454545454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707</v>
      </c>
      <c r="C60" s="300">
        <f>SUM(C58:C59)</f>
        <v>165</v>
      </c>
      <c r="D60" s="300">
        <f>SUM(D58:D59)</f>
        <v>52</v>
      </c>
      <c r="E60" s="300">
        <f>SUM(E58:E59)</f>
        <v>-113</v>
      </c>
      <c r="F60" s="309">
        <f>IF(C60=0,0,+E60/C60)</f>
        <v>-0.6848484848484848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168</v>
      </c>
      <c r="B62" s="291" t="s">
        <v>708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709</v>
      </c>
      <c r="C63" s="296">
        <v>3536</v>
      </c>
      <c r="D63" s="296">
        <v>3477</v>
      </c>
      <c r="E63" s="296">
        <f>+D63-C63</f>
        <v>-59</v>
      </c>
      <c r="F63" s="316">
        <f>IF(C63=0,0,+E63/C63)</f>
        <v>-0.01668552036199095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710</v>
      </c>
      <c r="C64" s="296">
        <v>7329</v>
      </c>
      <c r="D64" s="296">
        <v>7217</v>
      </c>
      <c r="E64" s="296">
        <f>+D64-C64</f>
        <v>-112</v>
      </c>
      <c r="F64" s="316">
        <f>IF(C64=0,0,+E64/C64)</f>
        <v>-0.015281757402101241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711</v>
      </c>
      <c r="C65" s="300">
        <f>SUM(C63:C64)</f>
        <v>10865</v>
      </c>
      <c r="D65" s="300">
        <f>SUM(D63:D64)</f>
        <v>10694</v>
      </c>
      <c r="E65" s="300">
        <f>+D65-C65</f>
        <v>-171</v>
      </c>
      <c r="F65" s="309">
        <f>IF(C65=0,0,+E65/C65)</f>
        <v>-0.015738610216290843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552</v>
      </c>
      <c r="B67" s="291" t="s">
        <v>712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713</v>
      </c>
      <c r="C68" s="296">
        <v>589</v>
      </c>
      <c r="D68" s="296">
        <v>600</v>
      </c>
      <c r="E68" s="296">
        <f>+D68-C68</f>
        <v>11</v>
      </c>
      <c r="F68" s="316">
        <f>IF(C68=0,0,+E68/C68)</f>
        <v>0.01867572156196944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714</v>
      </c>
      <c r="C69" s="296">
        <v>2302</v>
      </c>
      <c r="D69" s="296">
        <v>1361</v>
      </c>
      <c r="E69" s="296">
        <f>+D69-C69</f>
        <v>-941</v>
      </c>
      <c r="F69" s="318">
        <f>IF(C69=0,0,+E69/C69)</f>
        <v>-0.40877497827975673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715</v>
      </c>
      <c r="C70" s="300">
        <f>SUM(C68:C69)</f>
        <v>2891</v>
      </c>
      <c r="D70" s="300">
        <f>SUM(D68:D69)</f>
        <v>1961</v>
      </c>
      <c r="E70" s="300">
        <f>+D70-C70</f>
        <v>-930</v>
      </c>
      <c r="F70" s="309">
        <f>IF(C70=0,0,+E70/C70)</f>
        <v>-0.3216879972327914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568</v>
      </c>
      <c r="B72" s="291" t="s">
        <v>716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717</v>
      </c>
      <c r="C73" s="319">
        <v>6561</v>
      </c>
      <c r="D73" s="319">
        <v>6343</v>
      </c>
      <c r="E73" s="296">
        <f>+D73-C73</f>
        <v>-218</v>
      </c>
      <c r="F73" s="316">
        <f>IF(C73=0,0,+E73/C73)</f>
        <v>-0.033226642280140224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718</v>
      </c>
      <c r="C74" s="319">
        <v>52432</v>
      </c>
      <c r="D74" s="319">
        <v>57305</v>
      </c>
      <c r="E74" s="296">
        <f>+D74-C74</f>
        <v>4873</v>
      </c>
      <c r="F74" s="316">
        <f>IF(C74=0,0,+E74/C74)</f>
        <v>0.09293942630454684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584</v>
      </c>
      <c r="C75" s="300">
        <f>SUM(C73:C74)</f>
        <v>58993</v>
      </c>
      <c r="D75" s="300">
        <f>SUM(D73:D74)</f>
        <v>63648</v>
      </c>
      <c r="E75" s="300">
        <f>SUM(E73:E74)</f>
        <v>4655</v>
      </c>
      <c r="F75" s="309">
        <f>IF(C75=0,0,+E75/C75)</f>
        <v>0.07890766701134033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577</v>
      </c>
      <c r="B78" s="291" t="s">
        <v>719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720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721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722</v>
      </c>
      <c r="C81" s="319">
        <v>20967</v>
      </c>
      <c r="D81" s="319">
        <v>20123</v>
      </c>
      <c r="E81" s="296">
        <f t="shared" si="0"/>
        <v>-844</v>
      </c>
      <c r="F81" s="316">
        <f t="shared" si="1"/>
        <v>-0.04025373205513426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723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724</v>
      </c>
      <c r="C83" s="319">
        <v>48846</v>
      </c>
      <c r="D83" s="319">
        <v>49296</v>
      </c>
      <c r="E83" s="296">
        <f t="shared" si="0"/>
        <v>450</v>
      </c>
      <c r="F83" s="316">
        <f t="shared" si="1"/>
        <v>0.009212627441346271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725</v>
      </c>
      <c r="C84" s="320">
        <f>SUM(C79:C83)</f>
        <v>69813</v>
      </c>
      <c r="D84" s="320">
        <f>SUM(D79:D83)</f>
        <v>69419</v>
      </c>
      <c r="E84" s="300">
        <f t="shared" si="0"/>
        <v>-394</v>
      </c>
      <c r="F84" s="309">
        <f t="shared" si="1"/>
        <v>-0.00564364803116898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580</v>
      </c>
      <c r="B86" s="291" t="s">
        <v>726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727</v>
      </c>
      <c r="C87" s="322">
        <v>8804</v>
      </c>
      <c r="D87" s="322">
        <v>10563</v>
      </c>
      <c r="E87" s="323">
        <f aca="true" t="shared" si="2" ref="E87:E92">+D87-C87</f>
        <v>1759</v>
      </c>
      <c r="F87" s="318">
        <f aca="true" t="shared" si="3" ref="F87:F92">IF(C87=0,0,+E87/C87)</f>
        <v>0.1997955474784189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419</v>
      </c>
      <c r="C88" s="322">
        <v>7145</v>
      </c>
      <c r="D88" s="322">
        <v>7280</v>
      </c>
      <c r="E88" s="296">
        <f t="shared" si="2"/>
        <v>135</v>
      </c>
      <c r="F88" s="316">
        <f t="shared" si="3"/>
        <v>0.018894331700489854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728</v>
      </c>
      <c r="C89" s="322">
        <v>1163</v>
      </c>
      <c r="D89" s="322">
        <v>1363</v>
      </c>
      <c r="E89" s="296">
        <f t="shared" si="2"/>
        <v>200</v>
      </c>
      <c r="F89" s="316">
        <f t="shared" si="3"/>
        <v>0.17196904557179707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729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730</v>
      </c>
      <c r="C91" s="322">
        <v>246149</v>
      </c>
      <c r="D91" s="322">
        <v>202203</v>
      </c>
      <c r="E91" s="296">
        <f t="shared" si="2"/>
        <v>-43946</v>
      </c>
      <c r="F91" s="316">
        <f t="shared" si="3"/>
        <v>-0.1785341398908791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731</v>
      </c>
      <c r="C92" s="320">
        <f>SUM(C87:C91)</f>
        <v>263261</v>
      </c>
      <c r="D92" s="320">
        <f>SUM(D87:D91)</f>
        <v>221409</v>
      </c>
      <c r="E92" s="300">
        <f t="shared" si="2"/>
        <v>-41852</v>
      </c>
      <c r="F92" s="309">
        <f t="shared" si="3"/>
        <v>-0.1589753134721816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732</v>
      </c>
      <c r="B95" s="291" t="s">
        <v>733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734</v>
      </c>
      <c r="C96" s="325">
        <v>474.3</v>
      </c>
      <c r="D96" s="325">
        <v>462.2</v>
      </c>
      <c r="E96" s="326">
        <f>+D96-C96</f>
        <v>-12.100000000000023</v>
      </c>
      <c r="F96" s="316">
        <f>IF(C96=0,0,+E96/C96)</f>
        <v>-0.025511279780729545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735</v>
      </c>
      <c r="C97" s="325">
        <v>41.5</v>
      </c>
      <c r="D97" s="325">
        <v>34.2</v>
      </c>
      <c r="E97" s="326">
        <f>+D97-C97</f>
        <v>-7.299999999999997</v>
      </c>
      <c r="F97" s="316">
        <f>IF(C97=0,0,+E97/C97)</f>
        <v>-0.17590361445783126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736</v>
      </c>
      <c r="C98" s="325">
        <v>987.4</v>
      </c>
      <c r="D98" s="325">
        <v>1087.1</v>
      </c>
      <c r="E98" s="326">
        <f>+D98-C98</f>
        <v>99.69999999999993</v>
      </c>
      <c r="F98" s="316">
        <f>IF(C98=0,0,+E98/C98)</f>
        <v>0.1009722503544662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737</v>
      </c>
      <c r="C99" s="327">
        <f>SUM(C96:C98)</f>
        <v>1503.1999999999998</v>
      </c>
      <c r="D99" s="327">
        <f>SUM(D96:D98)</f>
        <v>1583.5</v>
      </c>
      <c r="E99" s="327">
        <f>+D99-C99</f>
        <v>80.30000000000018</v>
      </c>
      <c r="F99" s="309">
        <f>IF(C99=0,0,+E99/C99)</f>
        <v>0.0534193720063865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FILING&amp;RWILLIAM W. BACKUS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A1" sqref="A1:F1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156</v>
      </c>
      <c r="B1" s="698"/>
      <c r="C1" s="698"/>
      <c r="D1" s="698"/>
      <c r="E1" s="698"/>
      <c r="F1" s="698"/>
    </row>
    <row r="2" spans="1:6" ht="15.75" customHeight="1">
      <c r="A2" s="698" t="s">
        <v>157</v>
      </c>
      <c r="B2" s="698"/>
      <c r="C2" s="698"/>
      <c r="D2" s="698"/>
      <c r="E2" s="698"/>
      <c r="F2" s="698"/>
    </row>
    <row r="3" spans="1:6" ht="15.75" customHeight="1">
      <c r="A3" s="698" t="s">
        <v>158</v>
      </c>
      <c r="B3" s="698"/>
      <c r="C3" s="698"/>
      <c r="D3" s="698"/>
      <c r="E3" s="698"/>
      <c r="F3" s="698"/>
    </row>
    <row r="4" spans="1:6" ht="15.75" customHeight="1">
      <c r="A4" s="698" t="s">
        <v>738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166</v>
      </c>
      <c r="D8" s="312" t="s">
        <v>166</v>
      </c>
      <c r="E8" s="126" t="s">
        <v>162</v>
      </c>
      <c r="F8" s="126" t="s">
        <v>163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164</v>
      </c>
      <c r="B9" s="291" t="s">
        <v>165</v>
      </c>
      <c r="C9" s="292" t="s">
        <v>160</v>
      </c>
      <c r="D9" s="292" t="s">
        <v>161</v>
      </c>
      <c r="E9" s="315" t="s">
        <v>167</v>
      </c>
      <c r="F9" s="315" t="s">
        <v>167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266</v>
      </c>
      <c r="B11" s="291" t="s">
        <v>710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739</v>
      </c>
      <c r="C12" s="296">
        <v>7329</v>
      </c>
      <c r="D12" s="296">
        <v>7217</v>
      </c>
      <c r="E12" s="296">
        <f>+D12-C12</f>
        <v>-112</v>
      </c>
      <c r="F12" s="316">
        <f>IF(C12=0,0,+E12/C12)</f>
        <v>-0.015281757402101241</v>
      </c>
    </row>
    <row r="13" spans="1:6" ht="15.75" customHeight="1">
      <c r="A13" s="294"/>
      <c r="B13" s="135" t="s">
        <v>740</v>
      </c>
      <c r="C13" s="300">
        <f>SUM(C11:C12)</f>
        <v>7329</v>
      </c>
      <c r="D13" s="300">
        <f>SUM(D11:D12)</f>
        <v>7217</v>
      </c>
      <c r="E13" s="300">
        <f>+D13-C13</f>
        <v>-112</v>
      </c>
      <c r="F13" s="309">
        <f>IF(C13=0,0,+E13/C13)</f>
        <v>-0.015281757402101241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280</v>
      </c>
      <c r="B15" s="291" t="s">
        <v>714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739</v>
      </c>
      <c r="C16" s="296">
        <v>2302</v>
      </c>
      <c r="D16" s="296">
        <v>1361</v>
      </c>
      <c r="E16" s="296">
        <f>+D16-C16</f>
        <v>-941</v>
      </c>
      <c r="F16" s="316">
        <f>IF(C16=0,0,+E16/C16)</f>
        <v>-0.40877497827975673</v>
      </c>
    </row>
    <row r="17" spans="1:6" ht="15.75" customHeight="1">
      <c r="A17" s="294"/>
      <c r="B17" s="135" t="s">
        <v>741</v>
      </c>
      <c r="C17" s="300">
        <f>SUM(C15:C16)</f>
        <v>2302</v>
      </c>
      <c r="D17" s="300">
        <f>SUM(D15:D16)</f>
        <v>1361</v>
      </c>
      <c r="E17" s="300">
        <f>+D17-C17</f>
        <v>-941</v>
      </c>
      <c r="F17" s="309">
        <f>IF(C17=0,0,+E17/C17)</f>
        <v>-0.40877497827975673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297</v>
      </c>
      <c r="B19" s="291" t="s">
        <v>742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739</v>
      </c>
      <c r="C20" s="296">
        <v>52432</v>
      </c>
      <c r="D20" s="296">
        <v>57305</v>
      </c>
      <c r="E20" s="296">
        <f>+D20-C20</f>
        <v>4873</v>
      </c>
      <c r="F20" s="316">
        <f>IF(C20=0,0,+E20/C20)</f>
        <v>0.09293942630454684</v>
      </c>
    </row>
    <row r="21" spans="1:6" ht="15.75" customHeight="1">
      <c r="A21" s="294"/>
      <c r="B21" s="135" t="s">
        <v>743</v>
      </c>
      <c r="C21" s="300">
        <f>SUM(C19:C20)</f>
        <v>52432</v>
      </c>
      <c r="D21" s="300">
        <f>SUM(D19:D20)</f>
        <v>57305</v>
      </c>
      <c r="E21" s="300">
        <f>+D21-C21</f>
        <v>4873</v>
      </c>
      <c r="F21" s="309">
        <f>IF(C21=0,0,+E21/C21)</f>
        <v>0.09293942630454684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744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745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746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 r:id="rId1"/>
  <headerFooter alignWithMargins="0">
    <oddHeader>&amp;LOFFICE OF HEALTH CARE ACCESS&amp;CTWELVE MONTHS ACTUAL FILING&amp;RWILLIAM W. BACKUS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286">
      <selection activeCell="A1" sqref="A1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156</v>
      </c>
      <c r="B1" s="705"/>
      <c r="C1" s="705"/>
      <c r="D1" s="705"/>
      <c r="E1" s="705"/>
      <c r="F1" s="705"/>
    </row>
    <row r="2" spans="1:6" ht="15.75" customHeight="1">
      <c r="A2" s="706" t="s">
        <v>747</v>
      </c>
      <c r="B2" s="707"/>
      <c r="C2" s="707"/>
      <c r="D2" s="707"/>
      <c r="E2" s="707"/>
      <c r="F2" s="708"/>
    </row>
    <row r="3" spans="1:6" ht="15.75" customHeight="1">
      <c r="A3" s="706" t="s">
        <v>748</v>
      </c>
      <c r="B3" s="707"/>
      <c r="C3" s="707"/>
      <c r="D3" s="707"/>
      <c r="E3" s="707"/>
      <c r="F3" s="708"/>
    </row>
    <row r="4" spans="1:6" ht="15.75" customHeight="1">
      <c r="A4" s="702" t="s">
        <v>749</v>
      </c>
      <c r="B4" s="703"/>
      <c r="C4" s="703"/>
      <c r="D4" s="703"/>
      <c r="E4" s="703"/>
      <c r="F4" s="704"/>
    </row>
    <row r="5" spans="1:6" ht="15.75" customHeight="1">
      <c r="A5" s="702" t="s">
        <v>750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751</v>
      </c>
      <c r="D7" s="341" t="s">
        <v>751</v>
      </c>
      <c r="E7" s="341" t="s">
        <v>752</v>
      </c>
      <c r="F7" s="341" t="s">
        <v>163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164</v>
      </c>
      <c r="B8" s="343" t="s">
        <v>165</v>
      </c>
      <c r="C8" s="344" t="s">
        <v>753</v>
      </c>
      <c r="D8" s="344" t="s">
        <v>754</v>
      </c>
      <c r="E8" s="344" t="s">
        <v>167</v>
      </c>
      <c r="F8" s="344" t="s">
        <v>167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168</v>
      </c>
      <c r="B10" s="349" t="s">
        <v>755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170</v>
      </c>
      <c r="B12" s="356" t="s">
        <v>756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757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758</v>
      </c>
      <c r="C15" s="361">
        <v>111648145</v>
      </c>
      <c r="D15" s="361">
        <v>115948483</v>
      </c>
      <c r="E15" s="361">
        <f aca="true" t="shared" si="0" ref="E15:E24">D15-C15</f>
        <v>4300338</v>
      </c>
      <c r="F15" s="362">
        <f aca="true" t="shared" si="1" ref="F15:F24">IF(C15=0,0,E15/C15)</f>
        <v>0.0385168781801077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759</v>
      </c>
      <c r="C16" s="361">
        <v>48248733</v>
      </c>
      <c r="D16" s="361">
        <v>46477332</v>
      </c>
      <c r="E16" s="361">
        <f t="shared" si="0"/>
        <v>-1771401</v>
      </c>
      <c r="F16" s="362">
        <f t="shared" si="1"/>
        <v>-0.036713938167039536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760</v>
      </c>
      <c r="C17" s="366">
        <f>IF(C15=0,0,C16/C15)</f>
        <v>0.4321498848010417</v>
      </c>
      <c r="D17" s="366">
        <f>IF(LN_IA1=0,0,LN_IA2/LN_IA1)</f>
        <v>0.40084467513041977</v>
      </c>
      <c r="E17" s="367">
        <f t="shared" si="0"/>
        <v>-0.03130520967062195</v>
      </c>
      <c r="F17" s="362">
        <f t="shared" si="1"/>
        <v>-0.07244062944743028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293</v>
      </c>
      <c r="C18" s="369">
        <v>5048</v>
      </c>
      <c r="D18" s="369">
        <v>5039</v>
      </c>
      <c r="E18" s="369">
        <f t="shared" si="0"/>
        <v>-9</v>
      </c>
      <c r="F18" s="362">
        <f t="shared" si="1"/>
        <v>-0.0017828843106180666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761</v>
      </c>
      <c r="C19" s="372">
        <v>1.4054</v>
      </c>
      <c r="D19" s="372">
        <v>1.459</v>
      </c>
      <c r="E19" s="373">
        <f t="shared" si="0"/>
        <v>0.05360000000000009</v>
      </c>
      <c r="F19" s="362">
        <f t="shared" si="1"/>
        <v>0.038138608225416315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762</v>
      </c>
      <c r="C20" s="376">
        <f>C18*C19</f>
        <v>7094.4592</v>
      </c>
      <c r="D20" s="376">
        <f>LN_IA4*LN_IA5</f>
        <v>7351.901000000001</v>
      </c>
      <c r="E20" s="376">
        <f t="shared" si="0"/>
        <v>257.4418000000005</v>
      </c>
      <c r="F20" s="362">
        <f t="shared" si="1"/>
        <v>0.03628772718856435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763</v>
      </c>
      <c r="C21" s="378">
        <f>IF(C20=0,0,C16/C20)</f>
        <v>6800.903584025122</v>
      </c>
      <c r="D21" s="378">
        <f>IF(LN_IA6=0,0,LN_IA2/LN_IA6)</f>
        <v>6321.811460736481</v>
      </c>
      <c r="E21" s="378">
        <f t="shared" si="0"/>
        <v>-479.0921232886403</v>
      </c>
      <c r="F21" s="362">
        <f t="shared" si="1"/>
        <v>-0.0704453632329087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295</v>
      </c>
      <c r="C22" s="369">
        <v>26502</v>
      </c>
      <c r="D22" s="369">
        <v>26007</v>
      </c>
      <c r="E22" s="369">
        <f t="shared" si="0"/>
        <v>-495</v>
      </c>
      <c r="F22" s="362">
        <f t="shared" si="1"/>
        <v>-0.01867783563504641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764</v>
      </c>
      <c r="C23" s="378">
        <f>IF(C22=0,0,C16/C22)</f>
        <v>1820.5695041883632</v>
      </c>
      <c r="D23" s="378">
        <f>IF(LN_IA8=0,0,LN_IA2/LN_IA8)</f>
        <v>1787.1085476986966</v>
      </c>
      <c r="E23" s="378">
        <f t="shared" si="0"/>
        <v>-33.460956489666614</v>
      </c>
      <c r="F23" s="362">
        <f t="shared" si="1"/>
        <v>-0.01837938975286967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765</v>
      </c>
      <c r="C24" s="379">
        <f>IF(C18=0,0,C22/C18)</f>
        <v>5.25</v>
      </c>
      <c r="D24" s="379">
        <f>IF(LN_IA4=0,0,LN_IA8/LN_IA4)</f>
        <v>5.161143083945227</v>
      </c>
      <c r="E24" s="379">
        <f t="shared" si="0"/>
        <v>-0.0888569160547732</v>
      </c>
      <c r="F24" s="362">
        <f t="shared" si="1"/>
        <v>-0.016925126867575847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766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767</v>
      </c>
      <c r="C27" s="361">
        <v>90012983</v>
      </c>
      <c r="D27" s="361">
        <v>102528142</v>
      </c>
      <c r="E27" s="361">
        <f aca="true" t="shared" si="2" ref="E27:E32">D27-C27</f>
        <v>12515159</v>
      </c>
      <c r="F27" s="362">
        <f aca="true" t="shared" si="3" ref="F27:F32">IF(C27=0,0,E27/C27)</f>
        <v>0.13903726532426994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768</v>
      </c>
      <c r="C28" s="361">
        <v>23804015</v>
      </c>
      <c r="D28" s="361">
        <v>24698560</v>
      </c>
      <c r="E28" s="361">
        <f t="shared" si="2"/>
        <v>894545</v>
      </c>
      <c r="F28" s="362">
        <f t="shared" si="3"/>
        <v>0.03757958478853252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769</v>
      </c>
      <c r="C29" s="366">
        <f>IF(C27=0,0,C28/C27)</f>
        <v>0.2644509070430429</v>
      </c>
      <c r="D29" s="366">
        <f>IF(LN_IA11=0,0,LN_IA12/LN_IA11)</f>
        <v>0.24089542166871608</v>
      </c>
      <c r="E29" s="367">
        <f t="shared" si="2"/>
        <v>-0.023555485374326834</v>
      </c>
      <c r="F29" s="362">
        <f t="shared" si="3"/>
        <v>-0.0890731880548735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770</v>
      </c>
      <c r="C30" s="366">
        <f>IF(C15=0,0,C27/C15)</f>
        <v>0.8062201391702477</v>
      </c>
      <c r="D30" s="366">
        <f>IF(LN_IA1=0,0,LN_IA11/LN_IA1)</f>
        <v>0.8842560018659321</v>
      </c>
      <c r="E30" s="367">
        <f t="shared" si="2"/>
        <v>0.07803586269568441</v>
      </c>
      <c r="F30" s="362">
        <f t="shared" si="3"/>
        <v>0.09679225177381205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771</v>
      </c>
      <c r="C31" s="376">
        <f>C30*C18</f>
        <v>4069.7992625314105</v>
      </c>
      <c r="D31" s="376">
        <f>LN_IA14*LN_IA4</f>
        <v>4455.765993402432</v>
      </c>
      <c r="E31" s="376">
        <f t="shared" si="2"/>
        <v>385.9667308710218</v>
      </c>
      <c r="F31" s="362">
        <f t="shared" si="3"/>
        <v>0.09483679807611714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772</v>
      </c>
      <c r="C32" s="378">
        <f>IF(C31=0,0,C28/C31)</f>
        <v>5848.9408111971425</v>
      </c>
      <c r="D32" s="378">
        <f>IF(LN_IA15=0,0,LN_IA12/LN_IA15)</f>
        <v>5543.0559047693905</v>
      </c>
      <c r="E32" s="378">
        <f t="shared" si="2"/>
        <v>-305.88490642775196</v>
      </c>
      <c r="F32" s="362">
        <f t="shared" si="3"/>
        <v>-0.05229748706674712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773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774</v>
      </c>
      <c r="C35" s="361">
        <f>C15+C27</f>
        <v>201661128</v>
      </c>
      <c r="D35" s="361">
        <f>LN_IA1+LN_IA11</f>
        <v>218476625</v>
      </c>
      <c r="E35" s="361">
        <f>D35-C35</f>
        <v>16815497</v>
      </c>
      <c r="F35" s="362">
        <f>IF(C35=0,0,E35/C35)</f>
        <v>0.08338491987409691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775</v>
      </c>
      <c r="C36" s="361">
        <f>C16+C28</f>
        <v>72052748</v>
      </c>
      <c r="D36" s="361">
        <f>LN_IA2+LN_IA12</f>
        <v>71175892</v>
      </c>
      <c r="E36" s="361">
        <f>D36-C36</f>
        <v>-876856</v>
      </c>
      <c r="F36" s="362">
        <f>IF(C36=0,0,E36/C36)</f>
        <v>-0.01216963994211574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776</v>
      </c>
      <c r="C37" s="361">
        <f>C35-C36</f>
        <v>129608380</v>
      </c>
      <c r="D37" s="361">
        <f>LN_IA17-LN_IA18</f>
        <v>147300733</v>
      </c>
      <c r="E37" s="361">
        <f>D37-C37</f>
        <v>17692353</v>
      </c>
      <c r="F37" s="362">
        <f>IF(C37=0,0,E37/C37)</f>
        <v>0.13650624288336913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182</v>
      </c>
      <c r="B39" s="356" t="s">
        <v>777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778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758</v>
      </c>
      <c r="C42" s="361">
        <v>73872061</v>
      </c>
      <c r="D42" s="361">
        <v>76065517</v>
      </c>
      <c r="E42" s="361">
        <f aca="true" t="shared" si="4" ref="E42:E53">D42-C42</f>
        <v>2193456</v>
      </c>
      <c r="F42" s="362">
        <f aca="true" t="shared" si="5" ref="F42:F53">IF(C42=0,0,E42/C42)</f>
        <v>0.02969263305108003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759</v>
      </c>
      <c r="C43" s="361">
        <v>52690249</v>
      </c>
      <c r="D43" s="361">
        <v>56138442</v>
      </c>
      <c r="E43" s="361">
        <f t="shared" si="4"/>
        <v>3448193</v>
      </c>
      <c r="F43" s="362">
        <f t="shared" si="5"/>
        <v>0.06544271597577761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760</v>
      </c>
      <c r="C44" s="366">
        <f>IF(C42=0,0,C43/C42)</f>
        <v>0.7132635571112602</v>
      </c>
      <c r="D44" s="366">
        <f>IF(LN_IB1=0,0,LN_IB2/LN_IB1)</f>
        <v>0.738027482282149</v>
      </c>
      <c r="E44" s="367">
        <f t="shared" si="4"/>
        <v>0.024763925170888768</v>
      </c>
      <c r="F44" s="362">
        <f t="shared" si="5"/>
        <v>0.03471917908042778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293</v>
      </c>
      <c r="C45" s="369">
        <v>4720</v>
      </c>
      <c r="D45" s="369">
        <v>4461</v>
      </c>
      <c r="E45" s="369">
        <f t="shared" si="4"/>
        <v>-259</v>
      </c>
      <c r="F45" s="362">
        <f t="shared" si="5"/>
        <v>-0.054872881355932206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761</v>
      </c>
      <c r="C46" s="372">
        <v>1.3637</v>
      </c>
      <c r="D46" s="372">
        <v>1.3151</v>
      </c>
      <c r="E46" s="373">
        <f t="shared" si="4"/>
        <v>-0.04859999999999998</v>
      </c>
      <c r="F46" s="362">
        <f t="shared" si="5"/>
        <v>-0.035638336877612364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762</v>
      </c>
      <c r="C47" s="376">
        <f>C45*C46</f>
        <v>6436.664</v>
      </c>
      <c r="D47" s="376">
        <f>LN_IB4*LN_IB5</f>
        <v>5866.661099999999</v>
      </c>
      <c r="E47" s="376">
        <f t="shared" si="4"/>
        <v>-570.0029000000004</v>
      </c>
      <c r="F47" s="362">
        <f t="shared" si="5"/>
        <v>-0.08855564000233668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763</v>
      </c>
      <c r="C48" s="378">
        <f>IF(C47=0,0,C43/C47)</f>
        <v>8185.956110183785</v>
      </c>
      <c r="D48" s="378">
        <f>IF(LN_IB6=0,0,LN_IB2/LN_IB6)</f>
        <v>9569.061693371039</v>
      </c>
      <c r="E48" s="378">
        <f t="shared" si="4"/>
        <v>1383.1055831872536</v>
      </c>
      <c r="F48" s="362">
        <f t="shared" si="5"/>
        <v>0.16896078656793592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779</v>
      </c>
      <c r="C49" s="378">
        <f>C21-C48</f>
        <v>-1385.0525261586636</v>
      </c>
      <c r="D49" s="378">
        <f>LN_IA7-LN_IB7</f>
        <v>-3247.2502326345575</v>
      </c>
      <c r="E49" s="378">
        <f t="shared" si="4"/>
        <v>-1862.197706475894</v>
      </c>
      <c r="F49" s="362">
        <f t="shared" si="5"/>
        <v>1.344496090441101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780</v>
      </c>
      <c r="C50" s="391">
        <f>C49*C47</f>
        <v>-8915117.733234528</v>
      </c>
      <c r="D50" s="391">
        <f>LN_IB8*LN_IB6</f>
        <v>-19050516.621763106</v>
      </c>
      <c r="E50" s="391">
        <f t="shared" si="4"/>
        <v>-10135398.888528578</v>
      </c>
      <c r="F50" s="362">
        <f t="shared" si="5"/>
        <v>1.136877738669113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295</v>
      </c>
      <c r="C51" s="369">
        <v>15493</v>
      </c>
      <c r="D51" s="369">
        <v>15280</v>
      </c>
      <c r="E51" s="369">
        <f t="shared" si="4"/>
        <v>-213</v>
      </c>
      <c r="F51" s="362">
        <f t="shared" si="5"/>
        <v>-0.013748144323242754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764</v>
      </c>
      <c r="C52" s="378">
        <f>IF(C51=0,0,C43/C51)</f>
        <v>3400.9067966178272</v>
      </c>
      <c r="D52" s="378">
        <f>IF(LN_IB10=0,0,LN_IB2/LN_IB10)</f>
        <v>3673.9818062827226</v>
      </c>
      <c r="E52" s="378">
        <f t="shared" si="4"/>
        <v>273.07500966489533</v>
      </c>
      <c r="F52" s="362">
        <f t="shared" si="5"/>
        <v>0.08029476430711541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765</v>
      </c>
      <c r="C53" s="379">
        <f>IF(C45=0,0,C51/C45)</f>
        <v>3.282415254237288</v>
      </c>
      <c r="D53" s="379">
        <f>IF(LN_IB4=0,0,LN_IB10/LN_IB4)</f>
        <v>3.4252409773593366</v>
      </c>
      <c r="E53" s="379">
        <f t="shared" si="4"/>
        <v>0.14282572312204866</v>
      </c>
      <c r="F53" s="362">
        <f t="shared" si="5"/>
        <v>0.0435123870868179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781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767</v>
      </c>
      <c r="C56" s="361">
        <v>158842480</v>
      </c>
      <c r="D56" s="361">
        <v>175770855</v>
      </c>
      <c r="E56" s="361">
        <f aca="true" t="shared" si="6" ref="E56:E63">D56-C56</f>
        <v>16928375</v>
      </c>
      <c r="F56" s="362">
        <f aca="true" t="shared" si="7" ref="F56:F63">IF(C56=0,0,E56/C56)</f>
        <v>0.10657334864074144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768</v>
      </c>
      <c r="C57" s="361">
        <v>86027651</v>
      </c>
      <c r="D57" s="361">
        <v>94581155</v>
      </c>
      <c r="E57" s="361">
        <f t="shared" si="6"/>
        <v>8553504</v>
      </c>
      <c r="F57" s="362">
        <f t="shared" si="7"/>
        <v>0.09942738062207464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769</v>
      </c>
      <c r="C58" s="366">
        <f>IF(C56=0,0,C57/C56)</f>
        <v>0.5415909585395544</v>
      </c>
      <c r="D58" s="366">
        <f>IF(LN_IB13=0,0,LN_IB14/LN_IB13)</f>
        <v>0.5380935024751401</v>
      </c>
      <c r="E58" s="367">
        <f t="shared" si="6"/>
        <v>-0.003497456064414317</v>
      </c>
      <c r="F58" s="362">
        <f t="shared" si="7"/>
        <v>-0.006457744556603201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770</v>
      </c>
      <c r="C59" s="366">
        <f>IF(C42=0,0,C56/C42)</f>
        <v>2.1502375573357835</v>
      </c>
      <c r="D59" s="366">
        <f>IF(LN_IB1=0,0,LN_IB13/LN_IB1)</f>
        <v>2.310782361473991</v>
      </c>
      <c r="E59" s="367">
        <f t="shared" si="6"/>
        <v>0.16054480413820738</v>
      </c>
      <c r="F59" s="362">
        <f t="shared" si="7"/>
        <v>0.07466375219356125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771</v>
      </c>
      <c r="C60" s="376">
        <f>C59*C45</f>
        <v>10149.121270624899</v>
      </c>
      <c r="D60" s="376">
        <f>LN_IB16*LN_IB4</f>
        <v>10308.400114535472</v>
      </c>
      <c r="E60" s="376">
        <f t="shared" si="6"/>
        <v>159.2788439105734</v>
      </c>
      <c r="F60" s="362">
        <f t="shared" si="7"/>
        <v>0.015693855621922857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772</v>
      </c>
      <c r="C61" s="378">
        <f>IF(C60=0,0,C57/C60)</f>
        <v>8476.364475907294</v>
      </c>
      <c r="D61" s="378">
        <f>IF(LN_IB17=0,0,LN_IB14/LN_IB17)</f>
        <v>9175.15365615609</v>
      </c>
      <c r="E61" s="378">
        <f t="shared" si="6"/>
        <v>698.7891802487957</v>
      </c>
      <c r="F61" s="362">
        <f t="shared" si="7"/>
        <v>0.08243972781432321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782</v>
      </c>
      <c r="C62" s="378">
        <f>C32-C61</f>
        <v>-2627.4236647101516</v>
      </c>
      <c r="D62" s="378">
        <f>LN_IA16-LN_IB18</f>
        <v>-3632.097751386699</v>
      </c>
      <c r="E62" s="378">
        <f t="shared" si="6"/>
        <v>-1004.6740866765476</v>
      </c>
      <c r="F62" s="362">
        <f t="shared" si="7"/>
        <v>0.38237993368586787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783</v>
      </c>
      <c r="C63" s="361">
        <f>C62*C60</f>
        <v>-26666041.40245302</v>
      </c>
      <c r="D63" s="361">
        <f>LN_IB19*LN_IB17</f>
        <v>-37441116.87639868</v>
      </c>
      <c r="E63" s="361">
        <f t="shared" si="6"/>
        <v>-10775075.473945662</v>
      </c>
      <c r="F63" s="362">
        <f t="shared" si="7"/>
        <v>0.40407480477977725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784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774</v>
      </c>
      <c r="C66" s="361">
        <f>C42+C56</f>
        <v>232714541</v>
      </c>
      <c r="D66" s="361">
        <f>LN_IB1+LN_IB13</f>
        <v>251836372</v>
      </c>
      <c r="E66" s="361">
        <f>D66-C66</f>
        <v>19121831</v>
      </c>
      <c r="F66" s="362">
        <f>IF(C66=0,0,E66/C66)</f>
        <v>0.0821686127468932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775</v>
      </c>
      <c r="C67" s="361">
        <f>C43+C57</f>
        <v>138717900</v>
      </c>
      <c r="D67" s="361">
        <f>LN_IB2+LN_IB14</f>
        <v>150719597</v>
      </c>
      <c r="E67" s="361">
        <f>D67-C67</f>
        <v>12001697</v>
      </c>
      <c r="F67" s="362">
        <f>IF(C67=0,0,E67/C67)</f>
        <v>0.08651873334299323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776</v>
      </c>
      <c r="C68" s="361">
        <f>C66-C67</f>
        <v>93996641</v>
      </c>
      <c r="D68" s="361">
        <f>LN_IB21-LN_IB22</f>
        <v>101116775</v>
      </c>
      <c r="E68" s="361">
        <f>D68-C68</f>
        <v>7120134</v>
      </c>
      <c r="F68" s="362">
        <f>IF(C68=0,0,E68/C68)</f>
        <v>0.07574881319429276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785</v>
      </c>
      <c r="C70" s="353">
        <f>C50+C63</f>
        <v>-35581159.135687545</v>
      </c>
      <c r="D70" s="353">
        <f>LN_IB9+LN_IB20</f>
        <v>-56491633.49816179</v>
      </c>
      <c r="E70" s="361">
        <f>D70-C70</f>
        <v>-20910474.362474248</v>
      </c>
      <c r="F70" s="362">
        <f>IF(C70=0,0,E70/C70)</f>
        <v>0.5876838998620832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786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787</v>
      </c>
      <c r="C73" s="400">
        <v>202370905</v>
      </c>
      <c r="D73" s="400">
        <v>217279782</v>
      </c>
      <c r="E73" s="400">
        <f>D73-C73</f>
        <v>14908877</v>
      </c>
      <c r="F73" s="401">
        <f>IF(C73=0,0,E73/C73)</f>
        <v>0.07367104969956031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788</v>
      </c>
      <c r="C74" s="400">
        <v>134214632</v>
      </c>
      <c r="D74" s="400">
        <v>145881679</v>
      </c>
      <c r="E74" s="400">
        <f>D74-C74</f>
        <v>11667047</v>
      </c>
      <c r="F74" s="401">
        <f>IF(C74=0,0,E74/C74)</f>
        <v>0.08692827917599923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789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790</v>
      </c>
      <c r="C76" s="353">
        <f>C73-C74</f>
        <v>68156273</v>
      </c>
      <c r="D76" s="353">
        <f>LN_IB32-LN_IB33</f>
        <v>71398103</v>
      </c>
      <c r="E76" s="400">
        <f>D76-C76</f>
        <v>3241830</v>
      </c>
      <c r="F76" s="401">
        <f>IF(C76=0,0,E76/C76)</f>
        <v>0.04756466070261794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791</v>
      </c>
      <c r="C77" s="366">
        <f>IF(C73=0,0,C76/C73)</f>
        <v>0.33678889265233064</v>
      </c>
      <c r="D77" s="366">
        <f>IF(LN_IB1=0,0,LN_IB34/LN_IB32)</f>
        <v>0.32859984644130397</v>
      </c>
      <c r="E77" s="405">
        <f>D77-C77</f>
        <v>-0.008189046211026674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192</v>
      </c>
      <c r="B79" s="356" t="s">
        <v>792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793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758</v>
      </c>
      <c r="C83" s="361">
        <v>4441859</v>
      </c>
      <c r="D83" s="361">
        <v>4648083</v>
      </c>
      <c r="E83" s="361">
        <f aca="true" t="shared" si="8" ref="E83:E95">D83-C83</f>
        <v>206224</v>
      </c>
      <c r="F83" s="362">
        <f aca="true" t="shared" si="9" ref="F83:F95">IF(C83=0,0,E83/C83)</f>
        <v>0.04642740798390944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759</v>
      </c>
      <c r="C84" s="361">
        <v>1020992</v>
      </c>
      <c r="D84" s="361">
        <v>839769</v>
      </c>
      <c r="E84" s="361">
        <f t="shared" si="8"/>
        <v>-181223</v>
      </c>
      <c r="F84" s="362">
        <f t="shared" si="9"/>
        <v>-0.17749698332602018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760</v>
      </c>
      <c r="C85" s="366">
        <f>IF(C83=0,0,C84/C83)</f>
        <v>0.22985691351301335</v>
      </c>
      <c r="D85" s="366">
        <f>IF(LN_IC1=0,0,LN_IC2/LN_IC1)</f>
        <v>0.18066996652168216</v>
      </c>
      <c r="E85" s="367">
        <f t="shared" si="8"/>
        <v>-0.04918694699133119</v>
      </c>
      <c r="F85" s="362">
        <f t="shared" si="9"/>
        <v>-0.21398941732743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293</v>
      </c>
      <c r="C86" s="369">
        <v>350</v>
      </c>
      <c r="D86" s="369">
        <v>265</v>
      </c>
      <c r="E86" s="369">
        <f t="shared" si="8"/>
        <v>-85</v>
      </c>
      <c r="F86" s="362">
        <f t="shared" si="9"/>
        <v>-0.24285714285714285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761</v>
      </c>
      <c r="C87" s="372">
        <v>1.135</v>
      </c>
      <c r="D87" s="372">
        <v>1.1848</v>
      </c>
      <c r="E87" s="373">
        <f t="shared" si="8"/>
        <v>0.049800000000000066</v>
      </c>
      <c r="F87" s="362">
        <f t="shared" si="9"/>
        <v>0.04387665198237891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762</v>
      </c>
      <c r="C88" s="376">
        <f>C86*C87</f>
        <v>397.25</v>
      </c>
      <c r="D88" s="376">
        <f>LN_IC4*LN_IC5</f>
        <v>313.97200000000004</v>
      </c>
      <c r="E88" s="376">
        <f t="shared" si="8"/>
        <v>-83.27799999999996</v>
      </c>
      <c r="F88" s="362">
        <f t="shared" si="9"/>
        <v>-0.20963624921334162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763</v>
      </c>
      <c r="C89" s="378">
        <f>IF(C88=0,0,C84/C88)</f>
        <v>2570.149779735683</v>
      </c>
      <c r="D89" s="378">
        <f>IF(LN_IC6=0,0,LN_IC2/LN_IC6)</f>
        <v>2674.6620717771007</v>
      </c>
      <c r="E89" s="378">
        <f t="shared" si="8"/>
        <v>104.51229204141782</v>
      </c>
      <c r="F89" s="362">
        <f t="shared" si="9"/>
        <v>0.04066389160096576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794</v>
      </c>
      <c r="C90" s="378">
        <f>C48-C89</f>
        <v>5615.806330448102</v>
      </c>
      <c r="D90" s="378">
        <f>LN_IB7-LN_IC7</f>
        <v>6894.399621593939</v>
      </c>
      <c r="E90" s="378">
        <f t="shared" si="8"/>
        <v>1278.5932911458367</v>
      </c>
      <c r="F90" s="362">
        <f t="shared" si="9"/>
        <v>0.22767759710898255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795</v>
      </c>
      <c r="C91" s="378">
        <f>C21-C89</f>
        <v>4230.753804289439</v>
      </c>
      <c r="D91" s="378">
        <f>LN_IA7-LN_IC7</f>
        <v>3647.1493889593808</v>
      </c>
      <c r="E91" s="378">
        <f t="shared" si="8"/>
        <v>-583.6044153300586</v>
      </c>
      <c r="F91" s="362">
        <f t="shared" si="9"/>
        <v>-0.13794336478250258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780</v>
      </c>
      <c r="C92" s="353">
        <f>C91*C88</f>
        <v>1680666.9487539798</v>
      </c>
      <c r="D92" s="353">
        <f>LN_IC9*LN_IC6</f>
        <v>1145102.7879503549</v>
      </c>
      <c r="E92" s="353">
        <f t="shared" si="8"/>
        <v>-535564.1608036249</v>
      </c>
      <c r="F92" s="362">
        <f t="shared" si="9"/>
        <v>-0.3186616843989726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295</v>
      </c>
      <c r="C93" s="369">
        <v>1016</v>
      </c>
      <c r="D93" s="369">
        <v>1101</v>
      </c>
      <c r="E93" s="369">
        <f t="shared" si="8"/>
        <v>85</v>
      </c>
      <c r="F93" s="362">
        <f t="shared" si="9"/>
        <v>0.08366141732283465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764</v>
      </c>
      <c r="C94" s="411">
        <f>IF(C93=0,0,C84/C93)</f>
        <v>1004.9133858267717</v>
      </c>
      <c r="D94" s="411">
        <f>IF(LN_IC11=0,0,LN_IC2/LN_IC11)</f>
        <v>762.7329700272479</v>
      </c>
      <c r="E94" s="411">
        <f t="shared" si="8"/>
        <v>-242.18041579952376</v>
      </c>
      <c r="F94" s="362">
        <f t="shared" si="9"/>
        <v>-0.24099630795570987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765</v>
      </c>
      <c r="C95" s="379">
        <f>IF(C86=0,0,C93/C86)</f>
        <v>2.902857142857143</v>
      </c>
      <c r="D95" s="379">
        <f>IF(LN_IC4=0,0,LN_IC11/LN_IC4)</f>
        <v>4.154716981132076</v>
      </c>
      <c r="E95" s="379">
        <f t="shared" si="8"/>
        <v>1.2518598382749326</v>
      </c>
      <c r="F95" s="362">
        <f t="shared" si="9"/>
        <v>0.4312509285395929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796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767</v>
      </c>
      <c r="C98" s="361">
        <v>10713332</v>
      </c>
      <c r="D98" s="361">
        <v>11539441</v>
      </c>
      <c r="E98" s="361">
        <f aca="true" t="shared" si="10" ref="E98:E106">D98-C98</f>
        <v>826109</v>
      </c>
      <c r="F98" s="362">
        <f aca="true" t="shared" si="11" ref="F98:F106">IF(C98=0,0,E98/C98)</f>
        <v>0.07711037051778102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768</v>
      </c>
      <c r="C99" s="361">
        <v>2232432</v>
      </c>
      <c r="D99" s="361">
        <v>2437935</v>
      </c>
      <c r="E99" s="361">
        <f t="shared" si="10"/>
        <v>205503</v>
      </c>
      <c r="F99" s="362">
        <f t="shared" si="11"/>
        <v>0.0920534197682169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769</v>
      </c>
      <c r="C100" s="366">
        <f>IF(C98=0,0,C99/C98)</f>
        <v>0.2083788684976812</v>
      </c>
      <c r="D100" s="366">
        <f>IF(LN_IC14=0,0,LN_IC15/LN_IC14)</f>
        <v>0.21126976601379563</v>
      </c>
      <c r="E100" s="367">
        <f t="shared" si="10"/>
        <v>0.0028908975161144324</v>
      </c>
      <c r="F100" s="362">
        <f t="shared" si="11"/>
        <v>0.013873275812257333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770</v>
      </c>
      <c r="C101" s="366">
        <f>IF(C83=0,0,C98/C83)</f>
        <v>2.411902764135467</v>
      </c>
      <c r="D101" s="366">
        <f>IF(LN_IC1=0,0,LN_IC14/LN_IC1)</f>
        <v>2.482623696693884</v>
      </c>
      <c r="E101" s="367">
        <f t="shared" si="10"/>
        <v>0.07072093255841727</v>
      </c>
      <c r="F101" s="362">
        <f t="shared" si="11"/>
        <v>0.02932163502195197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771</v>
      </c>
      <c r="C102" s="376">
        <f>C101*C86</f>
        <v>844.1659674474134</v>
      </c>
      <c r="D102" s="376">
        <f>LN_IC17*LN_IC4</f>
        <v>657.8952796238793</v>
      </c>
      <c r="E102" s="376">
        <f t="shared" si="10"/>
        <v>-186.2706878235341</v>
      </c>
      <c r="F102" s="362">
        <f t="shared" si="11"/>
        <v>-0.22065647634052207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772</v>
      </c>
      <c r="C103" s="378">
        <f>IF(C102=0,0,C99/C102)</f>
        <v>2644.541578417833</v>
      </c>
      <c r="D103" s="378">
        <f>IF(LN_IC18=0,0,LN_IC15/LN_IC18)</f>
        <v>3705.658142727175</v>
      </c>
      <c r="E103" s="378">
        <f t="shared" si="10"/>
        <v>1061.1165643093418</v>
      </c>
      <c r="F103" s="362">
        <f t="shared" si="11"/>
        <v>0.4012478279672891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797</v>
      </c>
      <c r="C104" s="378">
        <f>C61-C103</f>
        <v>5831.822897489461</v>
      </c>
      <c r="D104" s="378">
        <f>LN_IB18-LN_IC19</f>
        <v>5469.495513428915</v>
      </c>
      <c r="E104" s="378">
        <f t="shared" si="10"/>
        <v>-362.32738406054614</v>
      </c>
      <c r="F104" s="362">
        <f t="shared" si="11"/>
        <v>-0.062129353107846313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798</v>
      </c>
      <c r="C105" s="378">
        <f>C32-C103</f>
        <v>3204.3992327793094</v>
      </c>
      <c r="D105" s="378">
        <f>LN_IA16-LN_IC19</f>
        <v>1837.3977620422156</v>
      </c>
      <c r="E105" s="378">
        <f t="shared" si="10"/>
        <v>-1367.0014707370938</v>
      </c>
      <c r="F105" s="362">
        <f t="shared" si="11"/>
        <v>-0.4266014848441454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783</v>
      </c>
      <c r="C106" s="361">
        <f>C105*C102</f>
        <v>2705044.778426895</v>
      </c>
      <c r="D106" s="361">
        <f>LN_IC21*LN_IC18</f>
        <v>1208815.3144390536</v>
      </c>
      <c r="E106" s="361">
        <f t="shared" si="10"/>
        <v>-1496229.4639878413</v>
      </c>
      <c r="F106" s="362">
        <f t="shared" si="11"/>
        <v>-0.5531255807373237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799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774</v>
      </c>
      <c r="C109" s="361">
        <f>C83+C98</f>
        <v>15155191</v>
      </c>
      <c r="D109" s="361">
        <f>LN_IC1+LN_IC14</f>
        <v>16187524</v>
      </c>
      <c r="E109" s="361">
        <f>D109-C109</f>
        <v>1032333</v>
      </c>
      <c r="F109" s="362">
        <f>IF(C109=0,0,E109/C109)</f>
        <v>0.06811745229736794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775</v>
      </c>
      <c r="C110" s="361">
        <f>C84+C99</f>
        <v>3253424</v>
      </c>
      <c r="D110" s="361">
        <f>LN_IC2+LN_IC15</f>
        <v>3277704</v>
      </c>
      <c r="E110" s="361">
        <f>D110-C110</f>
        <v>24280</v>
      </c>
      <c r="F110" s="362">
        <f>IF(C110=0,0,E110/C110)</f>
        <v>0.007462906771450632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776</v>
      </c>
      <c r="C111" s="361">
        <f>C109-C110</f>
        <v>11901767</v>
      </c>
      <c r="D111" s="361">
        <f>LN_IC23-LN_IC24</f>
        <v>12909820</v>
      </c>
      <c r="E111" s="361">
        <f>D111-C111</f>
        <v>1008053</v>
      </c>
      <c r="F111" s="362">
        <f>IF(C111=0,0,E111/C111)</f>
        <v>0.08469775958477425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785</v>
      </c>
      <c r="C113" s="361">
        <f>C92+C106</f>
        <v>4385711.727180875</v>
      </c>
      <c r="D113" s="361">
        <f>LN_IC10+LN_IC22</f>
        <v>2353918.1023894083</v>
      </c>
      <c r="E113" s="361">
        <f>D113-C113</f>
        <v>-2031793.6247914666</v>
      </c>
      <c r="F113" s="362">
        <f>IF(C113=0,0,E113/C113)</f>
        <v>-0.4632756895988462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477</v>
      </c>
      <c r="B115" s="356" t="s">
        <v>800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801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758</v>
      </c>
      <c r="C118" s="361">
        <v>19659046</v>
      </c>
      <c r="D118" s="361">
        <v>21740269</v>
      </c>
      <c r="E118" s="361">
        <f aca="true" t="shared" si="12" ref="E118:E130">D118-C118</f>
        <v>2081223</v>
      </c>
      <c r="F118" s="362">
        <f aca="true" t="shared" si="13" ref="F118:F130">IF(C118=0,0,E118/C118)</f>
        <v>0.10586592045209112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759</v>
      </c>
      <c r="C119" s="361">
        <v>5220515</v>
      </c>
      <c r="D119" s="361">
        <v>6181260</v>
      </c>
      <c r="E119" s="361">
        <f t="shared" si="12"/>
        <v>960745</v>
      </c>
      <c r="F119" s="362">
        <f t="shared" si="13"/>
        <v>0.1840326098095686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760</v>
      </c>
      <c r="C120" s="366">
        <f>IF(C118=0,0,C119/C118)</f>
        <v>0.2655528147194935</v>
      </c>
      <c r="D120" s="366">
        <f>IF(LN_ID1=0,0,LN_1D2/LN_ID1)</f>
        <v>0.2843230688635913</v>
      </c>
      <c r="E120" s="367">
        <f t="shared" si="12"/>
        <v>0.01877025414409783</v>
      </c>
      <c r="F120" s="362">
        <f t="shared" si="13"/>
        <v>0.0706836949324942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293</v>
      </c>
      <c r="C121" s="369">
        <v>1459</v>
      </c>
      <c r="D121" s="369">
        <v>1764</v>
      </c>
      <c r="E121" s="369">
        <f t="shared" si="12"/>
        <v>305</v>
      </c>
      <c r="F121" s="362">
        <f t="shared" si="13"/>
        <v>0.20904729266620972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761</v>
      </c>
      <c r="C122" s="372">
        <v>1.0184</v>
      </c>
      <c r="D122" s="372">
        <v>0.8944</v>
      </c>
      <c r="E122" s="373">
        <f t="shared" si="12"/>
        <v>-0.124</v>
      </c>
      <c r="F122" s="362">
        <f t="shared" si="13"/>
        <v>-0.12175962293794187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762</v>
      </c>
      <c r="C123" s="376">
        <f>C121*C122</f>
        <v>1485.8455999999999</v>
      </c>
      <c r="D123" s="376">
        <f>LN_ID4*LN_ID5</f>
        <v>1577.7215999999999</v>
      </c>
      <c r="E123" s="376">
        <f t="shared" si="12"/>
        <v>91.87599999999998</v>
      </c>
      <c r="F123" s="362">
        <f t="shared" si="13"/>
        <v>0.061834150197032575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763</v>
      </c>
      <c r="C124" s="378">
        <f>IF(C123=0,0,C119/C123)</f>
        <v>3513.4976339398927</v>
      </c>
      <c r="D124" s="378">
        <f>IF(LN_ID6=0,0,LN_1D2/LN_ID6)</f>
        <v>3917.8394971584344</v>
      </c>
      <c r="E124" s="378">
        <f t="shared" si="12"/>
        <v>404.3418632185417</v>
      </c>
      <c r="F124" s="362">
        <f t="shared" si="13"/>
        <v>0.11508243503927715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802</v>
      </c>
      <c r="C125" s="378">
        <f>C48-C124</f>
        <v>4672.458476243893</v>
      </c>
      <c r="D125" s="378">
        <f>LN_IB7-LN_ID7</f>
        <v>5651.222196212604</v>
      </c>
      <c r="E125" s="378">
        <f t="shared" si="12"/>
        <v>978.7637199687115</v>
      </c>
      <c r="F125" s="362">
        <f t="shared" si="13"/>
        <v>0.20947510287036783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803</v>
      </c>
      <c r="C126" s="378">
        <f>C21-C124</f>
        <v>3287.405950085229</v>
      </c>
      <c r="D126" s="378">
        <f>LN_IA7-LN_ID7</f>
        <v>2403.971963578047</v>
      </c>
      <c r="E126" s="378">
        <f t="shared" si="12"/>
        <v>-883.433986507182</v>
      </c>
      <c r="F126" s="362">
        <f t="shared" si="13"/>
        <v>-0.26873285499902383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780</v>
      </c>
      <c r="C127" s="391">
        <f>C126*C123</f>
        <v>4884577.666347957</v>
      </c>
      <c r="D127" s="391">
        <f>LN_ID9*LN_ID6</f>
        <v>3792798.4927314976</v>
      </c>
      <c r="E127" s="391">
        <f t="shared" si="12"/>
        <v>-1091779.1736164596</v>
      </c>
      <c r="F127" s="362">
        <f t="shared" si="13"/>
        <v>-0.22351557252087836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295</v>
      </c>
      <c r="C128" s="369">
        <v>5761</v>
      </c>
      <c r="D128" s="369">
        <v>6270</v>
      </c>
      <c r="E128" s="369">
        <f t="shared" si="12"/>
        <v>509</v>
      </c>
      <c r="F128" s="362">
        <f t="shared" si="13"/>
        <v>0.08835271654226697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764</v>
      </c>
      <c r="C129" s="378">
        <f>IF(C128=0,0,C119/C128)</f>
        <v>906.1820864433258</v>
      </c>
      <c r="D129" s="378">
        <f>IF(LN_ID11=0,0,LN_1D2/LN_ID11)</f>
        <v>985.8468899521531</v>
      </c>
      <c r="E129" s="378">
        <f t="shared" si="12"/>
        <v>79.66480350882728</v>
      </c>
      <c r="F129" s="362">
        <f t="shared" si="13"/>
        <v>0.08791257816793055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765</v>
      </c>
      <c r="C130" s="379">
        <f>IF(C121=0,0,C128/C121)</f>
        <v>3.9485949280328994</v>
      </c>
      <c r="D130" s="379">
        <f>IF(LN_ID4=0,0,LN_ID11/LN_ID4)</f>
        <v>3.554421768707483</v>
      </c>
      <c r="E130" s="379">
        <f t="shared" si="12"/>
        <v>-0.3941731593254163</v>
      </c>
      <c r="F130" s="362">
        <f t="shared" si="13"/>
        <v>-0.09982618285988237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804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767</v>
      </c>
      <c r="C133" s="361">
        <v>30149641</v>
      </c>
      <c r="D133" s="361">
        <v>37356397</v>
      </c>
      <c r="E133" s="361">
        <f aca="true" t="shared" si="14" ref="E133:E141">D133-C133</f>
        <v>7206756</v>
      </c>
      <c r="F133" s="362">
        <f aca="true" t="shared" si="15" ref="F133:F141">IF(C133=0,0,E133/C133)</f>
        <v>0.2390328959472519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768</v>
      </c>
      <c r="C134" s="361">
        <v>7874248</v>
      </c>
      <c r="D134" s="361">
        <v>10155897</v>
      </c>
      <c r="E134" s="361">
        <f t="shared" si="14"/>
        <v>2281649</v>
      </c>
      <c r="F134" s="362">
        <f t="shared" si="15"/>
        <v>0.28976087621319524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769</v>
      </c>
      <c r="C135" s="366">
        <f>IF(C133=0,0,C134/C133)</f>
        <v>0.2611721977054387</v>
      </c>
      <c r="D135" s="366">
        <f>IF(LN_ID14=0,0,LN_ID15/LN_ID14)</f>
        <v>0.2718650034691515</v>
      </c>
      <c r="E135" s="367">
        <f t="shared" si="14"/>
        <v>0.010692805763712787</v>
      </c>
      <c r="F135" s="362">
        <f t="shared" si="15"/>
        <v>0.040941592779230644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770</v>
      </c>
      <c r="C136" s="366">
        <f>IF(C118=0,0,C133/C118)</f>
        <v>1.533626860631996</v>
      </c>
      <c r="D136" s="366">
        <f>IF(LN_ID1=0,0,LN_ID14/LN_ID1)</f>
        <v>1.7183042675322924</v>
      </c>
      <c r="E136" s="367">
        <f t="shared" si="14"/>
        <v>0.18467740690029633</v>
      </c>
      <c r="F136" s="362">
        <f t="shared" si="15"/>
        <v>0.12041873524841118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771</v>
      </c>
      <c r="C137" s="376">
        <f>C136*C121</f>
        <v>2237.561589662082</v>
      </c>
      <c r="D137" s="376">
        <f>LN_ID17*LN_ID4</f>
        <v>3031.0887279269637</v>
      </c>
      <c r="E137" s="376">
        <f t="shared" si="14"/>
        <v>793.5271382648816</v>
      </c>
      <c r="F137" s="362">
        <f t="shared" si="15"/>
        <v>0.35463923850459045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772</v>
      </c>
      <c r="C138" s="378">
        <f>IF(C137=0,0,C134/C137)</f>
        <v>3519.120115567042</v>
      </c>
      <c r="D138" s="378">
        <f>IF(LN_ID18=0,0,LN_ID15/LN_ID18)</f>
        <v>3350.5772716016363</v>
      </c>
      <c r="E138" s="378">
        <f t="shared" si="14"/>
        <v>-168.5428439654056</v>
      </c>
      <c r="F138" s="362">
        <f t="shared" si="15"/>
        <v>-0.0478934615558719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805</v>
      </c>
      <c r="C139" s="378">
        <f>C61-C138</f>
        <v>4957.244360340252</v>
      </c>
      <c r="D139" s="378">
        <f>LN_IB18-LN_ID19</f>
        <v>5824.576384554453</v>
      </c>
      <c r="E139" s="378">
        <f t="shared" si="14"/>
        <v>867.3320242142017</v>
      </c>
      <c r="F139" s="362">
        <f t="shared" si="15"/>
        <v>0.17496253183586666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806</v>
      </c>
      <c r="C140" s="378">
        <f>C32-C138</f>
        <v>2329.8206956301005</v>
      </c>
      <c r="D140" s="378">
        <f>LN_IA16-LN_ID19</f>
        <v>2192.478633167754</v>
      </c>
      <c r="E140" s="378">
        <f t="shared" si="14"/>
        <v>-137.34206246234635</v>
      </c>
      <c r="F140" s="362">
        <f t="shared" si="15"/>
        <v>-0.05894962763441423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783</v>
      </c>
      <c r="C141" s="353">
        <f>C140*C137</f>
        <v>5213117.299341706</v>
      </c>
      <c r="D141" s="353">
        <f>LN_ID21*LN_ID18</f>
        <v>6645597.271215496</v>
      </c>
      <c r="E141" s="353">
        <f t="shared" si="14"/>
        <v>1432479.97187379</v>
      </c>
      <c r="F141" s="362">
        <f t="shared" si="15"/>
        <v>0.2747837598157783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807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774</v>
      </c>
      <c r="C144" s="361">
        <f>C118+C133</f>
        <v>49808687</v>
      </c>
      <c r="D144" s="361">
        <f>LN_ID1+LN_ID14</f>
        <v>59096666</v>
      </c>
      <c r="E144" s="361">
        <f>D144-C144</f>
        <v>9287979</v>
      </c>
      <c r="F144" s="362">
        <f>IF(C144=0,0,E144/C144)</f>
        <v>0.1864730744659059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775</v>
      </c>
      <c r="C145" s="361">
        <f>C119+C134</f>
        <v>13094763</v>
      </c>
      <c r="D145" s="361">
        <f>LN_1D2+LN_ID15</f>
        <v>16337157</v>
      </c>
      <c r="E145" s="361">
        <f>D145-C145</f>
        <v>3242394</v>
      </c>
      <c r="F145" s="362">
        <f>IF(C145=0,0,E145/C145)</f>
        <v>0.2476099796536982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776</v>
      </c>
      <c r="C146" s="361">
        <f>C144-C145</f>
        <v>36713924</v>
      </c>
      <c r="D146" s="361">
        <f>LN_ID23-LN_ID24</f>
        <v>42759509</v>
      </c>
      <c r="E146" s="361">
        <f>D146-C146</f>
        <v>6045585</v>
      </c>
      <c r="F146" s="362">
        <f>IF(C146=0,0,E146/C146)</f>
        <v>0.16466736162552387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785</v>
      </c>
      <c r="C148" s="361">
        <f>C127+C141</f>
        <v>10097694.965689663</v>
      </c>
      <c r="D148" s="361">
        <f>LN_ID10+LN_ID22</f>
        <v>10438395.763946993</v>
      </c>
      <c r="E148" s="361">
        <f>D148-C148</f>
        <v>340700.79825733043</v>
      </c>
      <c r="F148" s="415">
        <f>IF(C148=0,0,E148/C148)</f>
        <v>0.03374045258992044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498</v>
      </c>
      <c r="B150" s="356" t="s">
        <v>808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809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758</v>
      </c>
      <c r="C153" s="361">
        <v>7947046</v>
      </c>
      <c r="D153" s="361">
        <v>9448063</v>
      </c>
      <c r="E153" s="361">
        <f aca="true" t="shared" si="16" ref="E153:E165">D153-C153</f>
        <v>1501017</v>
      </c>
      <c r="F153" s="362">
        <f aca="true" t="shared" si="17" ref="F153:F165">IF(C153=0,0,E153/C153)</f>
        <v>0.18887735140830944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759</v>
      </c>
      <c r="C154" s="361">
        <v>1343865</v>
      </c>
      <c r="D154" s="361">
        <v>1429087</v>
      </c>
      <c r="E154" s="361">
        <f t="shared" si="16"/>
        <v>85222</v>
      </c>
      <c r="F154" s="362">
        <f t="shared" si="17"/>
        <v>0.06341559606061621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760</v>
      </c>
      <c r="C155" s="366">
        <f>IF(C153=0,0,C154/C153)</f>
        <v>0.16910245643475574</v>
      </c>
      <c r="D155" s="366">
        <f>IF(LN_IE1=0,0,LN_IE2/LN_IE1)</f>
        <v>0.151257141278588</v>
      </c>
      <c r="E155" s="367">
        <f t="shared" si="16"/>
        <v>-0.017845315156167746</v>
      </c>
      <c r="F155" s="362">
        <f t="shared" si="17"/>
        <v>-0.10552960336831621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293</v>
      </c>
      <c r="C156" s="419">
        <v>449</v>
      </c>
      <c r="D156" s="419">
        <v>384</v>
      </c>
      <c r="E156" s="419">
        <f t="shared" si="16"/>
        <v>-65</v>
      </c>
      <c r="F156" s="362">
        <f t="shared" si="17"/>
        <v>-0.1447661469933185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761</v>
      </c>
      <c r="C157" s="372">
        <v>1.1766</v>
      </c>
      <c r="D157" s="372">
        <v>1.2721</v>
      </c>
      <c r="E157" s="373">
        <f t="shared" si="16"/>
        <v>0.09549999999999992</v>
      </c>
      <c r="F157" s="362">
        <f t="shared" si="17"/>
        <v>0.0811660717321094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762</v>
      </c>
      <c r="C158" s="376">
        <f>C156*C157</f>
        <v>528.2934</v>
      </c>
      <c r="D158" s="376">
        <f>LN_IE4*LN_IE5</f>
        <v>488.4864</v>
      </c>
      <c r="E158" s="376">
        <f t="shared" si="16"/>
        <v>-39.807000000000016</v>
      </c>
      <c r="F158" s="362">
        <f t="shared" si="17"/>
        <v>-0.07535017473244984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763</v>
      </c>
      <c r="C159" s="378">
        <f>IF(C158=0,0,C154/C158)</f>
        <v>2543.785328380025</v>
      </c>
      <c r="D159" s="378">
        <f>IF(LN_IE6=0,0,LN_IE2/LN_IE6)</f>
        <v>2925.5410181327466</v>
      </c>
      <c r="E159" s="378">
        <f t="shared" si="16"/>
        <v>381.75568975272154</v>
      </c>
      <c r="F159" s="362">
        <f t="shared" si="17"/>
        <v>0.15007386255971428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810</v>
      </c>
      <c r="C160" s="378">
        <f>C48-C159</f>
        <v>5642.17078180376</v>
      </c>
      <c r="D160" s="378">
        <f>LN_IB7-LN_IE7</f>
        <v>6643.520675238293</v>
      </c>
      <c r="E160" s="378">
        <f t="shared" si="16"/>
        <v>1001.3498934345325</v>
      </c>
      <c r="F160" s="362">
        <f t="shared" si="17"/>
        <v>0.17747599854012366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811</v>
      </c>
      <c r="C161" s="378">
        <f>C21-C159</f>
        <v>4257.118255645097</v>
      </c>
      <c r="D161" s="378">
        <f>LN_IA7-LN_IE7</f>
        <v>3396.270442603735</v>
      </c>
      <c r="E161" s="378">
        <f t="shared" si="16"/>
        <v>-860.8478130413619</v>
      </c>
      <c r="F161" s="362">
        <f t="shared" si="17"/>
        <v>-0.20221374210120796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780</v>
      </c>
      <c r="C162" s="391">
        <f>C161*C158</f>
        <v>2249007.4774768176</v>
      </c>
      <c r="D162" s="391">
        <f>LN_IE9*LN_IE6</f>
        <v>1659031.921933905</v>
      </c>
      <c r="E162" s="391">
        <f t="shared" si="16"/>
        <v>-589975.5555429126</v>
      </c>
      <c r="F162" s="362">
        <f t="shared" si="17"/>
        <v>-0.2623270760330293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295</v>
      </c>
      <c r="C163" s="369">
        <v>2026</v>
      </c>
      <c r="D163" s="369">
        <v>1826</v>
      </c>
      <c r="E163" s="419">
        <f t="shared" si="16"/>
        <v>-200</v>
      </c>
      <c r="F163" s="362">
        <f t="shared" si="17"/>
        <v>-0.09871668311944719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764</v>
      </c>
      <c r="C164" s="378">
        <f>IF(C163=0,0,C154/C163)</f>
        <v>663.3094768015794</v>
      </c>
      <c r="D164" s="378">
        <f>IF(LN_IE11=0,0,LN_IE2/LN_IE11)</f>
        <v>782.6325301204819</v>
      </c>
      <c r="E164" s="378">
        <f t="shared" si="16"/>
        <v>119.32305331890245</v>
      </c>
      <c r="F164" s="362">
        <f t="shared" si="17"/>
        <v>0.17989046967076036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765</v>
      </c>
      <c r="C165" s="379">
        <f>IF(C156=0,0,C163/C156)</f>
        <v>4.512249443207127</v>
      </c>
      <c r="D165" s="379">
        <f>IF(LN_IE4=0,0,LN_IE11/LN_IE4)</f>
        <v>4.755208333333333</v>
      </c>
      <c r="E165" s="379">
        <f t="shared" si="16"/>
        <v>0.2429588901262063</v>
      </c>
      <c r="F165" s="362">
        <f t="shared" si="17"/>
        <v>0.053844294998354705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812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767</v>
      </c>
      <c r="C168" s="424">
        <v>10078368</v>
      </c>
      <c r="D168" s="424">
        <v>12411358</v>
      </c>
      <c r="E168" s="424">
        <f aca="true" t="shared" si="18" ref="E168:E176">D168-C168</f>
        <v>2332990</v>
      </c>
      <c r="F168" s="362">
        <f aca="true" t="shared" si="19" ref="F168:F176">IF(C168=0,0,E168/C168)</f>
        <v>0.23148489914240084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768</v>
      </c>
      <c r="C169" s="424">
        <v>1647804</v>
      </c>
      <c r="D169" s="424">
        <v>2273170</v>
      </c>
      <c r="E169" s="424">
        <f t="shared" si="18"/>
        <v>625366</v>
      </c>
      <c r="F169" s="362">
        <f t="shared" si="19"/>
        <v>0.3795147966627099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769</v>
      </c>
      <c r="C170" s="366">
        <f>IF(C168=0,0,C169/C168)</f>
        <v>0.16349909032891038</v>
      </c>
      <c r="D170" s="366">
        <f>IF(LN_IE14=0,0,LN_IE15/LN_IE14)</f>
        <v>0.1831523996004305</v>
      </c>
      <c r="E170" s="367">
        <f t="shared" si="18"/>
        <v>0.01965330927152012</v>
      </c>
      <c r="F170" s="362">
        <f t="shared" si="19"/>
        <v>0.1202043952170232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770</v>
      </c>
      <c r="C171" s="366">
        <f>IF(C153=0,0,C168/C153)</f>
        <v>1.2681904697670052</v>
      </c>
      <c r="D171" s="366">
        <f>IF(LN_IE1=0,0,LN_IE14/LN_IE1)</f>
        <v>1.3136404784769111</v>
      </c>
      <c r="E171" s="367">
        <f t="shared" si="18"/>
        <v>0.0454500087099059</v>
      </c>
      <c r="F171" s="362">
        <f t="shared" si="19"/>
        <v>0.035838472054009425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771</v>
      </c>
      <c r="C172" s="376">
        <f>C171*C156</f>
        <v>569.4175209253854</v>
      </c>
      <c r="D172" s="376">
        <f>LN_IE17*LN_IE4</f>
        <v>504.4379437351339</v>
      </c>
      <c r="E172" s="376">
        <f t="shared" si="18"/>
        <v>-64.97957719025146</v>
      </c>
      <c r="F172" s="362">
        <f t="shared" si="19"/>
        <v>-0.11411587245269571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772</v>
      </c>
      <c r="C173" s="378">
        <f>IF(C172=0,0,C169/C172)</f>
        <v>2893.8414071314164</v>
      </c>
      <c r="D173" s="378">
        <f>IF(LN_IE18=0,0,LN_IE15/LN_IE18)</f>
        <v>4506.342213609485</v>
      </c>
      <c r="E173" s="378">
        <f t="shared" si="18"/>
        <v>1612.5008064780686</v>
      </c>
      <c r="F173" s="362">
        <f t="shared" si="19"/>
        <v>0.5572180985814614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813</v>
      </c>
      <c r="C174" s="378">
        <f>C61-C173</f>
        <v>5582.523068775878</v>
      </c>
      <c r="D174" s="378">
        <f>LN_IB18-LN_IE19</f>
        <v>4668.811442546605</v>
      </c>
      <c r="E174" s="378">
        <f t="shared" si="18"/>
        <v>-913.711626229273</v>
      </c>
      <c r="F174" s="362">
        <f t="shared" si="19"/>
        <v>-0.16367359614505445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814</v>
      </c>
      <c r="C175" s="378">
        <f>C32-C173</f>
        <v>2955.099404065726</v>
      </c>
      <c r="D175" s="378">
        <f>LN_IA16-LN_IE19</f>
        <v>1036.7136911599055</v>
      </c>
      <c r="E175" s="378">
        <f t="shared" si="18"/>
        <v>-1918.3857129058206</v>
      </c>
      <c r="F175" s="362">
        <f t="shared" si="19"/>
        <v>-0.6491780649633784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783</v>
      </c>
      <c r="C176" s="353">
        <f>C175*C172</f>
        <v>1682685.3767511894</v>
      </c>
      <c r="D176" s="353">
        <f>LN_IE21*LN_IE18</f>
        <v>522957.7226107634</v>
      </c>
      <c r="E176" s="353">
        <f t="shared" si="18"/>
        <v>-1159727.6541404258</v>
      </c>
      <c r="F176" s="362">
        <f t="shared" si="19"/>
        <v>-0.6892124161556253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815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774</v>
      </c>
      <c r="C179" s="361">
        <f>C153+C168</f>
        <v>18025414</v>
      </c>
      <c r="D179" s="361">
        <f>LN_IE1+LN_IE14</f>
        <v>21859421</v>
      </c>
      <c r="E179" s="361">
        <f>D179-C179</f>
        <v>3834007</v>
      </c>
      <c r="F179" s="362">
        <f>IF(C179=0,0,E179/C179)</f>
        <v>0.21270008000925805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775</v>
      </c>
      <c r="C180" s="361">
        <f>C154+C169</f>
        <v>2991669</v>
      </c>
      <c r="D180" s="361">
        <f>LN_IE15+LN_IE2</f>
        <v>3702257</v>
      </c>
      <c r="E180" s="361">
        <f>D180-C180</f>
        <v>710588</v>
      </c>
      <c r="F180" s="362">
        <f>IF(C180=0,0,E180/C180)</f>
        <v>0.23752226599934687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776</v>
      </c>
      <c r="C181" s="361">
        <f>C179-C180</f>
        <v>15033745</v>
      </c>
      <c r="D181" s="361">
        <f>LN_IE23-LN_IE24</f>
        <v>18157164</v>
      </c>
      <c r="E181" s="361">
        <f>D181-C181</f>
        <v>3123419</v>
      </c>
      <c r="F181" s="362">
        <f>IF(C181=0,0,E181/C181)</f>
        <v>0.2077605413687674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816</v>
      </c>
      <c r="C183" s="361">
        <f>C162+C176</f>
        <v>3931692.8542280067</v>
      </c>
      <c r="D183" s="361">
        <f>LN_IE10+LN_IE22</f>
        <v>2181989.6445446685</v>
      </c>
      <c r="E183" s="353">
        <f>D183-C183</f>
        <v>-1749703.2096833382</v>
      </c>
      <c r="F183" s="362">
        <f>IF(C183=0,0,E183/C183)</f>
        <v>-0.4450254062449888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510</v>
      </c>
      <c r="B185" s="356" t="s">
        <v>817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818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758</v>
      </c>
      <c r="C188" s="361">
        <f>C118+C153</f>
        <v>27606092</v>
      </c>
      <c r="D188" s="361">
        <f>LN_ID1+LN_IE1</f>
        <v>31188332</v>
      </c>
      <c r="E188" s="361">
        <f aca="true" t="shared" si="20" ref="E188:E200">D188-C188</f>
        <v>3582240</v>
      </c>
      <c r="F188" s="362">
        <f aca="true" t="shared" si="21" ref="F188:F200">IF(C188=0,0,E188/C188)</f>
        <v>0.12976266253115434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759</v>
      </c>
      <c r="C189" s="361">
        <f>C119+C154</f>
        <v>6564380</v>
      </c>
      <c r="D189" s="361">
        <f>LN_1D2+LN_IE2</f>
        <v>7610347</v>
      </c>
      <c r="E189" s="361">
        <f t="shared" si="20"/>
        <v>1045967</v>
      </c>
      <c r="F189" s="362">
        <f t="shared" si="21"/>
        <v>0.15933980055999195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760</v>
      </c>
      <c r="C190" s="366">
        <f>IF(C188=0,0,C189/C188)</f>
        <v>0.23778736954147656</v>
      </c>
      <c r="D190" s="366">
        <f>IF(LN_IF1=0,0,LN_IF2/LN_IF1)</f>
        <v>0.24401263267301374</v>
      </c>
      <c r="E190" s="367">
        <f t="shared" si="20"/>
        <v>0.006225263131537179</v>
      </c>
      <c r="F190" s="362">
        <f t="shared" si="21"/>
        <v>0.02617995709167103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293</v>
      </c>
      <c r="C191" s="369">
        <f>C121+C156</f>
        <v>1908</v>
      </c>
      <c r="D191" s="369">
        <f>LN_ID4+LN_IE4</f>
        <v>2148</v>
      </c>
      <c r="E191" s="369">
        <f t="shared" si="20"/>
        <v>240</v>
      </c>
      <c r="F191" s="362">
        <f t="shared" si="21"/>
        <v>0.12578616352201258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761</v>
      </c>
      <c r="C192" s="372">
        <f>IF((C121+C156)=0,0,(C123+C158)/(C121+C156))</f>
        <v>1.0556284067085953</v>
      </c>
      <c r="D192" s="372">
        <f>IF((LN_ID4+LN_IE4)=0,0,(LN_ID6+LN_IE6)/(LN_ID4+LN_IE4))</f>
        <v>0.961921787709497</v>
      </c>
      <c r="E192" s="373">
        <f t="shared" si="20"/>
        <v>-0.09370661899909827</v>
      </c>
      <c r="F192" s="362">
        <f t="shared" si="21"/>
        <v>-0.08876856515378508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762</v>
      </c>
      <c r="C193" s="376">
        <f>C123+C158</f>
        <v>2014.139</v>
      </c>
      <c r="D193" s="376">
        <f>LN_IF4*LN_IF5</f>
        <v>2066.2079999999996</v>
      </c>
      <c r="E193" s="376">
        <f t="shared" si="20"/>
        <v>52.06899999999973</v>
      </c>
      <c r="F193" s="362">
        <f t="shared" si="21"/>
        <v>0.02585174111617904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763</v>
      </c>
      <c r="C194" s="378">
        <f>IF(C193=0,0,C189/C193)</f>
        <v>3259.149443012622</v>
      </c>
      <c r="D194" s="378">
        <f>IF(LN_IF6=0,0,LN_IF2/LN_IF6)</f>
        <v>3683.2434101503823</v>
      </c>
      <c r="E194" s="378">
        <f t="shared" si="20"/>
        <v>424.09396713776005</v>
      </c>
      <c r="F194" s="362">
        <f t="shared" si="21"/>
        <v>0.13012412427020997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819</v>
      </c>
      <c r="C195" s="378">
        <f>C48-C194</f>
        <v>4926.806667171163</v>
      </c>
      <c r="D195" s="378">
        <f>LN_IB7-LN_IF7</f>
        <v>5885.818283220657</v>
      </c>
      <c r="E195" s="378">
        <f t="shared" si="20"/>
        <v>959.0116160494936</v>
      </c>
      <c r="F195" s="362">
        <f t="shared" si="21"/>
        <v>0.1946517655015133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820</v>
      </c>
      <c r="C196" s="378">
        <f>C21-C194</f>
        <v>3541.7541410124995</v>
      </c>
      <c r="D196" s="378">
        <f>LN_IA7-LN_IF7</f>
        <v>2638.568050586099</v>
      </c>
      <c r="E196" s="378">
        <f t="shared" si="20"/>
        <v>-903.1860904264004</v>
      </c>
      <c r="F196" s="362">
        <f t="shared" si="21"/>
        <v>-0.25501095063820606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780</v>
      </c>
      <c r="C197" s="391">
        <f>C127+C162</f>
        <v>7133585.143824775</v>
      </c>
      <c r="D197" s="391">
        <f>LN_IF9*LN_IF6</f>
        <v>5451830.414665402</v>
      </c>
      <c r="E197" s="391">
        <f t="shared" si="20"/>
        <v>-1681754.7291593729</v>
      </c>
      <c r="F197" s="362">
        <f t="shared" si="21"/>
        <v>-0.23575168659971665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295</v>
      </c>
      <c r="C198" s="369">
        <f>C128+C163</f>
        <v>7787</v>
      </c>
      <c r="D198" s="369">
        <f>LN_ID11+LN_IE11</f>
        <v>8096</v>
      </c>
      <c r="E198" s="369">
        <f t="shared" si="20"/>
        <v>309</v>
      </c>
      <c r="F198" s="362">
        <f t="shared" si="21"/>
        <v>0.039681520482856045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764</v>
      </c>
      <c r="C199" s="432">
        <f>IF(C198=0,0,C189/C198)</f>
        <v>842.9921664312316</v>
      </c>
      <c r="D199" s="432">
        <f>IF(LN_IF11=0,0,LN_IF2/LN_IF11)</f>
        <v>940.013216403162</v>
      </c>
      <c r="E199" s="432">
        <f t="shared" si="20"/>
        <v>97.02104997193044</v>
      </c>
      <c r="F199" s="362">
        <f t="shared" si="21"/>
        <v>0.1150912829743894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765</v>
      </c>
      <c r="C200" s="379">
        <f>IF(C191=0,0,C198/C191)</f>
        <v>4.081236897274633</v>
      </c>
      <c r="D200" s="379">
        <f>IF(LN_IF4=0,0,LN_IF11/LN_IF4)</f>
        <v>3.7690875232774674</v>
      </c>
      <c r="E200" s="379">
        <f t="shared" si="20"/>
        <v>-0.31214937399716547</v>
      </c>
      <c r="F200" s="362">
        <f t="shared" si="21"/>
        <v>-0.07648401253198815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821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767</v>
      </c>
      <c r="C203" s="361">
        <f>C133+C168</f>
        <v>40228009</v>
      </c>
      <c r="D203" s="361">
        <f>LN_ID14+LN_IE14</f>
        <v>49767755</v>
      </c>
      <c r="E203" s="361">
        <f aca="true" t="shared" si="22" ref="E203:E211">D203-C203</f>
        <v>9539746</v>
      </c>
      <c r="F203" s="362">
        <f aca="true" t="shared" si="23" ref="F203:F211">IF(C203=0,0,E203/C203)</f>
        <v>0.237141887882147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768</v>
      </c>
      <c r="C204" s="361">
        <f>C134+C169</f>
        <v>9522052</v>
      </c>
      <c r="D204" s="361">
        <f>LN_ID15+LN_IE15</f>
        <v>12429067</v>
      </c>
      <c r="E204" s="361">
        <f t="shared" si="22"/>
        <v>2907015</v>
      </c>
      <c r="F204" s="362">
        <f t="shared" si="23"/>
        <v>0.30529291375430423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769</v>
      </c>
      <c r="C205" s="366">
        <f>IF(C203=0,0,C204/C203)</f>
        <v>0.23670204508505505</v>
      </c>
      <c r="D205" s="366">
        <f>IF(LN_IF14=0,0,LN_IF15/LN_IF14)</f>
        <v>0.24974136366006464</v>
      </c>
      <c r="E205" s="367">
        <f t="shared" si="22"/>
        <v>0.01303931857500959</v>
      </c>
      <c r="F205" s="362">
        <f t="shared" si="23"/>
        <v>0.05508747746697382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770</v>
      </c>
      <c r="C206" s="366">
        <f>IF(C188=0,0,C203/C188)</f>
        <v>1.4572149147369355</v>
      </c>
      <c r="D206" s="366">
        <f>IF(LN_IF1=0,0,LN_IF14/LN_IF1)</f>
        <v>1.5957171098473621</v>
      </c>
      <c r="E206" s="367">
        <f t="shared" si="22"/>
        <v>0.1385021951104266</v>
      </c>
      <c r="F206" s="362">
        <f t="shared" si="23"/>
        <v>0.09504582591746927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771</v>
      </c>
      <c r="C207" s="376">
        <f>C137+C172</f>
        <v>2806.9791105874674</v>
      </c>
      <c r="D207" s="376">
        <f>LN_ID18+LN_IE18</f>
        <v>3535.5266716620977</v>
      </c>
      <c r="E207" s="376">
        <f t="shared" si="22"/>
        <v>728.5475610746303</v>
      </c>
      <c r="F207" s="362">
        <f t="shared" si="23"/>
        <v>0.2595486223344761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772</v>
      </c>
      <c r="C208" s="378">
        <f>IF(C207=0,0,C204/C207)</f>
        <v>3392.2774715652045</v>
      </c>
      <c r="D208" s="378">
        <f>IF(LN_IF18=0,0,LN_IF15/LN_IF18)</f>
        <v>3515.4782170422523</v>
      </c>
      <c r="E208" s="378">
        <f t="shared" si="22"/>
        <v>123.2007454770478</v>
      </c>
      <c r="F208" s="362">
        <f t="shared" si="23"/>
        <v>0.036318003615489244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822</v>
      </c>
      <c r="C209" s="378">
        <f>C61-C208</f>
        <v>5084.087004342089</v>
      </c>
      <c r="D209" s="378">
        <f>LN_IB18-LN_IF19</f>
        <v>5659.6754391138375</v>
      </c>
      <c r="E209" s="378">
        <f t="shared" si="22"/>
        <v>575.5884347717483</v>
      </c>
      <c r="F209" s="362">
        <f t="shared" si="23"/>
        <v>0.11321372633477048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823</v>
      </c>
      <c r="C210" s="378">
        <f>C32-C208</f>
        <v>2456.663339631938</v>
      </c>
      <c r="D210" s="378">
        <f>LN_IA16-LN_IF19</f>
        <v>2027.5776877271383</v>
      </c>
      <c r="E210" s="378">
        <f t="shared" si="22"/>
        <v>-429.08565190479976</v>
      </c>
      <c r="F210" s="362">
        <f t="shared" si="23"/>
        <v>-0.17466196730443587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783</v>
      </c>
      <c r="C211" s="391">
        <f>C141+C176</f>
        <v>6895802.676092895</v>
      </c>
      <c r="D211" s="353">
        <f>LN_IF21*LN_IF18</f>
        <v>7168554.993826261</v>
      </c>
      <c r="E211" s="353">
        <f t="shared" si="22"/>
        <v>272752.31773336604</v>
      </c>
      <c r="F211" s="362">
        <f t="shared" si="23"/>
        <v>0.03955338204194458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824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774</v>
      </c>
      <c r="C214" s="361">
        <f>C188+C203</f>
        <v>67834101</v>
      </c>
      <c r="D214" s="361">
        <f>LN_IF1+LN_IF14</f>
        <v>80956087</v>
      </c>
      <c r="E214" s="361">
        <f>D214-C214</f>
        <v>13121986</v>
      </c>
      <c r="F214" s="362">
        <f>IF(C214=0,0,E214/C214)</f>
        <v>0.19344232187878482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775</v>
      </c>
      <c r="C215" s="361">
        <f>C189+C204</f>
        <v>16086432</v>
      </c>
      <c r="D215" s="361">
        <f>LN_IF2+LN_IF15</f>
        <v>20039414</v>
      </c>
      <c r="E215" s="361">
        <f>D215-C215</f>
        <v>3952982</v>
      </c>
      <c r="F215" s="362">
        <f>IF(C215=0,0,E215/C215)</f>
        <v>0.24573392036220337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776</v>
      </c>
      <c r="C216" s="361">
        <f>C214-C215</f>
        <v>51747669</v>
      </c>
      <c r="D216" s="361">
        <f>LN_IF23-LN_IF24</f>
        <v>60916673</v>
      </c>
      <c r="E216" s="361">
        <f>D216-C216</f>
        <v>9169004</v>
      </c>
      <c r="F216" s="362">
        <f>IF(C216=0,0,E216/C216)</f>
        <v>0.17718680236591913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522</v>
      </c>
      <c r="B218" s="356" t="s">
        <v>825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826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758</v>
      </c>
      <c r="C221" s="361">
        <v>2859279</v>
      </c>
      <c r="D221" s="361">
        <v>2651102</v>
      </c>
      <c r="E221" s="361">
        <f aca="true" t="shared" si="24" ref="E221:E230">D221-C221</f>
        <v>-208177</v>
      </c>
      <c r="F221" s="362">
        <f aca="true" t="shared" si="25" ref="F221:F230">IF(C221=0,0,E221/C221)</f>
        <v>-0.07280751546106554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759</v>
      </c>
      <c r="C222" s="361">
        <v>1152336</v>
      </c>
      <c r="D222" s="361">
        <v>1174297</v>
      </c>
      <c r="E222" s="361">
        <f t="shared" si="24"/>
        <v>21961</v>
      </c>
      <c r="F222" s="362">
        <f t="shared" si="25"/>
        <v>0.01905780952777662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760</v>
      </c>
      <c r="C223" s="366">
        <f>IF(C221=0,0,C222/C221)</f>
        <v>0.4030162848746135</v>
      </c>
      <c r="D223" s="366">
        <f>IF(LN_IG1=0,0,LN_IG2/LN_IG1)</f>
        <v>0.44294674441043763</v>
      </c>
      <c r="E223" s="367">
        <f t="shared" si="24"/>
        <v>0.03993045953582414</v>
      </c>
      <c r="F223" s="362">
        <f t="shared" si="25"/>
        <v>0.09907902244756017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293</v>
      </c>
      <c r="C224" s="369">
        <v>264</v>
      </c>
      <c r="D224" s="369">
        <v>237</v>
      </c>
      <c r="E224" s="369">
        <f t="shared" si="24"/>
        <v>-27</v>
      </c>
      <c r="F224" s="362">
        <f t="shared" si="25"/>
        <v>-0.10227272727272728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761</v>
      </c>
      <c r="C225" s="372">
        <v>1.044</v>
      </c>
      <c r="D225" s="372">
        <v>0.9408</v>
      </c>
      <c r="E225" s="373">
        <f t="shared" si="24"/>
        <v>-0.10320000000000007</v>
      </c>
      <c r="F225" s="362">
        <f t="shared" si="25"/>
        <v>-0.09885057471264375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762</v>
      </c>
      <c r="C226" s="376">
        <f>C224*C225</f>
        <v>275.616</v>
      </c>
      <c r="D226" s="376">
        <f>LN_IG3*LN_IG4</f>
        <v>222.96959999999999</v>
      </c>
      <c r="E226" s="376">
        <f t="shared" si="24"/>
        <v>-52.6464</v>
      </c>
      <c r="F226" s="362">
        <f t="shared" si="25"/>
        <v>-0.1910135841170324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763</v>
      </c>
      <c r="C227" s="378">
        <f>IF(C226=0,0,C222/C226)</f>
        <v>4180.947405085336</v>
      </c>
      <c r="D227" s="378">
        <f>IF(LN_IG5=0,0,LN_IG2/LN_IG5)</f>
        <v>5266.623790866558</v>
      </c>
      <c r="E227" s="378">
        <f t="shared" si="24"/>
        <v>1085.676385781222</v>
      </c>
      <c r="F227" s="362">
        <f t="shared" si="25"/>
        <v>0.2596723375330436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295</v>
      </c>
      <c r="C228" s="369">
        <v>730</v>
      </c>
      <c r="D228" s="369">
        <v>649</v>
      </c>
      <c r="E228" s="369">
        <f t="shared" si="24"/>
        <v>-81</v>
      </c>
      <c r="F228" s="362">
        <f t="shared" si="25"/>
        <v>-0.11095890410958904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764</v>
      </c>
      <c r="C229" s="378">
        <f>IF(C228=0,0,C222/C228)</f>
        <v>1578.5424657534247</v>
      </c>
      <c r="D229" s="378">
        <f>IF(LN_IG6=0,0,LN_IG2/LN_IG6)</f>
        <v>1809.3944530046224</v>
      </c>
      <c r="E229" s="378">
        <f t="shared" si="24"/>
        <v>230.85198725119767</v>
      </c>
      <c r="F229" s="362">
        <f t="shared" si="25"/>
        <v>0.1462437611021215</v>
      </c>
      <c r="Q229" s="330"/>
      <c r="U229" s="375"/>
    </row>
    <row r="230" spans="1:21" ht="11.25" customHeight="1">
      <c r="A230" s="364">
        <v>10</v>
      </c>
      <c r="B230" s="360" t="s">
        <v>765</v>
      </c>
      <c r="C230" s="379">
        <f>IF(C224=0,0,C228/C224)</f>
        <v>2.765151515151515</v>
      </c>
      <c r="D230" s="379">
        <f>IF(LN_IG3=0,0,LN_IG6/LN_IG3)</f>
        <v>2.738396624472574</v>
      </c>
      <c r="E230" s="379">
        <f t="shared" si="24"/>
        <v>-0.026754890678941212</v>
      </c>
      <c r="F230" s="362">
        <f t="shared" si="25"/>
        <v>-0.009675741286630795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827</v>
      </c>
      <c r="C232" s="330"/>
      <c r="Q232" s="330"/>
      <c r="U232" s="399"/>
    </row>
    <row r="233" spans="1:21" ht="11.25" customHeight="1">
      <c r="A233" s="364">
        <v>11</v>
      </c>
      <c r="B233" s="360" t="s">
        <v>767</v>
      </c>
      <c r="C233" s="361">
        <v>7245309</v>
      </c>
      <c r="D233" s="361">
        <v>6720868</v>
      </c>
      <c r="E233" s="361">
        <f>D233-C233</f>
        <v>-524441</v>
      </c>
      <c r="F233" s="362">
        <f>IF(C233=0,0,E233/C233)</f>
        <v>-0.07238352429137253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768</v>
      </c>
      <c r="C234" s="361">
        <v>2521543</v>
      </c>
      <c r="D234" s="361">
        <v>2520995</v>
      </c>
      <c r="E234" s="361">
        <f>D234-C234</f>
        <v>-548</v>
      </c>
      <c r="F234" s="362">
        <f>IF(C234=0,0,E234/C234)</f>
        <v>-0.0002173272476416226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828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774</v>
      </c>
      <c r="C237" s="361">
        <f>C221+C233</f>
        <v>10104588</v>
      </c>
      <c r="D237" s="361">
        <f>LN_IG1+LN_IG9</f>
        <v>9371970</v>
      </c>
      <c r="E237" s="361">
        <f>D237-C237</f>
        <v>-732618</v>
      </c>
      <c r="F237" s="362">
        <f>IF(C237=0,0,E237/C237)</f>
        <v>-0.07250350039011981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775</v>
      </c>
      <c r="C238" s="361">
        <f>C222+C234</f>
        <v>3673879</v>
      </c>
      <c r="D238" s="361">
        <f>LN_IG2+LN_IG10</f>
        <v>3695292</v>
      </c>
      <c r="E238" s="361">
        <f>D238-C238</f>
        <v>21413</v>
      </c>
      <c r="F238" s="362">
        <f>IF(C238=0,0,E238/C238)</f>
        <v>0.0058284445404979315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776</v>
      </c>
      <c r="C239" s="361">
        <f>C237-C238</f>
        <v>6430709</v>
      </c>
      <c r="D239" s="361">
        <f>LN_IG13-LN_IG14</f>
        <v>5676678</v>
      </c>
      <c r="E239" s="361">
        <f>D239-C239</f>
        <v>-754031</v>
      </c>
      <c r="F239" s="362">
        <f>IF(C239=0,0,E239/C239)</f>
        <v>-0.11725472261301204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526</v>
      </c>
      <c r="B241" s="356" t="s">
        <v>829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830</v>
      </c>
      <c r="C243" s="361">
        <v>1746162</v>
      </c>
      <c r="D243" s="361">
        <v>3773294</v>
      </c>
      <c r="E243" s="353">
        <f>D243-C243</f>
        <v>2027132</v>
      </c>
      <c r="F243" s="415">
        <f>IF(C243=0,0,E243/C243)</f>
        <v>1.1609071781426923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831</v>
      </c>
      <c r="C244" s="361">
        <v>225599529</v>
      </c>
      <c r="D244" s="361">
        <v>250646571</v>
      </c>
      <c r="E244" s="353">
        <f>D244-C244</f>
        <v>25047042</v>
      </c>
      <c r="F244" s="415">
        <f>IF(C244=0,0,E244/C244)</f>
        <v>0.11102435413329254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832</v>
      </c>
      <c r="C245" s="400">
        <v>2058702</v>
      </c>
      <c r="D245" s="400">
        <v>2039977</v>
      </c>
      <c r="E245" s="400">
        <f>D245-C245</f>
        <v>-18725</v>
      </c>
      <c r="F245" s="401">
        <f>IF(C245=0,0,E245/C245)</f>
        <v>-0.00909553689654938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833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834</v>
      </c>
      <c r="C248" s="353">
        <v>6296582</v>
      </c>
      <c r="D248" s="353">
        <v>6641717</v>
      </c>
      <c r="E248" s="353">
        <f>D248-C248</f>
        <v>345135</v>
      </c>
      <c r="F248" s="362">
        <f>IF(C248=0,0,E248/C248)</f>
        <v>0.05481307159979811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835</v>
      </c>
      <c r="C249" s="353">
        <v>14350680</v>
      </c>
      <c r="D249" s="353">
        <v>17093520</v>
      </c>
      <c r="E249" s="353">
        <f>D249-C249</f>
        <v>2742840</v>
      </c>
      <c r="F249" s="362">
        <f>IF(C249=0,0,E249/C249)</f>
        <v>0.19112961894488623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836</v>
      </c>
      <c r="C250" s="353">
        <f>C248+C249</f>
        <v>20647262</v>
      </c>
      <c r="D250" s="353">
        <f>LN_IH4+LN_IH5</f>
        <v>23735237</v>
      </c>
      <c r="E250" s="353">
        <f>D250-C250</f>
        <v>3087975</v>
      </c>
      <c r="F250" s="362">
        <f>IF(C250=0,0,E250/C250)</f>
        <v>0.14955857101052913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837</v>
      </c>
      <c r="C251" s="353">
        <f>C250*C313</f>
        <v>9373814.327409856</v>
      </c>
      <c r="D251" s="353">
        <f>LN_IH6*LN_III10</f>
        <v>10485336.677673139</v>
      </c>
      <c r="E251" s="353">
        <f>D251-C251</f>
        <v>1111522.3502632827</v>
      </c>
      <c r="F251" s="362">
        <f>IF(C251=0,0,E251/C251)</f>
        <v>0.11857738071609694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838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774</v>
      </c>
      <c r="C254" s="353">
        <f>C188+C203</f>
        <v>67834101</v>
      </c>
      <c r="D254" s="353">
        <f>LN_IF23</f>
        <v>80956087</v>
      </c>
      <c r="E254" s="353">
        <f>D254-C254</f>
        <v>13121986</v>
      </c>
      <c r="F254" s="362">
        <f>IF(C254=0,0,E254/C254)</f>
        <v>0.19344232187878482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775</v>
      </c>
      <c r="C255" s="353">
        <f>C189+C204</f>
        <v>16086432</v>
      </c>
      <c r="D255" s="353">
        <f>LN_IF24</f>
        <v>20039414</v>
      </c>
      <c r="E255" s="353">
        <f>D255-C255</f>
        <v>3952982</v>
      </c>
      <c r="F255" s="362">
        <f>IF(C255=0,0,E255/C255)</f>
        <v>0.24573392036220337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839</v>
      </c>
      <c r="C256" s="353">
        <f>C254*C313</f>
        <v>30796541.829166852</v>
      </c>
      <c r="D256" s="353">
        <f>LN_IH8*LN_III10</f>
        <v>35763360.11736464</v>
      </c>
      <c r="E256" s="353">
        <f>D256-C256</f>
        <v>4966818.288197786</v>
      </c>
      <c r="F256" s="362">
        <f>IF(C256=0,0,E256/C256)</f>
        <v>0.16127844209747605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840</v>
      </c>
      <c r="C257" s="353">
        <f>C256-C255</f>
        <v>14710109.829166852</v>
      </c>
      <c r="D257" s="353">
        <f>LN_IH10-LN_IH9</f>
        <v>15723946.117364638</v>
      </c>
      <c r="E257" s="353">
        <f>D257-C257</f>
        <v>1013836.2881977856</v>
      </c>
      <c r="F257" s="362">
        <f>IF(C257=0,0,E257/C257)</f>
        <v>0.06892105497319778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200</v>
      </c>
      <c r="B258" s="349" t="s">
        <v>841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170</v>
      </c>
      <c r="B260" s="359" t="s">
        <v>842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843</v>
      </c>
      <c r="C261" s="361">
        <f>C15+C42+C188+C221</f>
        <v>215985577</v>
      </c>
      <c r="D261" s="361">
        <f>LN_IA1+LN_IB1+LN_IF1+LN_IG1</f>
        <v>225853434</v>
      </c>
      <c r="E261" s="361">
        <f aca="true" t="shared" si="26" ref="E261:E274">D261-C261</f>
        <v>9867857</v>
      </c>
      <c r="F261" s="415">
        <f aca="true" t="shared" si="27" ref="F261:F274">IF(C261=0,0,E261/C261)</f>
        <v>0.04568757385128545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844</v>
      </c>
      <c r="C262" s="361">
        <f>C16+C43+C189+C222</f>
        <v>108655698</v>
      </c>
      <c r="D262" s="361">
        <f>+LN_IA2+LN_IB2+LN_IF2+LN_IG2</f>
        <v>111400418</v>
      </c>
      <c r="E262" s="361">
        <f t="shared" si="26"/>
        <v>2744720</v>
      </c>
      <c r="F262" s="415">
        <f t="shared" si="27"/>
        <v>0.025260709291104088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845</v>
      </c>
      <c r="C263" s="366">
        <f>IF(C261=0,0,C262/C261)</f>
        <v>0.5030692304051395</v>
      </c>
      <c r="D263" s="366">
        <f>IF(LN_IIA1=0,0,LN_IIA2/LN_IIA1)</f>
        <v>0.4932420819423981</v>
      </c>
      <c r="E263" s="367">
        <f t="shared" si="26"/>
        <v>-0.009827148462741409</v>
      </c>
      <c r="F263" s="371">
        <f t="shared" si="27"/>
        <v>-0.019534385863407423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846</v>
      </c>
      <c r="C264" s="369">
        <f>C18+C45+C191+C224</f>
        <v>11940</v>
      </c>
      <c r="D264" s="369">
        <f>LN_IA4+LN_IB4+LN_IF4+LN_IG3</f>
        <v>11885</v>
      </c>
      <c r="E264" s="369">
        <f t="shared" si="26"/>
        <v>-55</v>
      </c>
      <c r="F264" s="415">
        <f t="shared" si="27"/>
        <v>-0.0046063651591289785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847</v>
      </c>
      <c r="C265" s="439">
        <f>IF(C264=0,0,C266/C264)</f>
        <v>1.325031675041876</v>
      </c>
      <c r="D265" s="439">
        <f>IF(LN_IIA4=0,0,LN_IIA6/LN_IIA4)</f>
        <v>1.3048161295750944</v>
      </c>
      <c r="E265" s="439">
        <f t="shared" si="26"/>
        <v>-0.020215545466781615</v>
      </c>
      <c r="F265" s="415">
        <f t="shared" si="27"/>
        <v>-0.015256650725834707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848</v>
      </c>
      <c r="C266" s="376">
        <f>C20+C47+C193+C226</f>
        <v>15820.8782</v>
      </c>
      <c r="D266" s="376">
        <f>LN_IA6+LN_IB6+LN_IF6+LN_IG5</f>
        <v>15507.739699999998</v>
      </c>
      <c r="E266" s="376">
        <f t="shared" si="26"/>
        <v>-313.13850000000093</v>
      </c>
      <c r="F266" s="415">
        <f t="shared" si="27"/>
        <v>-0.01979273818061509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849</v>
      </c>
      <c r="C267" s="361">
        <f>C27+C56+C203+C233</f>
        <v>296328781</v>
      </c>
      <c r="D267" s="361">
        <f>LN_IA11+LN_IB13+LN_IF14+LN_IG9</f>
        <v>334787620</v>
      </c>
      <c r="E267" s="361">
        <f t="shared" si="26"/>
        <v>38458839</v>
      </c>
      <c r="F267" s="415">
        <f t="shared" si="27"/>
        <v>0.12978435260394094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770</v>
      </c>
      <c r="C268" s="366">
        <f>IF(C261=0,0,C267/C261)</f>
        <v>1.3719841163282862</v>
      </c>
      <c r="D268" s="366">
        <f>IF(LN_IIA1=0,0,LN_IIA7/LN_IIA1)</f>
        <v>1.482322469358602</v>
      </c>
      <c r="E268" s="367">
        <f t="shared" si="26"/>
        <v>0.1103383530303157</v>
      </c>
      <c r="F268" s="371">
        <f t="shared" si="27"/>
        <v>0.08042247116213269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850</v>
      </c>
      <c r="C269" s="361">
        <f>C28+C57+C204+C234</f>
        <v>121875261</v>
      </c>
      <c r="D269" s="361">
        <f>LN_IA12+LN_IB14+LN_IF15+LN_IG10</f>
        <v>134229777</v>
      </c>
      <c r="E269" s="361">
        <f t="shared" si="26"/>
        <v>12354516</v>
      </c>
      <c r="F269" s="415">
        <f t="shared" si="27"/>
        <v>0.10137017060418849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769</v>
      </c>
      <c r="C270" s="366">
        <f>IF(C267=0,0,C269/C267)</f>
        <v>0.41128391440317097</v>
      </c>
      <c r="D270" s="366">
        <f>IF(LN_IIA7=0,0,LN_IIA9/LN_IIA7)</f>
        <v>0.4009400855384079</v>
      </c>
      <c r="E270" s="367">
        <f t="shared" si="26"/>
        <v>-0.010343828864763094</v>
      </c>
      <c r="F270" s="371">
        <f t="shared" si="27"/>
        <v>-0.02515009340876703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851</v>
      </c>
      <c r="C271" s="353">
        <f>C261+C267</f>
        <v>512314358</v>
      </c>
      <c r="D271" s="353">
        <f>LN_IIA1+LN_IIA7</f>
        <v>560641054</v>
      </c>
      <c r="E271" s="353">
        <f t="shared" si="26"/>
        <v>48326696</v>
      </c>
      <c r="F271" s="415">
        <f t="shared" si="27"/>
        <v>0.09433016124837945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852</v>
      </c>
      <c r="C272" s="353">
        <f>C262+C269</f>
        <v>230530959</v>
      </c>
      <c r="D272" s="353">
        <f>LN_IIA2+LN_IIA9</f>
        <v>245630195</v>
      </c>
      <c r="E272" s="353">
        <f t="shared" si="26"/>
        <v>15099236</v>
      </c>
      <c r="F272" s="415">
        <f t="shared" si="27"/>
        <v>0.06549764971046687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853</v>
      </c>
      <c r="C273" s="366">
        <f>IF(C271=0,0,C272/C271)</f>
        <v>0.44997950067212444</v>
      </c>
      <c r="D273" s="366">
        <f>IF(LN_IIA11=0,0,LN_IIA12/LN_IIA11)</f>
        <v>0.4381238106761978</v>
      </c>
      <c r="E273" s="367">
        <f t="shared" si="26"/>
        <v>-0.011855689995926622</v>
      </c>
      <c r="F273" s="371">
        <f t="shared" si="27"/>
        <v>-0.02634717798970406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295</v>
      </c>
      <c r="C274" s="421">
        <f>C22+C51+C198+C228</f>
        <v>50512</v>
      </c>
      <c r="D274" s="421">
        <f>LN_IA8+LN_IB10+LN_IF11+LN_IG6</f>
        <v>50032</v>
      </c>
      <c r="E274" s="442">
        <f t="shared" si="26"/>
        <v>-480</v>
      </c>
      <c r="F274" s="371">
        <f t="shared" si="27"/>
        <v>-0.009502692429521698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182</v>
      </c>
      <c r="B276" s="359" t="s">
        <v>854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855</v>
      </c>
      <c r="C277" s="361">
        <f>C15+C188+C221</f>
        <v>142113516</v>
      </c>
      <c r="D277" s="361">
        <f>LN_IA1+LN_IF1+LN_IG1</f>
        <v>149787917</v>
      </c>
      <c r="E277" s="361">
        <f aca="true" t="shared" si="28" ref="E277:E291">D277-C277</f>
        <v>7674401</v>
      </c>
      <c r="F277" s="415">
        <f aca="true" t="shared" si="29" ref="F277:F291">IF(C277=0,0,E277/C277)</f>
        <v>0.05400190788327269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856</v>
      </c>
      <c r="C278" s="361">
        <f>C16+C189+C222</f>
        <v>55965449</v>
      </c>
      <c r="D278" s="361">
        <f>LN_IA2+LN_IF2+LN_IG2</f>
        <v>55261976</v>
      </c>
      <c r="E278" s="361">
        <f t="shared" si="28"/>
        <v>-703473</v>
      </c>
      <c r="F278" s="415">
        <f t="shared" si="29"/>
        <v>-0.01256977318273637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857</v>
      </c>
      <c r="C279" s="366">
        <f>IF(C277=0,0,C278/C277)</f>
        <v>0.3938080667851466</v>
      </c>
      <c r="D279" s="366">
        <f>IF(D277=0,0,LN_IIB2/D277)</f>
        <v>0.3689348053354664</v>
      </c>
      <c r="E279" s="367">
        <f t="shared" si="28"/>
        <v>-0.024873261449680217</v>
      </c>
      <c r="F279" s="371">
        <f t="shared" si="29"/>
        <v>-0.06316087339889496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858</v>
      </c>
      <c r="C280" s="369">
        <f>C18+C191+C224</f>
        <v>7220</v>
      </c>
      <c r="D280" s="369">
        <f>LN_IA4+LN_IF4+LN_IG3</f>
        <v>7424</v>
      </c>
      <c r="E280" s="369">
        <f t="shared" si="28"/>
        <v>204</v>
      </c>
      <c r="F280" s="415">
        <f t="shared" si="29"/>
        <v>0.028254847645429362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859</v>
      </c>
      <c r="C281" s="439">
        <f>IF(C280=0,0,C282/C280)</f>
        <v>1.2997526592797783</v>
      </c>
      <c r="D281" s="439">
        <f>IF(LN_IIB4=0,0,LN_IIB6/LN_IIB4)</f>
        <v>1.2986366648706897</v>
      </c>
      <c r="E281" s="439">
        <f t="shared" si="28"/>
        <v>-0.0011159944090886054</v>
      </c>
      <c r="F281" s="415">
        <f t="shared" si="29"/>
        <v>-0.0008586206007126021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860</v>
      </c>
      <c r="C282" s="376">
        <f>C20+C193+C226</f>
        <v>9384.2142</v>
      </c>
      <c r="D282" s="376">
        <f>LN_IA6+LN_IF6+LN_IG5</f>
        <v>9641.0786</v>
      </c>
      <c r="E282" s="376">
        <f t="shared" si="28"/>
        <v>256.8644000000004</v>
      </c>
      <c r="F282" s="415">
        <f t="shared" si="29"/>
        <v>0.027371966850458333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861</v>
      </c>
      <c r="C283" s="361">
        <f>C27+C203+C233</f>
        <v>137486301</v>
      </c>
      <c r="D283" s="361">
        <f>LN_IA11+LN_IF14+LN_IG9</f>
        <v>159016765</v>
      </c>
      <c r="E283" s="361">
        <f t="shared" si="28"/>
        <v>21530464</v>
      </c>
      <c r="F283" s="415">
        <f t="shared" si="29"/>
        <v>0.15660079472208652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862</v>
      </c>
      <c r="C284" s="366">
        <f>IF(C277=0,0,C283/C277)</f>
        <v>0.9674400076063138</v>
      </c>
      <c r="D284" s="366">
        <f>IF(D277=0,0,LN_IIB7/D277)</f>
        <v>1.0616127668028124</v>
      </c>
      <c r="E284" s="367">
        <f t="shared" si="28"/>
        <v>0.09417275919649859</v>
      </c>
      <c r="F284" s="371">
        <f t="shared" si="29"/>
        <v>0.09734222117762664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863</v>
      </c>
      <c r="C285" s="361">
        <f>C28+C204+C234</f>
        <v>35847610</v>
      </c>
      <c r="D285" s="361">
        <f>LN_IA12+LN_IF15+LN_IG10</f>
        <v>39648622</v>
      </c>
      <c r="E285" s="361">
        <f t="shared" si="28"/>
        <v>3801012</v>
      </c>
      <c r="F285" s="415">
        <f t="shared" si="29"/>
        <v>0.10603250816442156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864</v>
      </c>
      <c r="C286" s="366">
        <f>IF(C283=0,0,C285/C283)</f>
        <v>0.2607358677865659</v>
      </c>
      <c r="D286" s="366">
        <f>IF(LN_IIB7=0,0,LN_IIB9/LN_IIB7)</f>
        <v>0.24933611245330012</v>
      </c>
      <c r="E286" s="367">
        <f t="shared" si="28"/>
        <v>-0.01139975533326576</v>
      </c>
      <c r="F286" s="371">
        <f t="shared" si="29"/>
        <v>-0.04372146966215409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865</v>
      </c>
      <c r="C287" s="353">
        <f>C277+C283</f>
        <v>279599817</v>
      </c>
      <c r="D287" s="353">
        <f>D277+LN_IIB7</f>
        <v>308804682</v>
      </c>
      <c r="E287" s="353">
        <f t="shared" si="28"/>
        <v>29204865</v>
      </c>
      <c r="F287" s="415">
        <f t="shared" si="29"/>
        <v>0.10445237523170482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866</v>
      </c>
      <c r="C288" s="353">
        <f>C278+C285</f>
        <v>91813059</v>
      </c>
      <c r="D288" s="353">
        <f>LN_IIB2+LN_IIB9</f>
        <v>94910598</v>
      </c>
      <c r="E288" s="353">
        <f t="shared" si="28"/>
        <v>3097539</v>
      </c>
      <c r="F288" s="415">
        <f t="shared" si="29"/>
        <v>0.033737455583524346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867</v>
      </c>
      <c r="C289" s="366">
        <f>IF(C287=0,0,C288/C287)</f>
        <v>0.3283731011884031</v>
      </c>
      <c r="D289" s="366">
        <f>IF(LN_IIB11=0,0,LN_IIB12/LN_IIB11)</f>
        <v>0.30734831280828834</v>
      </c>
      <c r="E289" s="367">
        <f t="shared" si="28"/>
        <v>-0.02102478838011479</v>
      </c>
      <c r="F289" s="371">
        <f t="shared" si="29"/>
        <v>-0.06402713347720852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295</v>
      </c>
      <c r="C290" s="421">
        <f>C22+C198+C228</f>
        <v>35019</v>
      </c>
      <c r="D290" s="421">
        <f>LN_IA8+LN_IF11+LN_IG6</f>
        <v>34752</v>
      </c>
      <c r="E290" s="442">
        <f t="shared" si="28"/>
        <v>-267</v>
      </c>
      <c r="F290" s="371">
        <f t="shared" si="29"/>
        <v>-0.0076244324509551955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868</v>
      </c>
      <c r="C291" s="361">
        <f>C287-C288</f>
        <v>187786758</v>
      </c>
      <c r="D291" s="429">
        <f>LN_IIB11-LN_IIB12</f>
        <v>213894084</v>
      </c>
      <c r="E291" s="353">
        <f t="shared" si="28"/>
        <v>26107326</v>
      </c>
      <c r="F291" s="415">
        <f t="shared" si="29"/>
        <v>0.1390264482866252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192</v>
      </c>
      <c r="B293" s="358" t="s">
        <v>765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756</v>
      </c>
      <c r="C294" s="379">
        <f>IF(C18=0,0,C22/C18)</f>
        <v>5.25</v>
      </c>
      <c r="D294" s="379">
        <f>IF(LN_IA4=0,0,LN_IA8/LN_IA4)</f>
        <v>5.161143083945227</v>
      </c>
      <c r="E294" s="379">
        <f aca="true" t="shared" si="30" ref="E294:E300">D294-C294</f>
        <v>-0.0888569160547732</v>
      </c>
      <c r="F294" s="415">
        <f aca="true" t="shared" si="31" ref="F294:F300">IF(C294=0,0,E294/C294)</f>
        <v>-0.016925126867575847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777</v>
      </c>
      <c r="C295" s="379">
        <f>IF(C45=0,0,C51/C45)</f>
        <v>3.282415254237288</v>
      </c>
      <c r="D295" s="379">
        <f>IF(LN_IB4=0,0,(LN_IB10)/(LN_IB4))</f>
        <v>3.4252409773593366</v>
      </c>
      <c r="E295" s="379">
        <f t="shared" si="30"/>
        <v>0.14282572312204866</v>
      </c>
      <c r="F295" s="415">
        <f t="shared" si="31"/>
        <v>0.0435123870868179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792</v>
      </c>
      <c r="C296" s="379">
        <f>IF(C86=0,0,C93/C86)</f>
        <v>2.902857142857143</v>
      </c>
      <c r="D296" s="379">
        <f>IF(LN_IC4=0,0,LN_IC11/LN_IC4)</f>
        <v>4.154716981132076</v>
      </c>
      <c r="E296" s="379">
        <f t="shared" si="30"/>
        <v>1.2518598382749326</v>
      </c>
      <c r="F296" s="415">
        <f t="shared" si="31"/>
        <v>0.4312509285395929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270</v>
      </c>
      <c r="C297" s="379">
        <f>IF(C121=0,0,C128/C121)</f>
        <v>3.9485949280328994</v>
      </c>
      <c r="D297" s="379">
        <f>IF(LN_ID4=0,0,LN_ID11/LN_ID4)</f>
        <v>3.554421768707483</v>
      </c>
      <c r="E297" s="379">
        <f t="shared" si="30"/>
        <v>-0.3941731593254163</v>
      </c>
      <c r="F297" s="415">
        <f t="shared" si="31"/>
        <v>-0.09982618285988237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869</v>
      </c>
      <c r="C298" s="379">
        <f>IF(C156=0,0,C163/C156)</f>
        <v>4.512249443207127</v>
      </c>
      <c r="D298" s="379">
        <f>IF(LN_IE4=0,0,LN_IE11/LN_IE4)</f>
        <v>4.755208333333333</v>
      </c>
      <c r="E298" s="379">
        <f t="shared" si="30"/>
        <v>0.2429588901262063</v>
      </c>
      <c r="F298" s="415">
        <f t="shared" si="31"/>
        <v>0.053844294998354705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574</v>
      </c>
      <c r="C299" s="379">
        <f>IF(C224=0,0,C228/C224)</f>
        <v>2.765151515151515</v>
      </c>
      <c r="D299" s="379">
        <f>IF(LN_IG3=0,0,LN_IG6/LN_IG3)</f>
        <v>2.738396624472574</v>
      </c>
      <c r="E299" s="379">
        <f t="shared" si="30"/>
        <v>-0.026754890678941212</v>
      </c>
      <c r="F299" s="415">
        <f t="shared" si="31"/>
        <v>-0.009675741286630795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870</v>
      </c>
      <c r="C300" s="379">
        <f>IF(C264=0,0,C274/C264)</f>
        <v>4.2304857621440535</v>
      </c>
      <c r="D300" s="379">
        <f>IF(LN_IIA4=0,0,LN_IIA14/LN_IIA4)</f>
        <v>4.209676062263357</v>
      </c>
      <c r="E300" s="379">
        <f t="shared" si="30"/>
        <v>-0.020809699880696364</v>
      </c>
      <c r="F300" s="415">
        <f t="shared" si="31"/>
        <v>-0.0049189859157331844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291</v>
      </c>
      <c r="B302" s="446" t="s">
        <v>871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865</v>
      </c>
      <c r="C304" s="353">
        <f>C35+C66+C214+C221+C233</f>
        <v>512314358</v>
      </c>
      <c r="D304" s="353">
        <f>LN_IIA11</f>
        <v>560641054</v>
      </c>
      <c r="E304" s="353">
        <f aca="true" t="shared" si="32" ref="E304:E316">D304-C304</f>
        <v>48326696</v>
      </c>
      <c r="F304" s="362">
        <f>IF(C304=0,0,E304/C304)</f>
        <v>0.09433016124837945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868</v>
      </c>
      <c r="C305" s="353">
        <f>C291</f>
        <v>187786758</v>
      </c>
      <c r="D305" s="353">
        <f>LN_IIB14</f>
        <v>213894084</v>
      </c>
      <c r="E305" s="353">
        <f t="shared" si="32"/>
        <v>26107326</v>
      </c>
      <c r="F305" s="362">
        <f>IF(C305=0,0,E305/C305)</f>
        <v>0.1390264482866252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872</v>
      </c>
      <c r="C306" s="353">
        <f>C250</f>
        <v>20647262</v>
      </c>
      <c r="D306" s="353">
        <f>LN_IH6</f>
        <v>23735237</v>
      </c>
      <c r="E306" s="353">
        <f t="shared" si="32"/>
        <v>3087975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873</v>
      </c>
      <c r="C307" s="353">
        <f>C73-C74</f>
        <v>68156273</v>
      </c>
      <c r="D307" s="353">
        <f>LN_IB32-LN_IB33</f>
        <v>71398103</v>
      </c>
      <c r="E307" s="353">
        <f t="shared" si="32"/>
        <v>3241830</v>
      </c>
      <c r="F307" s="362">
        <f aca="true" t="shared" si="33" ref="F307:F316">IF(C307=0,0,E307/C307)</f>
        <v>0.04756466070261794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874</v>
      </c>
      <c r="C308" s="353">
        <v>5193106</v>
      </c>
      <c r="D308" s="353">
        <v>5983436</v>
      </c>
      <c r="E308" s="353">
        <f t="shared" si="32"/>
        <v>790330</v>
      </c>
      <c r="F308" s="362">
        <f t="shared" si="33"/>
        <v>0.15218830503363498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875</v>
      </c>
      <c r="C309" s="353">
        <f>C305+C307+C308+C306</f>
        <v>281783399</v>
      </c>
      <c r="D309" s="353">
        <f>LN_III2+LN_III3+LN_III4+LN_III5</f>
        <v>315010860</v>
      </c>
      <c r="E309" s="353">
        <f t="shared" si="32"/>
        <v>33227461</v>
      </c>
      <c r="F309" s="362">
        <f t="shared" si="33"/>
        <v>0.11791844770812776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876</v>
      </c>
      <c r="C310" s="353">
        <f>C304-C309</f>
        <v>230530959</v>
      </c>
      <c r="D310" s="353">
        <f>LN_III1-LN_III6</f>
        <v>245630194</v>
      </c>
      <c r="E310" s="353">
        <f t="shared" si="32"/>
        <v>15099235</v>
      </c>
      <c r="F310" s="362">
        <f t="shared" si="33"/>
        <v>0.06549764537265469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877</v>
      </c>
      <c r="C311" s="353">
        <f>C245</f>
        <v>2058702</v>
      </c>
      <c r="D311" s="353">
        <f>LN_IH3</f>
        <v>2039977</v>
      </c>
      <c r="E311" s="353">
        <f t="shared" si="32"/>
        <v>-18725</v>
      </c>
      <c r="F311" s="362">
        <f t="shared" si="33"/>
        <v>-0.00909553689654938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878</v>
      </c>
      <c r="C312" s="353">
        <f>C310+C311</f>
        <v>232589661</v>
      </c>
      <c r="D312" s="353">
        <f>LN_III7+LN_III8</f>
        <v>247670171</v>
      </c>
      <c r="E312" s="353">
        <f t="shared" si="32"/>
        <v>15080510</v>
      </c>
      <c r="F312" s="362">
        <f t="shared" si="33"/>
        <v>0.06483740478902886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879</v>
      </c>
      <c r="C313" s="448">
        <f>IF(C304=0,0,C312/C304)</f>
        <v>0.4539979357752062</v>
      </c>
      <c r="D313" s="448">
        <f>IF(LN_III1=0,0,LN_III9/LN_III1)</f>
        <v>0.4417624596574763</v>
      </c>
      <c r="E313" s="448">
        <f t="shared" si="32"/>
        <v>-0.012235476117729904</v>
      </c>
      <c r="F313" s="362">
        <f t="shared" si="33"/>
        <v>-0.02695051046176609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837</v>
      </c>
      <c r="C314" s="353">
        <f>C306*C313</f>
        <v>9373814.327409856</v>
      </c>
      <c r="D314" s="353">
        <f>D313*LN_III5</f>
        <v>10485336.677673139</v>
      </c>
      <c r="E314" s="353">
        <f t="shared" si="32"/>
        <v>1111522.3502632827</v>
      </c>
      <c r="F314" s="362">
        <f t="shared" si="33"/>
        <v>0.11857738071609694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840</v>
      </c>
      <c r="C315" s="353">
        <f>(C214*C313)-C215</f>
        <v>14710109.829166852</v>
      </c>
      <c r="D315" s="353">
        <f>D313*LN_IH8-LN_IH9</f>
        <v>15723946.117364638</v>
      </c>
      <c r="E315" s="353">
        <f t="shared" si="32"/>
        <v>1013836.2881977856</v>
      </c>
      <c r="F315" s="362">
        <f t="shared" si="33"/>
        <v>0.06892105497319778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880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881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882</v>
      </c>
      <c r="C318" s="353">
        <f>C314+C315+C316</f>
        <v>24083924.156576708</v>
      </c>
      <c r="D318" s="353">
        <f>D314+D315+D316</f>
        <v>26209282.795037776</v>
      </c>
      <c r="E318" s="353">
        <f>D318-C318</f>
        <v>2125358.6384610683</v>
      </c>
      <c r="F318" s="362">
        <f>IF(C318=0,0,E318/C318)</f>
        <v>0.08824802073962215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300</v>
      </c>
      <c r="B320" s="445" t="s">
        <v>883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270</v>
      </c>
      <c r="C322" s="353">
        <f>C141</f>
        <v>5213117.299341706</v>
      </c>
      <c r="D322" s="353">
        <f>LN_ID22</f>
        <v>6645597.271215496</v>
      </c>
      <c r="E322" s="353">
        <f>LN_IV2-C322</f>
        <v>1432479.97187379</v>
      </c>
      <c r="F322" s="362">
        <f>IF(C322=0,0,E322/C322)</f>
        <v>0.2747837598157783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869</v>
      </c>
      <c r="C323" s="353">
        <f>C162+C176</f>
        <v>3931692.8542280067</v>
      </c>
      <c r="D323" s="353">
        <f>LN_IE10+LN_IE22</f>
        <v>2181989.6445446685</v>
      </c>
      <c r="E323" s="353">
        <f>LN_IV3-C323</f>
        <v>-1749703.2096833382</v>
      </c>
      <c r="F323" s="362">
        <f>IF(C323=0,0,E323/C323)</f>
        <v>-0.4450254062449888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884</v>
      </c>
      <c r="C324" s="353">
        <f>C92+C106</f>
        <v>4385711.727180875</v>
      </c>
      <c r="D324" s="353">
        <f>LN_IC10+LN_IC22</f>
        <v>2353918.1023894083</v>
      </c>
      <c r="E324" s="353">
        <f>LN_IV1-C324</f>
        <v>-2031793.6247914666</v>
      </c>
      <c r="F324" s="362">
        <f>IF(C324=0,0,E324/C324)</f>
        <v>-0.4632756895988462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885</v>
      </c>
      <c r="C325" s="429">
        <f>C324+C322+C323</f>
        <v>13530521.880750587</v>
      </c>
      <c r="D325" s="429">
        <f>LN_IV1+LN_IV2+LN_IV3</f>
        <v>11181505.018149573</v>
      </c>
      <c r="E325" s="353">
        <f>LN_IV4-C325</f>
        <v>-2349016.862601014</v>
      </c>
      <c r="F325" s="362">
        <f>IF(C325=0,0,E325/C325)</f>
        <v>-0.17360874054258618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886</v>
      </c>
      <c r="B327" s="446" t="s">
        <v>887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888</v>
      </c>
      <c r="C329" s="431">
        <v>9696374</v>
      </c>
      <c r="D329" s="431">
        <v>10821353</v>
      </c>
      <c r="E329" s="431">
        <f aca="true" t="shared" si="34" ref="E329:E335">D329-C329</f>
        <v>1124979</v>
      </c>
      <c r="F329" s="462">
        <f aca="true" t="shared" si="35" ref="F329:F335">IF(C329=0,0,E329/C329)</f>
        <v>0.11602058666466454</v>
      </c>
    </row>
    <row r="330" spans="1:6" s="333" customFormat="1" ht="11.25" customHeight="1">
      <c r="A330" s="364">
        <v>2</v>
      </c>
      <c r="B330" s="360" t="s">
        <v>889</v>
      </c>
      <c r="C330" s="429">
        <v>9542166</v>
      </c>
      <c r="D330" s="429">
        <v>11982099</v>
      </c>
      <c r="E330" s="431">
        <f t="shared" si="34"/>
        <v>2439933</v>
      </c>
      <c r="F330" s="463">
        <f t="shared" si="35"/>
        <v>0.25570012091594296</v>
      </c>
    </row>
    <row r="331" spans="1:6" s="333" customFormat="1" ht="11.25" customHeight="1">
      <c r="A331" s="339">
        <v>3</v>
      </c>
      <c r="B331" s="360" t="s">
        <v>890</v>
      </c>
      <c r="C331" s="429">
        <v>242131827</v>
      </c>
      <c r="D331" s="429">
        <v>259652271</v>
      </c>
      <c r="E331" s="431">
        <f t="shared" si="34"/>
        <v>17520444</v>
      </c>
      <c r="F331" s="462">
        <f t="shared" si="35"/>
        <v>0.07235911204684381</v>
      </c>
    </row>
    <row r="332" spans="1:6" s="333" customFormat="1" ht="11.25" customHeight="1">
      <c r="A332" s="364">
        <v>4</v>
      </c>
      <c r="B332" s="360" t="s">
        <v>891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892</v>
      </c>
      <c r="C333" s="429">
        <v>512314357</v>
      </c>
      <c r="D333" s="429">
        <v>560641054</v>
      </c>
      <c r="E333" s="431">
        <f t="shared" si="34"/>
        <v>48326697</v>
      </c>
      <c r="F333" s="462">
        <f t="shared" si="35"/>
        <v>0.09433016338443156</v>
      </c>
    </row>
    <row r="334" spans="1:6" s="333" customFormat="1" ht="11.25" customHeight="1">
      <c r="A334" s="339">
        <v>6</v>
      </c>
      <c r="B334" s="360" t="s">
        <v>893</v>
      </c>
      <c r="C334" s="429">
        <v>116569</v>
      </c>
      <c r="D334" s="429">
        <v>78485</v>
      </c>
      <c r="E334" s="429">
        <f t="shared" si="34"/>
        <v>-38084</v>
      </c>
      <c r="F334" s="463">
        <f t="shared" si="35"/>
        <v>-0.32670778680438195</v>
      </c>
    </row>
    <row r="335" spans="1:6" s="333" customFormat="1" ht="11.25" customHeight="1">
      <c r="A335" s="364">
        <v>7</v>
      </c>
      <c r="B335" s="360" t="s">
        <v>894</v>
      </c>
      <c r="C335" s="429">
        <v>20763831</v>
      </c>
      <c r="D335" s="429">
        <v>23813722</v>
      </c>
      <c r="E335" s="429">
        <f t="shared" si="34"/>
        <v>3049891</v>
      </c>
      <c r="F335" s="462">
        <f t="shared" si="35"/>
        <v>0.14688479211760103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 r:id="rId1"/>
  <headerFooter alignWithMargins="0">
    <oddHeader>&amp;LOFFICE OF HEALTH CARE ACCESS&amp;CTWELVE MONTHS ACTUAL FILING&amp;RWILLIAM W. BACKUS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A1" sqref="A1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156</v>
      </c>
      <c r="B2" s="710"/>
      <c r="C2" s="710"/>
      <c r="D2" s="710"/>
      <c r="E2" s="710"/>
    </row>
    <row r="3" spans="1:5" s="338" customFormat="1" ht="15.75" customHeight="1">
      <c r="A3" s="709" t="s">
        <v>747</v>
      </c>
      <c r="B3" s="709"/>
      <c r="C3" s="709"/>
      <c r="D3" s="709"/>
      <c r="E3" s="709"/>
    </row>
    <row r="4" spans="1:5" s="338" customFormat="1" ht="15.75" customHeight="1">
      <c r="A4" s="709" t="s">
        <v>158</v>
      </c>
      <c r="B4" s="709"/>
      <c r="C4" s="709"/>
      <c r="D4" s="709"/>
      <c r="E4" s="709"/>
    </row>
    <row r="5" spans="1:5" s="338" customFormat="1" ht="15.75" customHeight="1">
      <c r="A5" s="709" t="s">
        <v>895</v>
      </c>
      <c r="B5" s="709"/>
      <c r="C5" s="709"/>
      <c r="D5" s="709"/>
      <c r="E5" s="709"/>
    </row>
    <row r="6" spans="1:5" s="338" customFormat="1" ht="15.75" customHeight="1">
      <c r="A6" s="709" t="s">
        <v>896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164</v>
      </c>
      <c r="B9" s="493" t="s">
        <v>165</v>
      </c>
      <c r="C9" s="494" t="s">
        <v>897</v>
      </c>
      <c r="D9" s="494" t="s">
        <v>898</v>
      </c>
      <c r="E9" s="495" t="s">
        <v>899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168</v>
      </c>
      <c r="B11" s="501" t="s">
        <v>900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170</v>
      </c>
      <c r="B13" s="509" t="s">
        <v>901</v>
      </c>
      <c r="C13" s="510"/>
      <c r="D13" s="340"/>
      <c r="E13" s="511"/>
    </row>
    <row r="14" spans="1:5" s="506" customFormat="1" ht="12.75">
      <c r="A14" s="512">
        <v>1</v>
      </c>
      <c r="B14" s="511" t="s">
        <v>777</v>
      </c>
      <c r="C14" s="513">
        <v>73872061</v>
      </c>
      <c r="D14" s="513">
        <v>76065517</v>
      </c>
      <c r="E14" s="514">
        <f aca="true" t="shared" si="0" ref="E14:E22">D14-C14</f>
        <v>2193456</v>
      </c>
    </row>
    <row r="15" spans="1:5" s="506" customFormat="1" ht="12.75">
      <c r="A15" s="512">
        <v>2</v>
      </c>
      <c r="B15" s="511" t="s">
        <v>756</v>
      </c>
      <c r="C15" s="513">
        <v>111648145</v>
      </c>
      <c r="D15" s="515">
        <v>115948483</v>
      </c>
      <c r="E15" s="514">
        <f t="shared" si="0"/>
        <v>4300338</v>
      </c>
    </row>
    <row r="16" spans="1:5" s="506" customFormat="1" ht="12.75">
      <c r="A16" s="512">
        <v>3</v>
      </c>
      <c r="B16" s="511" t="s">
        <v>902</v>
      </c>
      <c r="C16" s="513">
        <v>27606092</v>
      </c>
      <c r="D16" s="515">
        <v>31188332</v>
      </c>
      <c r="E16" s="514">
        <f t="shared" si="0"/>
        <v>3582240</v>
      </c>
    </row>
    <row r="17" spans="1:5" s="506" customFormat="1" ht="12.75">
      <c r="A17" s="512">
        <v>4</v>
      </c>
      <c r="B17" s="511" t="s">
        <v>270</v>
      </c>
      <c r="C17" s="513">
        <v>19659046</v>
      </c>
      <c r="D17" s="515">
        <v>21740269</v>
      </c>
      <c r="E17" s="514">
        <f t="shared" si="0"/>
        <v>2081223</v>
      </c>
    </row>
    <row r="18" spans="1:5" s="506" customFormat="1" ht="12.75">
      <c r="A18" s="512">
        <v>5</v>
      </c>
      <c r="B18" s="511" t="s">
        <v>869</v>
      </c>
      <c r="C18" s="513">
        <v>7947046</v>
      </c>
      <c r="D18" s="515">
        <v>9448063</v>
      </c>
      <c r="E18" s="514">
        <f t="shared" si="0"/>
        <v>1501017</v>
      </c>
    </row>
    <row r="19" spans="1:5" s="506" customFormat="1" ht="12.75">
      <c r="A19" s="512">
        <v>6</v>
      </c>
      <c r="B19" s="511" t="s">
        <v>574</v>
      </c>
      <c r="C19" s="513">
        <v>2859279</v>
      </c>
      <c r="D19" s="515">
        <v>2651102</v>
      </c>
      <c r="E19" s="514">
        <f t="shared" si="0"/>
        <v>-208177</v>
      </c>
    </row>
    <row r="20" spans="1:5" s="506" customFormat="1" ht="12.75">
      <c r="A20" s="512">
        <v>7</v>
      </c>
      <c r="B20" s="511" t="s">
        <v>884</v>
      </c>
      <c r="C20" s="513">
        <v>4441859</v>
      </c>
      <c r="D20" s="515">
        <v>4648083</v>
      </c>
      <c r="E20" s="514">
        <f t="shared" si="0"/>
        <v>206224</v>
      </c>
    </row>
    <row r="21" spans="1:5" s="506" customFormat="1" ht="12.75">
      <c r="A21" s="512"/>
      <c r="B21" s="516" t="s">
        <v>903</v>
      </c>
      <c r="C21" s="517">
        <f>SUM(C15+C16+C19)</f>
        <v>142113516</v>
      </c>
      <c r="D21" s="517">
        <f>SUM(D15+D16+D19)</f>
        <v>149787917</v>
      </c>
      <c r="E21" s="517">
        <f t="shared" si="0"/>
        <v>7674401</v>
      </c>
    </row>
    <row r="22" spans="1:5" s="506" customFormat="1" ht="12.75">
      <c r="A22" s="512"/>
      <c r="B22" s="516" t="s">
        <v>843</v>
      </c>
      <c r="C22" s="517">
        <f>SUM(C14+C21)</f>
        <v>215985577</v>
      </c>
      <c r="D22" s="517">
        <f>SUM(D14+D21)</f>
        <v>225853434</v>
      </c>
      <c r="E22" s="517">
        <f t="shared" si="0"/>
        <v>9867857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182</v>
      </c>
      <c r="B24" s="509" t="s">
        <v>904</v>
      </c>
      <c r="C24" s="511"/>
      <c r="D24" s="511"/>
      <c r="E24" s="511"/>
    </row>
    <row r="25" spans="1:5" s="506" customFormat="1" ht="12.75">
      <c r="A25" s="512">
        <v>1</v>
      </c>
      <c r="B25" s="511" t="s">
        <v>777</v>
      </c>
      <c r="C25" s="513">
        <v>158842480</v>
      </c>
      <c r="D25" s="513">
        <v>175770855</v>
      </c>
      <c r="E25" s="514">
        <f aca="true" t="shared" si="1" ref="E25:E33">D25-C25</f>
        <v>16928375</v>
      </c>
    </row>
    <row r="26" spans="1:5" s="506" customFormat="1" ht="12.75">
      <c r="A26" s="512">
        <v>2</v>
      </c>
      <c r="B26" s="511" t="s">
        <v>756</v>
      </c>
      <c r="C26" s="513">
        <v>90012983</v>
      </c>
      <c r="D26" s="515">
        <v>102528142</v>
      </c>
      <c r="E26" s="514">
        <f t="shared" si="1"/>
        <v>12515159</v>
      </c>
    </row>
    <row r="27" spans="1:5" s="506" customFormat="1" ht="12.75">
      <c r="A27" s="512">
        <v>3</v>
      </c>
      <c r="B27" s="511" t="s">
        <v>902</v>
      </c>
      <c r="C27" s="513">
        <v>40228009</v>
      </c>
      <c r="D27" s="515">
        <v>49767755</v>
      </c>
      <c r="E27" s="514">
        <f t="shared" si="1"/>
        <v>9539746</v>
      </c>
    </row>
    <row r="28" spans="1:5" s="506" customFormat="1" ht="12.75">
      <c r="A28" s="512">
        <v>4</v>
      </c>
      <c r="B28" s="511" t="s">
        <v>270</v>
      </c>
      <c r="C28" s="513">
        <v>30149641</v>
      </c>
      <c r="D28" s="515">
        <v>37356397</v>
      </c>
      <c r="E28" s="514">
        <f t="shared" si="1"/>
        <v>7206756</v>
      </c>
    </row>
    <row r="29" spans="1:5" s="506" customFormat="1" ht="12.75">
      <c r="A29" s="512">
        <v>5</v>
      </c>
      <c r="B29" s="511" t="s">
        <v>869</v>
      </c>
      <c r="C29" s="513">
        <v>10078368</v>
      </c>
      <c r="D29" s="515">
        <v>12411358</v>
      </c>
      <c r="E29" s="514">
        <f t="shared" si="1"/>
        <v>2332990</v>
      </c>
    </row>
    <row r="30" spans="1:5" s="506" customFormat="1" ht="12.75">
      <c r="A30" s="512">
        <v>6</v>
      </c>
      <c r="B30" s="511" t="s">
        <v>574</v>
      </c>
      <c r="C30" s="513">
        <v>7245309</v>
      </c>
      <c r="D30" s="515">
        <v>6720868</v>
      </c>
      <c r="E30" s="514">
        <f t="shared" si="1"/>
        <v>-524441</v>
      </c>
    </row>
    <row r="31" spans="1:5" s="506" customFormat="1" ht="12.75">
      <c r="A31" s="512">
        <v>7</v>
      </c>
      <c r="B31" s="511" t="s">
        <v>884</v>
      </c>
      <c r="C31" s="514">
        <v>10713332</v>
      </c>
      <c r="D31" s="518">
        <v>11539441</v>
      </c>
      <c r="E31" s="514">
        <f t="shared" si="1"/>
        <v>826109</v>
      </c>
    </row>
    <row r="32" spans="1:5" s="506" customFormat="1" ht="12.75">
      <c r="A32" s="512"/>
      <c r="B32" s="516" t="s">
        <v>905</v>
      </c>
      <c r="C32" s="517">
        <f>SUM(C26+C27+C30)</f>
        <v>137486301</v>
      </c>
      <c r="D32" s="517">
        <f>SUM(D26+D27+D30)</f>
        <v>159016765</v>
      </c>
      <c r="E32" s="517">
        <f t="shared" si="1"/>
        <v>21530464</v>
      </c>
    </row>
    <row r="33" spans="1:5" s="506" customFormat="1" ht="12.75">
      <c r="A33" s="512"/>
      <c r="B33" s="516" t="s">
        <v>849</v>
      </c>
      <c r="C33" s="517">
        <f>SUM(C25+C32)</f>
        <v>296328781</v>
      </c>
      <c r="D33" s="517">
        <f>SUM(D25+D32)</f>
        <v>334787620</v>
      </c>
      <c r="E33" s="517">
        <f t="shared" si="1"/>
        <v>38458839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192</v>
      </c>
      <c r="B35" s="509" t="s">
        <v>774</v>
      </c>
      <c r="C35" s="514"/>
      <c r="D35" s="514"/>
      <c r="E35" s="511"/>
    </row>
    <row r="36" spans="1:5" s="506" customFormat="1" ht="12.75">
      <c r="A36" s="512">
        <v>1</v>
      </c>
      <c r="B36" s="511" t="s">
        <v>906</v>
      </c>
      <c r="C36" s="514">
        <f aca="true" t="shared" si="2" ref="C36:D42">C14+C25</f>
        <v>232714541</v>
      </c>
      <c r="D36" s="514">
        <f t="shared" si="2"/>
        <v>251836372</v>
      </c>
      <c r="E36" s="514">
        <f aca="true" t="shared" si="3" ref="E36:E44">D36-C36</f>
        <v>19121831</v>
      </c>
    </row>
    <row r="37" spans="1:5" s="506" customFormat="1" ht="12.75">
      <c r="A37" s="512">
        <v>2</v>
      </c>
      <c r="B37" s="511" t="s">
        <v>907</v>
      </c>
      <c r="C37" s="514">
        <f t="shared" si="2"/>
        <v>201661128</v>
      </c>
      <c r="D37" s="514">
        <f t="shared" si="2"/>
        <v>218476625</v>
      </c>
      <c r="E37" s="514">
        <f t="shared" si="3"/>
        <v>16815497</v>
      </c>
    </row>
    <row r="38" spans="1:5" s="506" customFormat="1" ht="12.75">
      <c r="A38" s="512">
        <v>3</v>
      </c>
      <c r="B38" s="511" t="s">
        <v>908</v>
      </c>
      <c r="C38" s="514">
        <f t="shared" si="2"/>
        <v>67834101</v>
      </c>
      <c r="D38" s="514">
        <f t="shared" si="2"/>
        <v>80956087</v>
      </c>
      <c r="E38" s="514">
        <f t="shared" si="3"/>
        <v>13121986</v>
      </c>
    </row>
    <row r="39" spans="1:5" s="506" customFormat="1" ht="12.75">
      <c r="A39" s="512">
        <v>4</v>
      </c>
      <c r="B39" s="511" t="s">
        <v>909</v>
      </c>
      <c r="C39" s="514">
        <f t="shared" si="2"/>
        <v>49808687</v>
      </c>
      <c r="D39" s="514">
        <f t="shared" si="2"/>
        <v>59096666</v>
      </c>
      <c r="E39" s="514">
        <f t="shared" si="3"/>
        <v>9287979</v>
      </c>
    </row>
    <row r="40" spans="1:5" s="506" customFormat="1" ht="12.75">
      <c r="A40" s="512">
        <v>5</v>
      </c>
      <c r="B40" s="511" t="s">
        <v>910</v>
      </c>
      <c r="C40" s="514">
        <f t="shared" si="2"/>
        <v>18025414</v>
      </c>
      <c r="D40" s="514">
        <f t="shared" si="2"/>
        <v>21859421</v>
      </c>
      <c r="E40" s="514">
        <f t="shared" si="3"/>
        <v>3834007</v>
      </c>
    </row>
    <row r="41" spans="1:5" s="506" customFormat="1" ht="12.75">
      <c r="A41" s="512">
        <v>6</v>
      </c>
      <c r="B41" s="511" t="s">
        <v>911</v>
      </c>
      <c r="C41" s="514">
        <f t="shared" si="2"/>
        <v>10104588</v>
      </c>
      <c r="D41" s="514">
        <f t="shared" si="2"/>
        <v>9371970</v>
      </c>
      <c r="E41" s="514">
        <f t="shared" si="3"/>
        <v>-732618</v>
      </c>
    </row>
    <row r="42" spans="1:5" s="506" customFormat="1" ht="12.75">
      <c r="A42" s="512">
        <v>7</v>
      </c>
      <c r="B42" s="511" t="s">
        <v>912</v>
      </c>
      <c r="C42" s="514">
        <f t="shared" si="2"/>
        <v>15155191</v>
      </c>
      <c r="D42" s="514">
        <f t="shared" si="2"/>
        <v>16187524</v>
      </c>
      <c r="E42" s="514">
        <f t="shared" si="3"/>
        <v>1032333</v>
      </c>
    </row>
    <row r="43" spans="1:5" s="506" customFormat="1" ht="12.75">
      <c r="A43" s="512"/>
      <c r="B43" s="516" t="s">
        <v>913</v>
      </c>
      <c r="C43" s="517">
        <f>SUM(C37+C38+C41)</f>
        <v>279599817</v>
      </c>
      <c r="D43" s="517">
        <f>SUM(D37+D38+D41)</f>
        <v>308804682</v>
      </c>
      <c r="E43" s="517">
        <f t="shared" si="3"/>
        <v>29204865</v>
      </c>
    </row>
    <row r="44" spans="1:5" s="506" customFormat="1" ht="12.75">
      <c r="A44" s="512"/>
      <c r="B44" s="516" t="s">
        <v>851</v>
      </c>
      <c r="C44" s="517">
        <f>SUM(C36+C43)</f>
        <v>512314358</v>
      </c>
      <c r="D44" s="517">
        <f>SUM(D36+D43)</f>
        <v>560641054</v>
      </c>
      <c r="E44" s="517">
        <f t="shared" si="3"/>
        <v>48326696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477</v>
      </c>
      <c r="B46" s="509" t="s">
        <v>914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777</v>
      </c>
      <c r="C47" s="513">
        <v>52690249</v>
      </c>
      <c r="D47" s="513">
        <v>56138442</v>
      </c>
      <c r="E47" s="514">
        <f aca="true" t="shared" si="4" ref="E47:E55">D47-C47</f>
        <v>3448193</v>
      </c>
    </row>
    <row r="48" spans="1:5" s="506" customFormat="1" ht="12.75">
      <c r="A48" s="512">
        <v>2</v>
      </c>
      <c r="B48" s="511" t="s">
        <v>756</v>
      </c>
      <c r="C48" s="513">
        <v>48248733</v>
      </c>
      <c r="D48" s="515">
        <v>46477332</v>
      </c>
      <c r="E48" s="514">
        <f t="shared" si="4"/>
        <v>-1771401</v>
      </c>
    </row>
    <row r="49" spans="1:5" s="506" customFormat="1" ht="12.75">
      <c r="A49" s="512">
        <v>3</v>
      </c>
      <c r="B49" s="511" t="s">
        <v>902</v>
      </c>
      <c r="C49" s="513">
        <v>6564380</v>
      </c>
      <c r="D49" s="515">
        <v>7610347</v>
      </c>
      <c r="E49" s="514">
        <f t="shared" si="4"/>
        <v>1045967</v>
      </c>
    </row>
    <row r="50" spans="1:5" s="506" customFormat="1" ht="12.75">
      <c r="A50" s="512">
        <v>4</v>
      </c>
      <c r="B50" s="511" t="s">
        <v>270</v>
      </c>
      <c r="C50" s="513">
        <v>5220515</v>
      </c>
      <c r="D50" s="515">
        <v>6181260</v>
      </c>
      <c r="E50" s="514">
        <f t="shared" si="4"/>
        <v>960745</v>
      </c>
    </row>
    <row r="51" spans="1:5" s="506" customFormat="1" ht="12.75">
      <c r="A51" s="512">
        <v>5</v>
      </c>
      <c r="B51" s="511" t="s">
        <v>869</v>
      </c>
      <c r="C51" s="513">
        <v>1343865</v>
      </c>
      <c r="D51" s="515">
        <v>1429087</v>
      </c>
      <c r="E51" s="514">
        <f t="shared" si="4"/>
        <v>85222</v>
      </c>
    </row>
    <row r="52" spans="1:5" s="506" customFormat="1" ht="12.75">
      <c r="A52" s="512">
        <v>6</v>
      </c>
      <c r="B52" s="511" t="s">
        <v>574</v>
      </c>
      <c r="C52" s="513">
        <v>1152336</v>
      </c>
      <c r="D52" s="515">
        <v>1174297</v>
      </c>
      <c r="E52" s="514">
        <f t="shared" si="4"/>
        <v>21961</v>
      </c>
    </row>
    <row r="53" spans="1:5" s="506" customFormat="1" ht="12.75">
      <c r="A53" s="512">
        <v>7</v>
      </c>
      <c r="B53" s="511" t="s">
        <v>884</v>
      </c>
      <c r="C53" s="513">
        <v>1020992</v>
      </c>
      <c r="D53" s="515">
        <v>839769</v>
      </c>
      <c r="E53" s="514">
        <f t="shared" si="4"/>
        <v>-181223</v>
      </c>
    </row>
    <row r="54" spans="1:5" s="506" customFormat="1" ht="12.75">
      <c r="A54" s="512"/>
      <c r="B54" s="516" t="s">
        <v>915</v>
      </c>
      <c r="C54" s="517">
        <f>SUM(C48+C49+C52)</f>
        <v>55965449</v>
      </c>
      <c r="D54" s="517">
        <f>SUM(D48+D49+D52)</f>
        <v>55261976</v>
      </c>
      <c r="E54" s="517">
        <f t="shared" si="4"/>
        <v>-703473</v>
      </c>
    </row>
    <row r="55" spans="1:5" s="506" customFormat="1" ht="12.75">
      <c r="A55" s="512"/>
      <c r="B55" s="516" t="s">
        <v>844</v>
      </c>
      <c r="C55" s="517">
        <f>SUM(C47+C54)</f>
        <v>108655698</v>
      </c>
      <c r="D55" s="517">
        <f>SUM(D47+D54)</f>
        <v>111400418</v>
      </c>
      <c r="E55" s="517">
        <f t="shared" si="4"/>
        <v>2744720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498</v>
      </c>
      <c r="B57" s="509" t="s">
        <v>916</v>
      </c>
      <c r="C57" s="499"/>
      <c r="D57" s="515"/>
      <c r="E57" s="511"/>
    </row>
    <row r="58" spans="1:5" s="506" customFormat="1" ht="12.75">
      <c r="A58" s="512">
        <v>1</v>
      </c>
      <c r="B58" s="511" t="s">
        <v>777</v>
      </c>
      <c r="C58" s="513">
        <v>86027651</v>
      </c>
      <c r="D58" s="513">
        <v>94581155</v>
      </c>
      <c r="E58" s="514">
        <f aca="true" t="shared" si="5" ref="E58:E66">D58-C58</f>
        <v>8553504</v>
      </c>
    </row>
    <row r="59" spans="1:5" s="506" customFormat="1" ht="12.75">
      <c r="A59" s="512">
        <v>2</v>
      </c>
      <c r="B59" s="511" t="s">
        <v>756</v>
      </c>
      <c r="C59" s="513">
        <v>23804015</v>
      </c>
      <c r="D59" s="515">
        <v>24698560</v>
      </c>
      <c r="E59" s="514">
        <f t="shared" si="5"/>
        <v>894545</v>
      </c>
    </row>
    <row r="60" spans="1:5" s="506" customFormat="1" ht="12.75">
      <c r="A60" s="512">
        <v>3</v>
      </c>
      <c r="B60" s="511" t="s">
        <v>902</v>
      </c>
      <c r="C60" s="513">
        <f>C61+C62</f>
        <v>9522052</v>
      </c>
      <c r="D60" s="515">
        <f>D61+D62</f>
        <v>12429067</v>
      </c>
      <c r="E60" s="514">
        <f t="shared" si="5"/>
        <v>2907015</v>
      </c>
    </row>
    <row r="61" spans="1:5" s="506" customFormat="1" ht="12.75">
      <c r="A61" s="512">
        <v>4</v>
      </c>
      <c r="B61" s="511" t="s">
        <v>270</v>
      </c>
      <c r="C61" s="513">
        <v>7874248</v>
      </c>
      <c r="D61" s="515">
        <v>10155897</v>
      </c>
      <c r="E61" s="514">
        <f t="shared" si="5"/>
        <v>2281649</v>
      </c>
    </row>
    <row r="62" spans="1:5" s="506" customFormat="1" ht="12.75">
      <c r="A62" s="512">
        <v>5</v>
      </c>
      <c r="B62" s="511" t="s">
        <v>869</v>
      </c>
      <c r="C62" s="513">
        <v>1647804</v>
      </c>
      <c r="D62" s="515">
        <v>2273170</v>
      </c>
      <c r="E62" s="514">
        <f t="shared" si="5"/>
        <v>625366</v>
      </c>
    </row>
    <row r="63" spans="1:5" s="506" customFormat="1" ht="12.75">
      <c r="A63" s="512">
        <v>6</v>
      </c>
      <c r="B63" s="511" t="s">
        <v>574</v>
      </c>
      <c r="C63" s="513">
        <v>2521543</v>
      </c>
      <c r="D63" s="515">
        <v>2520995</v>
      </c>
      <c r="E63" s="514">
        <f t="shared" si="5"/>
        <v>-548</v>
      </c>
    </row>
    <row r="64" spans="1:5" s="506" customFormat="1" ht="12.75">
      <c r="A64" s="512">
        <v>7</v>
      </c>
      <c r="B64" s="511" t="s">
        <v>884</v>
      </c>
      <c r="C64" s="513">
        <v>2232432</v>
      </c>
      <c r="D64" s="515">
        <v>2437935</v>
      </c>
      <c r="E64" s="514">
        <f t="shared" si="5"/>
        <v>205503</v>
      </c>
    </row>
    <row r="65" spans="1:5" s="506" customFormat="1" ht="12.75">
      <c r="A65" s="512"/>
      <c r="B65" s="516" t="s">
        <v>917</v>
      </c>
      <c r="C65" s="517">
        <f>SUM(C59+C60+C63)</f>
        <v>35847610</v>
      </c>
      <c r="D65" s="517">
        <f>SUM(D59+D60+D63)</f>
        <v>39648622</v>
      </c>
      <c r="E65" s="517">
        <f t="shared" si="5"/>
        <v>3801012</v>
      </c>
    </row>
    <row r="66" spans="1:5" s="506" customFormat="1" ht="12.75">
      <c r="A66" s="512"/>
      <c r="B66" s="516" t="s">
        <v>850</v>
      </c>
      <c r="C66" s="517">
        <f>SUM(C58+C65)</f>
        <v>121875261</v>
      </c>
      <c r="D66" s="517">
        <f>SUM(D58+D65)</f>
        <v>134229777</v>
      </c>
      <c r="E66" s="517">
        <f t="shared" si="5"/>
        <v>12354516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510</v>
      </c>
      <c r="B68" s="521" t="s">
        <v>775</v>
      </c>
      <c r="C68" s="511"/>
      <c r="D68" s="511"/>
      <c r="E68" s="511"/>
    </row>
    <row r="69" spans="1:5" s="506" customFormat="1" ht="12.75">
      <c r="A69" s="512">
        <v>1</v>
      </c>
      <c r="B69" s="511" t="s">
        <v>906</v>
      </c>
      <c r="C69" s="514">
        <f aca="true" t="shared" si="6" ref="C69:D75">C47+C58</f>
        <v>138717900</v>
      </c>
      <c r="D69" s="514">
        <f t="shared" si="6"/>
        <v>150719597</v>
      </c>
      <c r="E69" s="514">
        <f aca="true" t="shared" si="7" ref="E69:E77">D69-C69</f>
        <v>12001697</v>
      </c>
    </row>
    <row r="70" spans="1:5" s="506" customFormat="1" ht="12.75">
      <c r="A70" s="512">
        <v>2</v>
      </c>
      <c r="B70" s="511" t="s">
        <v>907</v>
      </c>
      <c r="C70" s="514">
        <f t="shared" si="6"/>
        <v>72052748</v>
      </c>
      <c r="D70" s="514">
        <f t="shared" si="6"/>
        <v>71175892</v>
      </c>
      <c r="E70" s="514">
        <f t="shared" si="7"/>
        <v>-876856</v>
      </c>
    </row>
    <row r="71" spans="1:5" s="506" customFormat="1" ht="12.75">
      <c r="A71" s="512">
        <v>3</v>
      </c>
      <c r="B71" s="511" t="s">
        <v>908</v>
      </c>
      <c r="C71" s="514">
        <f t="shared" si="6"/>
        <v>16086432</v>
      </c>
      <c r="D71" s="514">
        <f t="shared" si="6"/>
        <v>20039414</v>
      </c>
      <c r="E71" s="514">
        <f t="shared" si="7"/>
        <v>3952982</v>
      </c>
    </row>
    <row r="72" spans="1:5" s="506" customFormat="1" ht="12.75">
      <c r="A72" s="512">
        <v>4</v>
      </c>
      <c r="B72" s="511" t="s">
        <v>909</v>
      </c>
      <c r="C72" s="514">
        <f t="shared" si="6"/>
        <v>13094763</v>
      </c>
      <c r="D72" s="514">
        <f t="shared" si="6"/>
        <v>16337157</v>
      </c>
      <c r="E72" s="514">
        <f t="shared" si="7"/>
        <v>3242394</v>
      </c>
    </row>
    <row r="73" spans="1:5" s="506" customFormat="1" ht="12.75">
      <c r="A73" s="512">
        <v>5</v>
      </c>
      <c r="B73" s="511" t="s">
        <v>910</v>
      </c>
      <c r="C73" s="514">
        <f t="shared" si="6"/>
        <v>2991669</v>
      </c>
      <c r="D73" s="514">
        <f t="shared" si="6"/>
        <v>3702257</v>
      </c>
      <c r="E73" s="514">
        <f t="shared" si="7"/>
        <v>710588</v>
      </c>
    </row>
    <row r="74" spans="1:5" s="506" customFormat="1" ht="12.75">
      <c r="A74" s="512">
        <v>6</v>
      </c>
      <c r="B74" s="511" t="s">
        <v>911</v>
      </c>
      <c r="C74" s="514">
        <f t="shared" si="6"/>
        <v>3673879</v>
      </c>
      <c r="D74" s="514">
        <f t="shared" si="6"/>
        <v>3695292</v>
      </c>
      <c r="E74" s="514">
        <f t="shared" si="7"/>
        <v>21413</v>
      </c>
    </row>
    <row r="75" spans="1:5" s="506" customFormat="1" ht="12.75">
      <c r="A75" s="512">
        <v>7</v>
      </c>
      <c r="B75" s="511" t="s">
        <v>912</v>
      </c>
      <c r="C75" s="514">
        <f t="shared" si="6"/>
        <v>3253424</v>
      </c>
      <c r="D75" s="514">
        <f t="shared" si="6"/>
        <v>3277704</v>
      </c>
      <c r="E75" s="514">
        <f t="shared" si="7"/>
        <v>24280</v>
      </c>
    </row>
    <row r="76" spans="1:5" s="506" customFormat="1" ht="12.75">
      <c r="A76" s="512"/>
      <c r="B76" s="516" t="s">
        <v>918</v>
      </c>
      <c r="C76" s="517">
        <f>SUM(C70+C71+C74)</f>
        <v>91813059</v>
      </c>
      <c r="D76" s="517">
        <f>SUM(D70+D71+D74)</f>
        <v>94910598</v>
      </c>
      <c r="E76" s="517">
        <f t="shared" si="7"/>
        <v>3097539</v>
      </c>
    </row>
    <row r="77" spans="1:5" s="506" customFormat="1" ht="12.75">
      <c r="A77" s="512"/>
      <c r="B77" s="516" t="s">
        <v>852</v>
      </c>
      <c r="C77" s="517">
        <f>SUM(C69+C76)</f>
        <v>230530959</v>
      </c>
      <c r="D77" s="517">
        <f>SUM(D69+D76)</f>
        <v>245630195</v>
      </c>
      <c r="E77" s="517">
        <f t="shared" si="7"/>
        <v>15099236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200</v>
      </c>
      <c r="B79" s="501" t="s">
        <v>919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170</v>
      </c>
      <c r="B81" s="522" t="s">
        <v>920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777</v>
      </c>
      <c r="C83" s="523">
        <f aca="true" t="shared" si="8" ref="C83:D89">IF(C$44=0,0,C14/C$44)</f>
        <v>0.1441928375546328</v>
      </c>
      <c r="D83" s="523">
        <f t="shared" si="8"/>
        <v>0.1356759667478793</v>
      </c>
      <c r="E83" s="523">
        <f aca="true" t="shared" si="9" ref="E83:E91">D83-C83</f>
        <v>-0.008516870806753507</v>
      </c>
    </row>
    <row r="84" spans="1:5" s="506" customFormat="1" ht="12.75">
      <c r="A84" s="512">
        <v>2</v>
      </c>
      <c r="B84" s="511" t="s">
        <v>756</v>
      </c>
      <c r="C84" s="523">
        <f t="shared" si="8"/>
        <v>0.2179289790664036</v>
      </c>
      <c r="D84" s="523">
        <f t="shared" si="8"/>
        <v>0.20681411425856802</v>
      </c>
      <c r="E84" s="523">
        <f t="shared" si="9"/>
        <v>-0.011114864807835578</v>
      </c>
    </row>
    <row r="85" spans="1:5" s="506" customFormat="1" ht="12.75">
      <c r="A85" s="512">
        <v>3</v>
      </c>
      <c r="B85" s="511" t="s">
        <v>902</v>
      </c>
      <c r="C85" s="523">
        <f t="shared" si="8"/>
        <v>0.053885064060609444</v>
      </c>
      <c r="D85" s="523">
        <f t="shared" si="8"/>
        <v>0.055629768418636</v>
      </c>
      <c r="E85" s="523">
        <f t="shared" si="9"/>
        <v>0.0017447043580265525</v>
      </c>
    </row>
    <row r="86" spans="1:5" s="506" customFormat="1" ht="12.75">
      <c r="A86" s="512">
        <v>4</v>
      </c>
      <c r="B86" s="511" t="s">
        <v>270</v>
      </c>
      <c r="C86" s="523">
        <f t="shared" si="8"/>
        <v>0.0383730139376652</v>
      </c>
      <c r="D86" s="523">
        <f t="shared" si="8"/>
        <v>0.0387775187794221</v>
      </c>
      <c r="E86" s="523">
        <f t="shared" si="9"/>
        <v>0.00040450484175690027</v>
      </c>
    </row>
    <row r="87" spans="1:5" s="506" customFormat="1" ht="12.75">
      <c r="A87" s="512">
        <v>5</v>
      </c>
      <c r="B87" s="511" t="s">
        <v>869</v>
      </c>
      <c r="C87" s="523">
        <f t="shared" si="8"/>
        <v>0.015512050122944241</v>
      </c>
      <c r="D87" s="523">
        <f t="shared" si="8"/>
        <v>0.0168522496392139</v>
      </c>
      <c r="E87" s="523">
        <f t="shared" si="9"/>
        <v>0.0013401995162696592</v>
      </c>
    </row>
    <row r="88" spans="1:5" s="506" customFormat="1" ht="12.75">
      <c r="A88" s="512">
        <v>6</v>
      </c>
      <c r="B88" s="511" t="s">
        <v>574</v>
      </c>
      <c r="C88" s="523">
        <f t="shared" si="8"/>
        <v>0.005581102608879058</v>
      </c>
      <c r="D88" s="523">
        <f t="shared" si="8"/>
        <v>0.004728697588386026</v>
      </c>
      <c r="E88" s="523">
        <f t="shared" si="9"/>
        <v>-0.0008524050204930323</v>
      </c>
    </row>
    <row r="89" spans="1:5" s="506" customFormat="1" ht="12.75">
      <c r="A89" s="512">
        <v>7</v>
      </c>
      <c r="B89" s="511" t="s">
        <v>884</v>
      </c>
      <c r="C89" s="523">
        <f t="shared" si="8"/>
        <v>0.008670182536637008</v>
      </c>
      <c r="D89" s="523">
        <f t="shared" si="8"/>
        <v>0.008290657572857659</v>
      </c>
      <c r="E89" s="523">
        <f t="shared" si="9"/>
        <v>-0.00037952496377934887</v>
      </c>
    </row>
    <row r="90" spans="1:5" s="506" customFormat="1" ht="12.75">
      <c r="A90" s="512"/>
      <c r="B90" s="516" t="s">
        <v>921</v>
      </c>
      <c r="C90" s="524">
        <f>SUM(C84+C85+C88)</f>
        <v>0.27739514573589213</v>
      </c>
      <c r="D90" s="524">
        <f>SUM(D84+D85+D88)</f>
        <v>0.26717258026559004</v>
      </c>
      <c r="E90" s="525">
        <f t="shared" si="9"/>
        <v>-0.010222565470302092</v>
      </c>
    </row>
    <row r="91" spans="1:5" s="506" customFormat="1" ht="12.75">
      <c r="A91" s="512"/>
      <c r="B91" s="516" t="s">
        <v>922</v>
      </c>
      <c r="C91" s="524">
        <f>SUM(C83+C90)</f>
        <v>0.42158798329052494</v>
      </c>
      <c r="D91" s="524">
        <f>SUM(D83+D90)</f>
        <v>0.40284854701346934</v>
      </c>
      <c r="E91" s="525">
        <f t="shared" si="9"/>
        <v>-0.0187394362770556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182</v>
      </c>
      <c r="B93" s="522" t="s">
        <v>923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777</v>
      </c>
      <c r="C95" s="523">
        <f aca="true" t="shared" si="10" ref="C95:D101">IF(C$44=0,0,C25/C$44)</f>
        <v>0.3100488548087891</v>
      </c>
      <c r="D95" s="523">
        <f t="shared" si="10"/>
        <v>0.3135176308369312</v>
      </c>
      <c r="E95" s="523">
        <f aca="true" t="shared" si="11" ref="E95:E103">D95-C95</f>
        <v>0.0034687760281421065</v>
      </c>
    </row>
    <row r="96" spans="1:5" s="506" customFormat="1" ht="12.75">
      <c r="A96" s="512">
        <v>2</v>
      </c>
      <c r="B96" s="511" t="s">
        <v>756</v>
      </c>
      <c r="C96" s="523">
        <f t="shared" si="10"/>
        <v>0.1756987318321459</v>
      </c>
      <c r="D96" s="523">
        <f t="shared" si="10"/>
        <v>0.1828766218037254</v>
      </c>
      <c r="E96" s="523">
        <f t="shared" si="11"/>
        <v>0.007177889971579504</v>
      </c>
    </row>
    <row r="97" spans="1:5" s="506" customFormat="1" ht="12.75">
      <c r="A97" s="512">
        <v>3</v>
      </c>
      <c r="B97" s="511" t="s">
        <v>902</v>
      </c>
      <c r="C97" s="523">
        <f t="shared" si="10"/>
        <v>0.0785221190306753</v>
      </c>
      <c r="D97" s="523">
        <f t="shared" si="10"/>
        <v>0.0887693732824639</v>
      </c>
      <c r="E97" s="523">
        <f t="shared" si="11"/>
        <v>0.010247254251788601</v>
      </c>
    </row>
    <row r="98" spans="1:5" s="506" customFormat="1" ht="12.75">
      <c r="A98" s="512">
        <v>4</v>
      </c>
      <c r="B98" s="511" t="s">
        <v>270</v>
      </c>
      <c r="C98" s="523">
        <f t="shared" si="10"/>
        <v>0.05884988489820931</v>
      </c>
      <c r="D98" s="523">
        <f t="shared" si="10"/>
        <v>0.0666315760029946</v>
      </c>
      <c r="E98" s="523">
        <f t="shared" si="11"/>
        <v>0.007781691104785292</v>
      </c>
    </row>
    <row r="99" spans="1:5" s="506" customFormat="1" ht="12.75">
      <c r="A99" s="512">
        <v>5</v>
      </c>
      <c r="B99" s="511" t="s">
        <v>869</v>
      </c>
      <c r="C99" s="523">
        <f t="shared" si="10"/>
        <v>0.01967223413246599</v>
      </c>
      <c r="D99" s="523">
        <f t="shared" si="10"/>
        <v>0.0221377972794693</v>
      </c>
      <c r="E99" s="523">
        <f t="shared" si="11"/>
        <v>0.0024655631470033093</v>
      </c>
    </row>
    <row r="100" spans="1:5" s="506" customFormat="1" ht="12.75">
      <c r="A100" s="512">
        <v>6</v>
      </c>
      <c r="B100" s="511" t="s">
        <v>574</v>
      </c>
      <c r="C100" s="523">
        <f t="shared" si="10"/>
        <v>0.014142311037864763</v>
      </c>
      <c r="D100" s="523">
        <f t="shared" si="10"/>
        <v>0.011987827063410166</v>
      </c>
      <c r="E100" s="523">
        <f t="shared" si="11"/>
        <v>-0.0021544839744545973</v>
      </c>
    </row>
    <row r="101" spans="1:5" s="506" customFormat="1" ht="12.75">
      <c r="A101" s="512">
        <v>7</v>
      </c>
      <c r="B101" s="511" t="s">
        <v>884</v>
      </c>
      <c r="C101" s="523">
        <f t="shared" si="10"/>
        <v>0.02091163722567385</v>
      </c>
      <c r="D101" s="523">
        <f t="shared" si="10"/>
        <v>0.02058258295155103</v>
      </c>
      <c r="E101" s="523">
        <f t="shared" si="11"/>
        <v>-0.00032905427412282043</v>
      </c>
    </row>
    <row r="102" spans="1:5" s="506" customFormat="1" ht="12.75">
      <c r="A102" s="512"/>
      <c r="B102" s="516" t="s">
        <v>924</v>
      </c>
      <c r="C102" s="524">
        <f>SUM(C96+C97+C100)</f>
        <v>0.268363161900686</v>
      </c>
      <c r="D102" s="524">
        <f>SUM(D96+D97+D100)</f>
        <v>0.2836338221495995</v>
      </c>
      <c r="E102" s="525">
        <f t="shared" si="11"/>
        <v>0.015270660248913492</v>
      </c>
    </row>
    <row r="103" spans="1:5" s="506" customFormat="1" ht="12.75">
      <c r="A103" s="512"/>
      <c r="B103" s="516" t="s">
        <v>925</v>
      </c>
      <c r="C103" s="524">
        <f>SUM(C95+C102)</f>
        <v>0.5784120167094751</v>
      </c>
      <c r="D103" s="524">
        <f>SUM(D95+D102)</f>
        <v>0.5971514529865307</v>
      </c>
      <c r="E103" s="525">
        <f t="shared" si="11"/>
        <v>0.018739436277055654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926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192</v>
      </c>
      <c r="B107" s="522" t="s">
        <v>927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777</v>
      </c>
      <c r="C109" s="523">
        <f aca="true" t="shared" si="12" ref="C109:D115">IF(C$77=0,0,C47/C$77)</f>
        <v>0.22856040346407444</v>
      </c>
      <c r="D109" s="523">
        <f t="shared" si="12"/>
        <v>0.22854861960273248</v>
      </c>
      <c r="E109" s="523">
        <f aca="true" t="shared" si="13" ref="E109:E117">D109-C109</f>
        <v>-1.1783861341957413E-05</v>
      </c>
    </row>
    <row r="110" spans="1:5" s="506" customFormat="1" ht="12.75">
      <c r="A110" s="512">
        <v>2</v>
      </c>
      <c r="B110" s="511" t="s">
        <v>756</v>
      </c>
      <c r="C110" s="523">
        <f t="shared" si="12"/>
        <v>0.20929394129662213</v>
      </c>
      <c r="D110" s="523">
        <f t="shared" si="12"/>
        <v>0.18921668811930878</v>
      </c>
      <c r="E110" s="523">
        <f t="shared" si="13"/>
        <v>-0.020077253177313348</v>
      </c>
    </row>
    <row r="111" spans="1:5" s="506" customFormat="1" ht="12.75">
      <c r="A111" s="512">
        <v>3</v>
      </c>
      <c r="B111" s="511" t="s">
        <v>902</v>
      </c>
      <c r="C111" s="523">
        <f t="shared" si="12"/>
        <v>0.028475047466401247</v>
      </c>
      <c r="D111" s="523">
        <f t="shared" si="12"/>
        <v>0.03098294572456778</v>
      </c>
      <c r="E111" s="523">
        <f t="shared" si="13"/>
        <v>0.0025078982581665313</v>
      </c>
    </row>
    <row r="112" spans="1:5" s="506" customFormat="1" ht="12.75">
      <c r="A112" s="512">
        <v>4</v>
      </c>
      <c r="B112" s="511" t="s">
        <v>270</v>
      </c>
      <c r="C112" s="523">
        <f t="shared" si="12"/>
        <v>0.022645613511719266</v>
      </c>
      <c r="D112" s="523">
        <f t="shared" si="12"/>
        <v>0.0251649028736064</v>
      </c>
      <c r="E112" s="523">
        <f t="shared" si="13"/>
        <v>0.0025192893618871323</v>
      </c>
    </row>
    <row r="113" spans="1:5" s="506" customFormat="1" ht="12.75">
      <c r="A113" s="512">
        <v>5</v>
      </c>
      <c r="B113" s="511" t="s">
        <v>869</v>
      </c>
      <c r="C113" s="523">
        <f t="shared" si="12"/>
        <v>0.005829433954681983</v>
      </c>
      <c r="D113" s="523">
        <f t="shared" si="12"/>
        <v>0.005818042850961381</v>
      </c>
      <c r="E113" s="523">
        <f t="shared" si="13"/>
        <v>-1.1391103720601904E-05</v>
      </c>
    </row>
    <row r="114" spans="1:5" s="506" customFormat="1" ht="12.75">
      <c r="A114" s="512">
        <v>6</v>
      </c>
      <c r="B114" s="511" t="s">
        <v>574</v>
      </c>
      <c r="C114" s="523">
        <f t="shared" si="12"/>
        <v>0.00499861712716859</v>
      </c>
      <c r="D114" s="523">
        <f t="shared" si="12"/>
        <v>0.004780751812699575</v>
      </c>
      <c r="E114" s="523">
        <f t="shared" si="13"/>
        <v>-0.0002178653144690153</v>
      </c>
    </row>
    <row r="115" spans="1:5" s="506" customFormat="1" ht="12.75">
      <c r="A115" s="512">
        <v>7</v>
      </c>
      <c r="B115" s="511" t="s">
        <v>884</v>
      </c>
      <c r="C115" s="523">
        <f t="shared" si="12"/>
        <v>0.004428871525234058</v>
      </c>
      <c r="D115" s="523">
        <f t="shared" si="12"/>
        <v>0.003418834561443067</v>
      </c>
      <c r="E115" s="523">
        <f t="shared" si="13"/>
        <v>-0.0010100369637909908</v>
      </c>
    </row>
    <row r="116" spans="1:5" s="506" customFormat="1" ht="12.75">
      <c r="A116" s="512"/>
      <c r="B116" s="516" t="s">
        <v>921</v>
      </c>
      <c r="C116" s="524">
        <f>SUM(C110+C111+C114)</f>
        <v>0.24276760589019197</v>
      </c>
      <c r="D116" s="524">
        <f>SUM(D110+D111+D114)</f>
        <v>0.22498038565657613</v>
      </c>
      <c r="E116" s="525">
        <f t="shared" si="13"/>
        <v>-0.01778722023361584</v>
      </c>
    </row>
    <row r="117" spans="1:5" s="506" customFormat="1" ht="12.75">
      <c r="A117" s="512"/>
      <c r="B117" s="516" t="s">
        <v>922</v>
      </c>
      <c r="C117" s="524">
        <f>SUM(C109+C116)</f>
        <v>0.47132800935426644</v>
      </c>
      <c r="D117" s="524">
        <f>SUM(D109+D116)</f>
        <v>0.4535290052593086</v>
      </c>
      <c r="E117" s="525">
        <f t="shared" si="13"/>
        <v>-0.017799004094957827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477</v>
      </c>
      <c r="B119" s="522" t="s">
        <v>928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777</v>
      </c>
      <c r="C121" s="523">
        <f aca="true" t="shared" si="14" ref="C121:D127">IF(C$77=0,0,C58/C$77)</f>
        <v>0.37317179164643133</v>
      </c>
      <c r="D121" s="523">
        <f t="shared" si="14"/>
        <v>0.3850550824991203</v>
      </c>
      <c r="E121" s="523">
        <f aca="true" t="shared" si="15" ref="E121:E129">D121-C121</f>
        <v>0.011883290852688966</v>
      </c>
    </row>
    <row r="122" spans="1:5" s="506" customFormat="1" ht="12.75">
      <c r="A122" s="512">
        <v>2</v>
      </c>
      <c r="B122" s="511" t="s">
        <v>756</v>
      </c>
      <c r="C122" s="523">
        <f t="shared" si="14"/>
        <v>0.10325734601225513</v>
      </c>
      <c r="D122" s="523">
        <f t="shared" si="14"/>
        <v>0.10055180715872493</v>
      </c>
      <c r="E122" s="523">
        <f t="shared" si="15"/>
        <v>-0.0027055388535301983</v>
      </c>
    </row>
    <row r="123" spans="1:5" s="506" customFormat="1" ht="12.75">
      <c r="A123" s="512">
        <v>3</v>
      </c>
      <c r="B123" s="511" t="s">
        <v>902</v>
      </c>
      <c r="C123" s="523">
        <f t="shared" si="14"/>
        <v>0.04130487306913082</v>
      </c>
      <c r="D123" s="523">
        <f t="shared" si="14"/>
        <v>0.05060072927923214</v>
      </c>
      <c r="E123" s="523">
        <f t="shared" si="15"/>
        <v>0.009295856210101323</v>
      </c>
    </row>
    <row r="124" spans="1:5" s="506" customFormat="1" ht="12.75">
      <c r="A124" s="512">
        <v>4</v>
      </c>
      <c r="B124" s="511" t="s">
        <v>270</v>
      </c>
      <c r="C124" s="523">
        <f t="shared" si="14"/>
        <v>0.03415700882066777</v>
      </c>
      <c r="D124" s="523">
        <f t="shared" si="14"/>
        <v>0.04134628887950848</v>
      </c>
      <c r="E124" s="523">
        <f t="shared" si="15"/>
        <v>0.007189280058840709</v>
      </c>
    </row>
    <row r="125" spans="1:5" s="506" customFormat="1" ht="12.75">
      <c r="A125" s="512">
        <v>5</v>
      </c>
      <c r="B125" s="511" t="s">
        <v>869</v>
      </c>
      <c r="C125" s="523">
        <f t="shared" si="14"/>
        <v>0.007147864248463045</v>
      </c>
      <c r="D125" s="523">
        <f t="shared" si="14"/>
        <v>0.009254440399723658</v>
      </c>
      <c r="E125" s="523">
        <f t="shared" si="15"/>
        <v>0.002106576151260613</v>
      </c>
    </row>
    <row r="126" spans="1:5" s="506" customFormat="1" ht="12.75">
      <c r="A126" s="512">
        <v>6</v>
      </c>
      <c r="B126" s="511" t="s">
        <v>574</v>
      </c>
      <c r="C126" s="523">
        <f t="shared" si="14"/>
        <v>0.010937979917916361</v>
      </c>
      <c r="D126" s="523">
        <f t="shared" si="14"/>
        <v>0.010263375803614047</v>
      </c>
      <c r="E126" s="523">
        <f t="shared" si="15"/>
        <v>-0.0006746041143023147</v>
      </c>
    </row>
    <row r="127" spans="1:5" s="506" customFormat="1" ht="12.75">
      <c r="A127" s="512">
        <v>7</v>
      </c>
      <c r="B127" s="511" t="s">
        <v>884</v>
      </c>
      <c r="C127" s="523">
        <f t="shared" si="14"/>
        <v>0.00968387070302345</v>
      </c>
      <c r="D127" s="523">
        <f t="shared" si="14"/>
        <v>0.009925225194728196</v>
      </c>
      <c r="E127" s="523">
        <f t="shared" si="15"/>
        <v>0.00024135449170474728</v>
      </c>
    </row>
    <row r="128" spans="1:5" s="506" customFormat="1" ht="12.75">
      <c r="A128" s="512"/>
      <c r="B128" s="516" t="s">
        <v>924</v>
      </c>
      <c r="C128" s="524">
        <f>SUM(C122+C123+C126)</f>
        <v>0.1555001989993023</v>
      </c>
      <c r="D128" s="524">
        <f>SUM(D122+D123+D126)</f>
        <v>0.16141591224157112</v>
      </c>
      <c r="E128" s="525">
        <f t="shared" si="15"/>
        <v>0.005915713242268805</v>
      </c>
    </row>
    <row r="129" spans="1:5" s="506" customFormat="1" ht="12.75">
      <c r="A129" s="512"/>
      <c r="B129" s="516" t="s">
        <v>925</v>
      </c>
      <c r="C129" s="524">
        <f>SUM(C121+C128)</f>
        <v>0.5286719906457337</v>
      </c>
      <c r="D129" s="524">
        <f>SUM(D121+D128)</f>
        <v>0.5464709947406914</v>
      </c>
      <c r="E129" s="525">
        <f t="shared" si="15"/>
        <v>0.017799004094957716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929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291</v>
      </c>
      <c r="B133" s="501" t="s">
        <v>930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170</v>
      </c>
      <c r="B135" s="509" t="s">
        <v>931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777</v>
      </c>
      <c r="C137" s="530">
        <v>4720</v>
      </c>
      <c r="D137" s="530">
        <v>4461</v>
      </c>
      <c r="E137" s="531">
        <f aca="true" t="shared" si="16" ref="E137:E145">D137-C137</f>
        <v>-259</v>
      </c>
    </row>
    <row r="138" spans="1:5" s="506" customFormat="1" ht="12.75">
      <c r="A138" s="512">
        <v>2</v>
      </c>
      <c r="B138" s="511" t="s">
        <v>756</v>
      </c>
      <c r="C138" s="530">
        <v>5048</v>
      </c>
      <c r="D138" s="530">
        <v>5039</v>
      </c>
      <c r="E138" s="531">
        <f t="shared" si="16"/>
        <v>-9</v>
      </c>
    </row>
    <row r="139" spans="1:5" s="506" customFormat="1" ht="12.75">
      <c r="A139" s="512">
        <v>3</v>
      </c>
      <c r="B139" s="511" t="s">
        <v>902</v>
      </c>
      <c r="C139" s="530">
        <f>C140+C141</f>
        <v>1908</v>
      </c>
      <c r="D139" s="530">
        <f>D140+D141</f>
        <v>2148</v>
      </c>
      <c r="E139" s="531">
        <f t="shared" si="16"/>
        <v>240</v>
      </c>
    </row>
    <row r="140" spans="1:5" s="506" customFormat="1" ht="12.75">
      <c r="A140" s="512">
        <v>4</v>
      </c>
      <c r="B140" s="511" t="s">
        <v>270</v>
      </c>
      <c r="C140" s="530">
        <v>1459</v>
      </c>
      <c r="D140" s="530">
        <v>1764</v>
      </c>
      <c r="E140" s="531">
        <f t="shared" si="16"/>
        <v>305</v>
      </c>
    </row>
    <row r="141" spans="1:5" s="506" customFormat="1" ht="12.75">
      <c r="A141" s="512">
        <v>5</v>
      </c>
      <c r="B141" s="511" t="s">
        <v>869</v>
      </c>
      <c r="C141" s="530">
        <v>449</v>
      </c>
      <c r="D141" s="530">
        <v>384</v>
      </c>
      <c r="E141" s="531">
        <f t="shared" si="16"/>
        <v>-65</v>
      </c>
    </row>
    <row r="142" spans="1:5" s="506" customFormat="1" ht="12.75">
      <c r="A142" s="512">
        <v>6</v>
      </c>
      <c r="B142" s="511" t="s">
        <v>574</v>
      </c>
      <c r="C142" s="530">
        <v>264</v>
      </c>
      <c r="D142" s="530">
        <v>237</v>
      </c>
      <c r="E142" s="531">
        <f t="shared" si="16"/>
        <v>-27</v>
      </c>
    </row>
    <row r="143" spans="1:5" s="506" customFormat="1" ht="12.75">
      <c r="A143" s="512">
        <v>7</v>
      </c>
      <c r="B143" s="511" t="s">
        <v>884</v>
      </c>
      <c r="C143" s="530">
        <v>350</v>
      </c>
      <c r="D143" s="530">
        <v>265</v>
      </c>
      <c r="E143" s="531">
        <f t="shared" si="16"/>
        <v>-85</v>
      </c>
    </row>
    <row r="144" spans="1:5" s="506" customFormat="1" ht="12.75">
      <c r="A144" s="512"/>
      <c r="B144" s="516" t="s">
        <v>932</v>
      </c>
      <c r="C144" s="532">
        <f>SUM(C138+C139+C142)</f>
        <v>7220</v>
      </c>
      <c r="D144" s="532">
        <f>SUM(D138+D139+D142)</f>
        <v>7424</v>
      </c>
      <c r="E144" s="533">
        <f t="shared" si="16"/>
        <v>204</v>
      </c>
    </row>
    <row r="145" spans="1:5" s="506" customFormat="1" ht="12.75">
      <c r="A145" s="512"/>
      <c r="B145" s="516" t="s">
        <v>846</v>
      </c>
      <c r="C145" s="532">
        <f>SUM(C137+C144)</f>
        <v>11940</v>
      </c>
      <c r="D145" s="532">
        <f>SUM(D137+D144)</f>
        <v>11885</v>
      </c>
      <c r="E145" s="533">
        <f t="shared" si="16"/>
        <v>-55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182</v>
      </c>
      <c r="B147" s="509" t="s">
        <v>295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777</v>
      </c>
      <c r="C149" s="534">
        <v>15493</v>
      </c>
      <c r="D149" s="534">
        <v>15280</v>
      </c>
      <c r="E149" s="531">
        <f aca="true" t="shared" si="17" ref="E149:E157">D149-C149</f>
        <v>-213</v>
      </c>
    </row>
    <row r="150" spans="1:5" s="506" customFormat="1" ht="12.75">
      <c r="A150" s="512">
        <v>2</v>
      </c>
      <c r="B150" s="511" t="s">
        <v>756</v>
      </c>
      <c r="C150" s="534">
        <v>26502</v>
      </c>
      <c r="D150" s="534">
        <v>26007</v>
      </c>
      <c r="E150" s="531">
        <f t="shared" si="17"/>
        <v>-495</v>
      </c>
    </row>
    <row r="151" spans="1:5" s="506" customFormat="1" ht="12.75">
      <c r="A151" s="512">
        <v>3</v>
      </c>
      <c r="B151" s="511" t="s">
        <v>902</v>
      </c>
      <c r="C151" s="534">
        <f>C152+C153</f>
        <v>7787</v>
      </c>
      <c r="D151" s="534">
        <f>D152+D153</f>
        <v>8096</v>
      </c>
      <c r="E151" s="531">
        <f t="shared" si="17"/>
        <v>309</v>
      </c>
    </row>
    <row r="152" spans="1:5" s="506" customFormat="1" ht="12.75">
      <c r="A152" s="512">
        <v>4</v>
      </c>
      <c r="B152" s="511" t="s">
        <v>270</v>
      </c>
      <c r="C152" s="534">
        <v>5761</v>
      </c>
      <c r="D152" s="534">
        <v>6270</v>
      </c>
      <c r="E152" s="531">
        <f t="shared" si="17"/>
        <v>509</v>
      </c>
    </row>
    <row r="153" spans="1:5" s="506" customFormat="1" ht="12.75">
      <c r="A153" s="512">
        <v>5</v>
      </c>
      <c r="B153" s="511" t="s">
        <v>869</v>
      </c>
      <c r="C153" s="535">
        <v>2026</v>
      </c>
      <c r="D153" s="534">
        <v>1826</v>
      </c>
      <c r="E153" s="531">
        <f t="shared" si="17"/>
        <v>-200</v>
      </c>
    </row>
    <row r="154" spans="1:5" s="506" customFormat="1" ht="12.75">
      <c r="A154" s="512">
        <v>6</v>
      </c>
      <c r="B154" s="511" t="s">
        <v>574</v>
      </c>
      <c r="C154" s="534">
        <v>730</v>
      </c>
      <c r="D154" s="534">
        <v>649</v>
      </c>
      <c r="E154" s="531">
        <f t="shared" si="17"/>
        <v>-81</v>
      </c>
    </row>
    <row r="155" spans="1:5" s="506" customFormat="1" ht="12.75">
      <c r="A155" s="512">
        <v>7</v>
      </c>
      <c r="B155" s="511" t="s">
        <v>884</v>
      </c>
      <c r="C155" s="534">
        <v>1016</v>
      </c>
      <c r="D155" s="534">
        <v>1101</v>
      </c>
      <c r="E155" s="531">
        <f t="shared" si="17"/>
        <v>85</v>
      </c>
    </row>
    <row r="156" spans="1:5" s="506" customFormat="1" ht="12.75">
      <c r="A156" s="512"/>
      <c r="B156" s="516" t="s">
        <v>933</v>
      </c>
      <c r="C156" s="532">
        <f>SUM(C150+C151+C154)</f>
        <v>35019</v>
      </c>
      <c r="D156" s="532">
        <f>SUM(D150+D151+D154)</f>
        <v>34752</v>
      </c>
      <c r="E156" s="533">
        <f t="shared" si="17"/>
        <v>-267</v>
      </c>
    </row>
    <row r="157" spans="1:5" s="506" customFormat="1" ht="12.75">
      <c r="A157" s="512"/>
      <c r="B157" s="516" t="s">
        <v>934</v>
      </c>
      <c r="C157" s="532">
        <f>SUM(C149+C156)</f>
        <v>50512</v>
      </c>
      <c r="D157" s="532">
        <f>SUM(D149+D156)</f>
        <v>50032</v>
      </c>
      <c r="E157" s="533">
        <f t="shared" si="17"/>
        <v>-480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192</v>
      </c>
      <c r="B159" s="509" t="s">
        <v>935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777</v>
      </c>
      <c r="C161" s="536">
        <f aca="true" t="shared" si="18" ref="C161:D169">IF(C137=0,0,C149/C137)</f>
        <v>3.282415254237288</v>
      </c>
      <c r="D161" s="536">
        <f t="shared" si="18"/>
        <v>3.4252409773593366</v>
      </c>
      <c r="E161" s="537">
        <f aca="true" t="shared" si="19" ref="E161:E169">D161-C161</f>
        <v>0.14282572312204866</v>
      </c>
    </row>
    <row r="162" spans="1:5" s="506" customFormat="1" ht="12.75">
      <c r="A162" s="512">
        <v>2</v>
      </c>
      <c r="B162" s="511" t="s">
        <v>756</v>
      </c>
      <c r="C162" s="536">
        <f t="shared" si="18"/>
        <v>5.25</v>
      </c>
      <c r="D162" s="536">
        <f t="shared" si="18"/>
        <v>5.161143083945227</v>
      </c>
      <c r="E162" s="537">
        <f t="shared" si="19"/>
        <v>-0.0888569160547732</v>
      </c>
    </row>
    <row r="163" spans="1:5" s="506" customFormat="1" ht="12.75">
      <c r="A163" s="512">
        <v>3</v>
      </c>
      <c r="B163" s="511" t="s">
        <v>902</v>
      </c>
      <c r="C163" s="536">
        <f t="shared" si="18"/>
        <v>4.081236897274633</v>
      </c>
      <c r="D163" s="536">
        <f t="shared" si="18"/>
        <v>3.7690875232774674</v>
      </c>
      <c r="E163" s="537">
        <f t="shared" si="19"/>
        <v>-0.31214937399716547</v>
      </c>
    </row>
    <row r="164" spans="1:5" s="506" customFormat="1" ht="12.75">
      <c r="A164" s="512">
        <v>4</v>
      </c>
      <c r="B164" s="511" t="s">
        <v>270</v>
      </c>
      <c r="C164" s="536">
        <f t="shared" si="18"/>
        <v>3.9485949280328994</v>
      </c>
      <c r="D164" s="536">
        <f t="shared" si="18"/>
        <v>3.554421768707483</v>
      </c>
      <c r="E164" s="537">
        <f t="shared" si="19"/>
        <v>-0.3941731593254163</v>
      </c>
    </row>
    <row r="165" spans="1:5" s="506" customFormat="1" ht="12.75">
      <c r="A165" s="512">
        <v>5</v>
      </c>
      <c r="B165" s="511" t="s">
        <v>869</v>
      </c>
      <c r="C165" s="536">
        <f t="shared" si="18"/>
        <v>4.512249443207127</v>
      </c>
      <c r="D165" s="536">
        <f t="shared" si="18"/>
        <v>4.755208333333333</v>
      </c>
      <c r="E165" s="537">
        <f t="shared" si="19"/>
        <v>0.2429588901262063</v>
      </c>
    </row>
    <row r="166" spans="1:5" s="506" customFormat="1" ht="12.75">
      <c r="A166" s="512">
        <v>6</v>
      </c>
      <c r="B166" s="511" t="s">
        <v>574</v>
      </c>
      <c r="C166" s="536">
        <f t="shared" si="18"/>
        <v>2.765151515151515</v>
      </c>
      <c r="D166" s="536">
        <f t="shared" si="18"/>
        <v>2.738396624472574</v>
      </c>
      <c r="E166" s="537">
        <f t="shared" si="19"/>
        <v>-0.026754890678941212</v>
      </c>
    </row>
    <row r="167" spans="1:5" s="506" customFormat="1" ht="12.75">
      <c r="A167" s="512">
        <v>7</v>
      </c>
      <c r="B167" s="511" t="s">
        <v>884</v>
      </c>
      <c r="C167" s="536">
        <f t="shared" si="18"/>
        <v>2.902857142857143</v>
      </c>
      <c r="D167" s="536">
        <f t="shared" si="18"/>
        <v>4.154716981132076</v>
      </c>
      <c r="E167" s="537">
        <f t="shared" si="19"/>
        <v>1.2518598382749326</v>
      </c>
    </row>
    <row r="168" spans="1:5" s="506" customFormat="1" ht="12.75">
      <c r="A168" s="512"/>
      <c r="B168" s="516" t="s">
        <v>936</v>
      </c>
      <c r="C168" s="538">
        <f t="shared" si="18"/>
        <v>4.8502770083102495</v>
      </c>
      <c r="D168" s="538">
        <f t="shared" si="18"/>
        <v>4.681034482758621</v>
      </c>
      <c r="E168" s="539">
        <f t="shared" si="19"/>
        <v>-0.16924252555162855</v>
      </c>
    </row>
    <row r="169" spans="1:5" s="506" customFormat="1" ht="12.75">
      <c r="A169" s="512"/>
      <c r="B169" s="516" t="s">
        <v>870</v>
      </c>
      <c r="C169" s="538">
        <f t="shared" si="18"/>
        <v>4.2304857621440535</v>
      </c>
      <c r="D169" s="538">
        <f t="shared" si="18"/>
        <v>4.209676062263357</v>
      </c>
      <c r="E169" s="539">
        <f t="shared" si="19"/>
        <v>-0.020809699880696364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477</v>
      </c>
      <c r="B171" s="509" t="s">
        <v>937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777</v>
      </c>
      <c r="C173" s="541">
        <f aca="true" t="shared" si="20" ref="C173:D181">IF(C137=0,0,C203/C137)</f>
        <v>1.3637</v>
      </c>
      <c r="D173" s="541">
        <f t="shared" si="20"/>
        <v>1.3151</v>
      </c>
      <c r="E173" s="542">
        <f aca="true" t="shared" si="21" ref="E173:E181">D173-C173</f>
        <v>-0.04859999999999998</v>
      </c>
    </row>
    <row r="174" spans="1:5" s="506" customFormat="1" ht="12.75">
      <c r="A174" s="512">
        <v>2</v>
      </c>
      <c r="B174" s="511" t="s">
        <v>756</v>
      </c>
      <c r="C174" s="541">
        <f t="shared" si="20"/>
        <v>1.4054</v>
      </c>
      <c r="D174" s="541">
        <f t="shared" si="20"/>
        <v>1.459</v>
      </c>
      <c r="E174" s="542">
        <f t="shared" si="21"/>
        <v>0.05360000000000009</v>
      </c>
    </row>
    <row r="175" spans="1:5" s="506" customFormat="1" ht="12.75">
      <c r="A175" s="512">
        <v>0</v>
      </c>
      <c r="B175" s="511" t="s">
        <v>902</v>
      </c>
      <c r="C175" s="541">
        <f t="shared" si="20"/>
        <v>1.0556284067085953</v>
      </c>
      <c r="D175" s="541">
        <f t="shared" si="20"/>
        <v>0.961921787709497</v>
      </c>
      <c r="E175" s="542">
        <f t="shared" si="21"/>
        <v>-0.09370661899909827</v>
      </c>
    </row>
    <row r="176" spans="1:5" s="506" customFormat="1" ht="12.75">
      <c r="A176" s="512">
        <v>4</v>
      </c>
      <c r="B176" s="511" t="s">
        <v>270</v>
      </c>
      <c r="C176" s="541">
        <f t="shared" si="20"/>
        <v>1.0184</v>
      </c>
      <c r="D176" s="541">
        <f t="shared" si="20"/>
        <v>0.8943999999999999</v>
      </c>
      <c r="E176" s="542">
        <f t="shared" si="21"/>
        <v>-0.12400000000000011</v>
      </c>
    </row>
    <row r="177" spans="1:5" s="506" customFormat="1" ht="12.75">
      <c r="A177" s="512">
        <v>5</v>
      </c>
      <c r="B177" s="511" t="s">
        <v>869</v>
      </c>
      <c r="C177" s="541">
        <f t="shared" si="20"/>
        <v>1.1766</v>
      </c>
      <c r="D177" s="541">
        <f t="shared" si="20"/>
        <v>1.2721</v>
      </c>
      <c r="E177" s="542">
        <f t="shared" si="21"/>
        <v>0.09549999999999992</v>
      </c>
    </row>
    <row r="178" spans="1:5" s="506" customFormat="1" ht="12.75">
      <c r="A178" s="512">
        <v>6</v>
      </c>
      <c r="B178" s="511" t="s">
        <v>574</v>
      </c>
      <c r="C178" s="541">
        <f t="shared" si="20"/>
        <v>1.044</v>
      </c>
      <c r="D178" s="541">
        <f t="shared" si="20"/>
        <v>0.9408</v>
      </c>
      <c r="E178" s="542">
        <f t="shared" si="21"/>
        <v>-0.10320000000000007</v>
      </c>
    </row>
    <row r="179" spans="1:5" s="506" customFormat="1" ht="12.75">
      <c r="A179" s="512">
        <v>7</v>
      </c>
      <c r="B179" s="511" t="s">
        <v>884</v>
      </c>
      <c r="C179" s="541">
        <f t="shared" si="20"/>
        <v>1.135</v>
      </c>
      <c r="D179" s="541">
        <f t="shared" si="20"/>
        <v>1.1848</v>
      </c>
      <c r="E179" s="542">
        <f t="shared" si="21"/>
        <v>0.049800000000000066</v>
      </c>
    </row>
    <row r="180" spans="1:5" s="506" customFormat="1" ht="12.75">
      <c r="A180" s="512"/>
      <c r="B180" s="516" t="s">
        <v>938</v>
      </c>
      <c r="C180" s="543">
        <f t="shared" si="20"/>
        <v>1.2997526592797783</v>
      </c>
      <c r="D180" s="543">
        <f t="shared" si="20"/>
        <v>1.2986366648706897</v>
      </c>
      <c r="E180" s="544">
        <f t="shared" si="21"/>
        <v>-0.0011159944090886054</v>
      </c>
    </row>
    <row r="181" spans="1:5" s="506" customFormat="1" ht="12.75">
      <c r="A181" s="512"/>
      <c r="B181" s="516" t="s">
        <v>847</v>
      </c>
      <c r="C181" s="543">
        <f t="shared" si="20"/>
        <v>1.325031675041876</v>
      </c>
      <c r="D181" s="543">
        <f t="shared" si="20"/>
        <v>1.3048161295750946</v>
      </c>
      <c r="E181" s="544">
        <f t="shared" si="21"/>
        <v>-0.020215545466781393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498</v>
      </c>
      <c r="B183" s="509" t="s">
        <v>939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940</v>
      </c>
      <c r="C185" s="513">
        <v>202370905</v>
      </c>
      <c r="D185" s="513">
        <v>217279782</v>
      </c>
      <c r="E185" s="514">
        <f>D185-C185</f>
        <v>14908877</v>
      </c>
    </row>
    <row r="186" spans="1:5" s="506" customFormat="1" ht="25.5">
      <c r="A186" s="512">
        <v>2</v>
      </c>
      <c r="B186" s="511" t="s">
        <v>941</v>
      </c>
      <c r="C186" s="513">
        <v>134214632</v>
      </c>
      <c r="D186" s="513">
        <v>145881679</v>
      </c>
      <c r="E186" s="514">
        <f>D186-C186</f>
        <v>11667047</v>
      </c>
    </row>
    <row r="187" spans="1:5" s="506" customFormat="1" ht="12.75">
      <c r="A187" s="512"/>
      <c r="B187" s="511" t="s">
        <v>789</v>
      </c>
      <c r="C187" s="510"/>
      <c r="D187" s="510"/>
      <c r="E187" s="511"/>
    </row>
    <row r="188" spans="1:5" s="506" customFormat="1" ht="12.75">
      <c r="A188" s="512">
        <v>3</v>
      </c>
      <c r="B188" s="511" t="s">
        <v>873</v>
      </c>
      <c r="C188" s="546">
        <f>+C185-C186</f>
        <v>68156273</v>
      </c>
      <c r="D188" s="546">
        <f>+D185-D186</f>
        <v>71398103</v>
      </c>
      <c r="E188" s="514">
        <f aca="true" t="shared" si="22" ref="E188:E197">D188-C188</f>
        <v>3241830</v>
      </c>
    </row>
    <row r="189" spans="1:5" s="506" customFormat="1" ht="12.75">
      <c r="A189" s="512">
        <v>4</v>
      </c>
      <c r="B189" s="511" t="s">
        <v>791</v>
      </c>
      <c r="C189" s="547">
        <f>IF(C185=0,0,+C188/C185)</f>
        <v>0.33678889265233064</v>
      </c>
      <c r="D189" s="547">
        <f>IF(D185=0,0,+D188/D185)</f>
        <v>0.32859984644130397</v>
      </c>
      <c r="E189" s="523">
        <f t="shared" si="22"/>
        <v>-0.008189046211026674</v>
      </c>
    </row>
    <row r="190" spans="1:5" s="506" customFormat="1" ht="12.75">
      <c r="A190" s="512">
        <v>5</v>
      </c>
      <c r="B190" s="511" t="s">
        <v>888</v>
      </c>
      <c r="C190" s="513">
        <v>9696374</v>
      </c>
      <c r="D190" s="513">
        <v>10821353</v>
      </c>
      <c r="E190" s="546">
        <f t="shared" si="22"/>
        <v>1124979</v>
      </c>
    </row>
    <row r="191" spans="1:5" s="506" customFormat="1" ht="12.75">
      <c r="A191" s="512">
        <v>6</v>
      </c>
      <c r="B191" s="511" t="s">
        <v>874</v>
      </c>
      <c r="C191" s="513">
        <v>5193106</v>
      </c>
      <c r="D191" s="513">
        <v>5983436</v>
      </c>
      <c r="E191" s="546">
        <f t="shared" si="22"/>
        <v>790330</v>
      </c>
    </row>
    <row r="192" spans="1:5" ht="29.25">
      <c r="A192" s="512">
        <v>7</v>
      </c>
      <c r="B192" s="548" t="s">
        <v>942</v>
      </c>
      <c r="C192" s="513">
        <v>2058702</v>
      </c>
      <c r="D192" s="513">
        <v>2039977</v>
      </c>
      <c r="E192" s="546">
        <f t="shared" si="22"/>
        <v>-18725</v>
      </c>
    </row>
    <row r="193" spans="1:5" s="506" customFormat="1" ht="12.75">
      <c r="A193" s="512">
        <v>8</v>
      </c>
      <c r="B193" s="511" t="s">
        <v>943</v>
      </c>
      <c r="C193" s="513">
        <v>6296582</v>
      </c>
      <c r="D193" s="513">
        <v>6641717</v>
      </c>
      <c r="E193" s="546">
        <f t="shared" si="22"/>
        <v>345135</v>
      </c>
    </row>
    <row r="194" spans="1:5" s="506" customFormat="1" ht="12.75">
      <c r="A194" s="512">
        <v>9</v>
      </c>
      <c r="B194" s="511" t="s">
        <v>944</v>
      </c>
      <c r="C194" s="513">
        <v>14350680</v>
      </c>
      <c r="D194" s="513">
        <v>17093520</v>
      </c>
      <c r="E194" s="546">
        <f t="shared" si="22"/>
        <v>2742840</v>
      </c>
    </row>
    <row r="195" spans="1:5" s="506" customFormat="1" ht="12.75">
      <c r="A195" s="512">
        <v>10</v>
      </c>
      <c r="B195" s="511" t="s">
        <v>945</v>
      </c>
      <c r="C195" s="513">
        <f>+C193+C194</f>
        <v>20647262</v>
      </c>
      <c r="D195" s="513">
        <f>+D193+D194</f>
        <v>23735237</v>
      </c>
      <c r="E195" s="549">
        <f t="shared" si="22"/>
        <v>3087975</v>
      </c>
    </row>
    <row r="196" spans="1:5" s="506" customFormat="1" ht="12.75">
      <c r="A196" s="512">
        <v>11</v>
      </c>
      <c r="B196" s="511" t="s">
        <v>946</v>
      </c>
      <c r="C196" s="513">
        <v>202370905</v>
      </c>
      <c r="D196" s="513">
        <v>217279782</v>
      </c>
      <c r="E196" s="546">
        <f t="shared" si="22"/>
        <v>14908877</v>
      </c>
    </row>
    <row r="197" spans="1:5" s="506" customFormat="1" ht="12.75">
      <c r="A197" s="512">
        <v>12</v>
      </c>
      <c r="B197" s="511" t="s">
        <v>831</v>
      </c>
      <c r="C197" s="513">
        <v>225599529</v>
      </c>
      <c r="D197" s="513">
        <v>250646571</v>
      </c>
      <c r="E197" s="546">
        <f t="shared" si="22"/>
        <v>25047042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300</v>
      </c>
      <c r="B199" s="550" t="s">
        <v>947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170</v>
      </c>
      <c r="B201" s="509" t="s">
        <v>948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777</v>
      </c>
      <c r="C203" s="553">
        <v>6436.664</v>
      </c>
      <c r="D203" s="553">
        <v>5866.661099999999</v>
      </c>
      <c r="E203" s="554">
        <f aca="true" t="shared" si="23" ref="E203:E211">D203-C203</f>
        <v>-570.0029000000004</v>
      </c>
    </row>
    <row r="204" spans="1:5" s="506" customFormat="1" ht="12.75">
      <c r="A204" s="512">
        <v>2</v>
      </c>
      <c r="B204" s="511" t="s">
        <v>756</v>
      </c>
      <c r="C204" s="553">
        <v>7094.4592</v>
      </c>
      <c r="D204" s="553">
        <v>7351.901000000001</v>
      </c>
      <c r="E204" s="554">
        <f t="shared" si="23"/>
        <v>257.4418000000005</v>
      </c>
    </row>
    <row r="205" spans="1:5" s="506" customFormat="1" ht="12.75">
      <c r="A205" s="512">
        <v>3</v>
      </c>
      <c r="B205" s="511" t="s">
        <v>902</v>
      </c>
      <c r="C205" s="553">
        <f>C206+C207</f>
        <v>2014.139</v>
      </c>
      <c r="D205" s="553">
        <f>D206+D207</f>
        <v>2066.2079999999996</v>
      </c>
      <c r="E205" s="554">
        <f t="shared" si="23"/>
        <v>52.06899999999973</v>
      </c>
    </row>
    <row r="206" spans="1:5" s="506" customFormat="1" ht="12.75">
      <c r="A206" s="512">
        <v>4</v>
      </c>
      <c r="B206" s="511" t="s">
        <v>270</v>
      </c>
      <c r="C206" s="553">
        <v>1485.8455999999999</v>
      </c>
      <c r="D206" s="553">
        <v>1577.7215999999999</v>
      </c>
      <c r="E206" s="554">
        <f t="shared" si="23"/>
        <v>91.87599999999998</v>
      </c>
    </row>
    <row r="207" spans="1:5" s="506" customFormat="1" ht="12.75">
      <c r="A207" s="512">
        <v>5</v>
      </c>
      <c r="B207" s="511" t="s">
        <v>869</v>
      </c>
      <c r="C207" s="553">
        <v>528.2934</v>
      </c>
      <c r="D207" s="553">
        <v>488.4864</v>
      </c>
      <c r="E207" s="554">
        <f t="shared" si="23"/>
        <v>-39.807000000000016</v>
      </c>
    </row>
    <row r="208" spans="1:5" s="506" customFormat="1" ht="12.75">
      <c r="A208" s="512">
        <v>6</v>
      </c>
      <c r="B208" s="511" t="s">
        <v>574</v>
      </c>
      <c r="C208" s="553">
        <v>275.616</v>
      </c>
      <c r="D208" s="553">
        <v>222.96959999999999</v>
      </c>
      <c r="E208" s="554">
        <f t="shared" si="23"/>
        <v>-52.6464</v>
      </c>
    </row>
    <row r="209" spans="1:5" s="506" customFormat="1" ht="12.75">
      <c r="A209" s="512">
        <v>7</v>
      </c>
      <c r="B209" s="511" t="s">
        <v>884</v>
      </c>
      <c r="C209" s="553">
        <v>397.25</v>
      </c>
      <c r="D209" s="553">
        <v>313.97200000000004</v>
      </c>
      <c r="E209" s="554">
        <f t="shared" si="23"/>
        <v>-83.27799999999996</v>
      </c>
    </row>
    <row r="210" spans="1:5" s="506" customFormat="1" ht="12.75">
      <c r="A210" s="512"/>
      <c r="B210" s="516" t="s">
        <v>949</v>
      </c>
      <c r="C210" s="555">
        <f>C204+C205+C208</f>
        <v>9384.2142</v>
      </c>
      <c r="D210" s="555">
        <f>D204+D205+D208</f>
        <v>9641.0786</v>
      </c>
      <c r="E210" s="556">
        <f t="shared" si="23"/>
        <v>256.8644000000004</v>
      </c>
    </row>
    <row r="211" spans="1:5" s="506" customFormat="1" ht="12.75">
      <c r="A211" s="512"/>
      <c r="B211" s="516" t="s">
        <v>848</v>
      </c>
      <c r="C211" s="555">
        <f>C210+C203</f>
        <v>15820.8782</v>
      </c>
      <c r="D211" s="555">
        <f>D210+D203</f>
        <v>15507.7397</v>
      </c>
      <c r="E211" s="556">
        <f t="shared" si="23"/>
        <v>-313.1384999999991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182</v>
      </c>
      <c r="B213" s="509" t="s">
        <v>950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777</v>
      </c>
      <c r="C215" s="557">
        <f>IF(C14*C137=0,0,C25/C14*C137)</f>
        <v>10149.121270624899</v>
      </c>
      <c r="D215" s="557">
        <f>IF(D14*D137=0,0,D25/D14*D137)</f>
        <v>10308.400114535472</v>
      </c>
      <c r="E215" s="557">
        <f aca="true" t="shared" si="24" ref="E215:E223">D215-C215</f>
        <v>159.2788439105734</v>
      </c>
    </row>
    <row r="216" spans="1:5" s="506" customFormat="1" ht="12.75">
      <c r="A216" s="512">
        <v>2</v>
      </c>
      <c r="B216" s="511" t="s">
        <v>756</v>
      </c>
      <c r="C216" s="557">
        <f>IF(C15*C138=0,0,C26/C15*C138)</f>
        <v>4069.7992625314105</v>
      </c>
      <c r="D216" s="557">
        <f>IF(D15*D138=0,0,D26/D15*D138)</f>
        <v>4455.765993402432</v>
      </c>
      <c r="E216" s="557">
        <f t="shared" si="24"/>
        <v>385.9667308710218</v>
      </c>
    </row>
    <row r="217" spans="1:5" s="506" customFormat="1" ht="12.75">
      <c r="A217" s="512">
        <v>3</v>
      </c>
      <c r="B217" s="511" t="s">
        <v>902</v>
      </c>
      <c r="C217" s="557">
        <f>C218+C219</f>
        <v>2806.9791105874674</v>
      </c>
      <c r="D217" s="557">
        <f>D218+D219</f>
        <v>3535.5266716620977</v>
      </c>
      <c r="E217" s="557">
        <f t="shared" si="24"/>
        <v>728.5475610746303</v>
      </c>
    </row>
    <row r="218" spans="1:5" s="506" customFormat="1" ht="12.75">
      <c r="A218" s="512">
        <v>4</v>
      </c>
      <c r="B218" s="511" t="s">
        <v>270</v>
      </c>
      <c r="C218" s="557">
        <f aca="true" t="shared" si="25" ref="C218:D221">IF(C17*C140=0,0,C28/C17*C140)</f>
        <v>2237.561589662082</v>
      </c>
      <c r="D218" s="557">
        <f t="shared" si="25"/>
        <v>3031.0887279269637</v>
      </c>
      <c r="E218" s="557">
        <f t="shared" si="24"/>
        <v>793.5271382648816</v>
      </c>
    </row>
    <row r="219" spans="1:5" s="506" customFormat="1" ht="12.75">
      <c r="A219" s="512">
        <v>5</v>
      </c>
      <c r="B219" s="511" t="s">
        <v>869</v>
      </c>
      <c r="C219" s="557">
        <f t="shared" si="25"/>
        <v>569.4175209253854</v>
      </c>
      <c r="D219" s="557">
        <f t="shared" si="25"/>
        <v>504.4379437351339</v>
      </c>
      <c r="E219" s="557">
        <f t="shared" si="24"/>
        <v>-64.97957719025146</v>
      </c>
    </row>
    <row r="220" spans="1:5" s="506" customFormat="1" ht="12.75">
      <c r="A220" s="512">
        <v>6</v>
      </c>
      <c r="B220" s="511" t="s">
        <v>574</v>
      </c>
      <c r="C220" s="557">
        <f t="shared" si="25"/>
        <v>668.9663988718834</v>
      </c>
      <c r="D220" s="557">
        <f t="shared" si="25"/>
        <v>600.8240029995073</v>
      </c>
      <c r="E220" s="557">
        <f t="shared" si="24"/>
        <v>-68.14239587237603</v>
      </c>
    </row>
    <row r="221" spans="1:5" s="506" customFormat="1" ht="12.75">
      <c r="A221" s="512">
        <v>7</v>
      </c>
      <c r="B221" s="511" t="s">
        <v>884</v>
      </c>
      <c r="C221" s="557">
        <f t="shared" si="25"/>
        <v>844.1659674474134</v>
      </c>
      <c r="D221" s="557">
        <f t="shared" si="25"/>
        <v>657.8952796238793</v>
      </c>
      <c r="E221" s="557">
        <f t="shared" si="24"/>
        <v>-186.2706878235341</v>
      </c>
    </row>
    <row r="222" spans="1:5" s="506" customFormat="1" ht="12.75">
      <c r="A222" s="512"/>
      <c r="B222" s="516" t="s">
        <v>951</v>
      </c>
      <c r="C222" s="558">
        <f>C216+C218+C219+C220</f>
        <v>7545.744771990761</v>
      </c>
      <c r="D222" s="558">
        <f>D216+D218+D219+D220</f>
        <v>8592.116668064036</v>
      </c>
      <c r="E222" s="558">
        <f t="shared" si="24"/>
        <v>1046.371896073275</v>
      </c>
    </row>
    <row r="223" spans="1:5" s="506" customFormat="1" ht="12.75">
      <c r="A223" s="512"/>
      <c r="B223" s="516" t="s">
        <v>952</v>
      </c>
      <c r="C223" s="558">
        <f>C215+C222</f>
        <v>17694.86604261566</v>
      </c>
      <c r="D223" s="558">
        <f>D215+D222</f>
        <v>18900.51678259951</v>
      </c>
      <c r="E223" s="558">
        <f t="shared" si="24"/>
        <v>1205.6507399838483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192</v>
      </c>
      <c r="B225" s="509" t="s">
        <v>953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777</v>
      </c>
      <c r="C227" s="560">
        <f aca="true" t="shared" si="26" ref="C227:D235">IF(C203=0,0,C47/C203)</f>
        <v>8185.956110183785</v>
      </c>
      <c r="D227" s="560">
        <f t="shared" si="26"/>
        <v>9569.061693371039</v>
      </c>
      <c r="E227" s="560">
        <f aca="true" t="shared" si="27" ref="E227:E235">D227-C227</f>
        <v>1383.1055831872536</v>
      </c>
    </row>
    <row r="228" spans="1:5" s="506" customFormat="1" ht="12.75">
      <c r="A228" s="512">
        <v>2</v>
      </c>
      <c r="B228" s="511" t="s">
        <v>756</v>
      </c>
      <c r="C228" s="560">
        <f t="shared" si="26"/>
        <v>6800.903584025122</v>
      </c>
      <c r="D228" s="560">
        <f t="shared" si="26"/>
        <v>6321.811460736481</v>
      </c>
      <c r="E228" s="560">
        <f t="shared" si="27"/>
        <v>-479.0921232886403</v>
      </c>
    </row>
    <row r="229" spans="1:5" s="506" customFormat="1" ht="12.75">
      <c r="A229" s="512">
        <v>3</v>
      </c>
      <c r="B229" s="511" t="s">
        <v>902</v>
      </c>
      <c r="C229" s="560">
        <f t="shared" si="26"/>
        <v>3259.149443012622</v>
      </c>
      <c r="D229" s="560">
        <f t="shared" si="26"/>
        <v>3683.2434101503823</v>
      </c>
      <c r="E229" s="560">
        <f t="shared" si="27"/>
        <v>424.09396713776005</v>
      </c>
    </row>
    <row r="230" spans="1:5" s="506" customFormat="1" ht="12.75">
      <c r="A230" s="512">
        <v>4</v>
      </c>
      <c r="B230" s="511" t="s">
        <v>270</v>
      </c>
      <c r="C230" s="560">
        <f t="shared" si="26"/>
        <v>3513.4976339398927</v>
      </c>
      <c r="D230" s="560">
        <f t="shared" si="26"/>
        <v>3917.8394971584344</v>
      </c>
      <c r="E230" s="560">
        <f t="shared" si="27"/>
        <v>404.3418632185417</v>
      </c>
    </row>
    <row r="231" spans="1:5" s="506" customFormat="1" ht="12.75">
      <c r="A231" s="512">
        <v>5</v>
      </c>
      <c r="B231" s="511" t="s">
        <v>869</v>
      </c>
      <c r="C231" s="560">
        <f t="shared" si="26"/>
        <v>2543.785328380025</v>
      </c>
      <c r="D231" s="560">
        <f t="shared" si="26"/>
        <v>2925.5410181327466</v>
      </c>
      <c r="E231" s="560">
        <f t="shared" si="27"/>
        <v>381.75568975272154</v>
      </c>
    </row>
    <row r="232" spans="1:5" s="506" customFormat="1" ht="12.75">
      <c r="A232" s="512">
        <v>6</v>
      </c>
      <c r="B232" s="511" t="s">
        <v>574</v>
      </c>
      <c r="C232" s="560">
        <f t="shared" si="26"/>
        <v>4180.947405085336</v>
      </c>
      <c r="D232" s="560">
        <f t="shared" si="26"/>
        <v>5266.623790866558</v>
      </c>
      <c r="E232" s="560">
        <f t="shared" si="27"/>
        <v>1085.676385781222</v>
      </c>
    </row>
    <row r="233" spans="1:5" s="506" customFormat="1" ht="12.75">
      <c r="A233" s="512">
        <v>7</v>
      </c>
      <c r="B233" s="511" t="s">
        <v>884</v>
      </c>
      <c r="C233" s="560">
        <f t="shared" si="26"/>
        <v>2570.149779735683</v>
      </c>
      <c r="D233" s="560">
        <f t="shared" si="26"/>
        <v>2674.6620717771007</v>
      </c>
      <c r="E233" s="560">
        <f t="shared" si="27"/>
        <v>104.51229204141782</v>
      </c>
    </row>
    <row r="234" spans="1:5" ht="12.75">
      <c r="A234" s="512"/>
      <c r="B234" s="516" t="s">
        <v>954</v>
      </c>
      <c r="C234" s="561">
        <f t="shared" si="26"/>
        <v>5963.786397799829</v>
      </c>
      <c r="D234" s="561">
        <f t="shared" si="26"/>
        <v>5731.928790623074</v>
      </c>
      <c r="E234" s="561">
        <f t="shared" si="27"/>
        <v>-231.85760717675475</v>
      </c>
    </row>
    <row r="235" spans="1:5" s="506" customFormat="1" ht="12.75">
      <c r="A235" s="512"/>
      <c r="B235" s="516" t="s">
        <v>955</v>
      </c>
      <c r="C235" s="561">
        <f t="shared" si="26"/>
        <v>6867.867676270967</v>
      </c>
      <c r="D235" s="561">
        <f t="shared" si="26"/>
        <v>7183.536747137947</v>
      </c>
      <c r="E235" s="561">
        <f t="shared" si="27"/>
        <v>315.6690708669794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477</v>
      </c>
      <c r="B237" s="509" t="s">
        <v>956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777</v>
      </c>
      <c r="C239" s="560">
        <f aca="true" t="shared" si="28" ref="C239:D247">IF(C215=0,0,C58/C215)</f>
        <v>8476.364475907294</v>
      </c>
      <c r="D239" s="560">
        <f t="shared" si="28"/>
        <v>9175.15365615609</v>
      </c>
      <c r="E239" s="562">
        <f aca="true" t="shared" si="29" ref="E239:E247">D239-C239</f>
        <v>698.7891802487957</v>
      </c>
    </row>
    <row r="240" spans="1:5" s="506" customFormat="1" ht="12.75">
      <c r="A240" s="512">
        <v>2</v>
      </c>
      <c r="B240" s="511" t="s">
        <v>756</v>
      </c>
      <c r="C240" s="560">
        <f t="shared" si="28"/>
        <v>5848.9408111971425</v>
      </c>
      <c r="D240" s="560">
        <f t="shared" si="28"/>
        <v>5543.0559047693905</v>
      </c>
      <c r="E240" s="562">
        <f t="shared" si="29"/>
        <v>-305.88490642775196</v>
      </c>
    </row>
    <row r="241" spans="1:5" ht="12.75">
      <c r="A241" s="512">
        <v>3</v>
      </c>
      <c r="B241" s="511" t="s">
        <v>902</v>
      </c>
      <c r="C241" s="560">
        <f t="shared" si="28"/>
        <v>3392.2774715652045</v>
      </c>
      <c r="D241" s="560">
        <f t="shared" si="28"/>
        <v>3515.4782170422523</v>
      </c>
      <c r="E241" s="562">
        <f t="shared" si="29"/>
        <v>123.2007454770478</v>
      </c>
    </row>
    <row r="242" spans="1:5" ht="12.75">
      <c r="A242" s="512">
        <v>4</v>
      </c>
      <c r="B242" s="511" t="s">
        <v>270</v>
      </c>
      <c r="C242" s="560">
        <f t="shared" si="28"/>
        <v>3519.120115567042</v>
      </c>
      <c r="D242" s="560">
        <f t="shared" si="28"/>
        <v>3350.5772716016363</v>
      </c>
      <c r="E242" s="562">
        <f t="shared" si="29"/>
        <v>-168.5428439654056</v>
      </c>
    </row>
    <row r="243" spans="1:5" ht="12.75">
      <c r="A243" s="512">
        <v>5</v>
      </c>
      <c r="B243" s="511" t="s">
        <v>869</v>
      </c>
      <c r="C243" s="560">
        <f t="shared" si="28"/>
        <v>2893.8414071314164</v>
      </c>
      <c r="D243" s="560">
        <f t="shared" si="28"/>
        <v>4506.342213609485</v>
      </c>
      <c r="E243" s="562">
        <f t="shared" si="29"/>
        <v>1612.5008064780686</v>
      </c>
    </row>
    <row r="244" spans="1:5" ht="12.75">
      <c r="A244" s="512">
        <v>6</v>
      </c>
      <c r="B244" s="511" t="s">
        <v>574</v>
      </c>
      <c r="C244" s="560">
        <f t="shared" si="28"/>
        <v>3769.3118880891825</v>
      </c>
      <c r="D244" s="560">
        <f t="shared" si="28"/>
        <v>4195.895948587905</v>
      </c>
      <c r="E244" s="562">
        <f t="shared" si="29"/>
        <v>426.58406049872247</v>
      </c>
    </row>
    <row r="245" spans="1:5" ht="12.75">
      <c r="A245" s="512">
        <v>7</v>
      </c>
      <c r="B245" s="511" t="s">
        <v>884</v>
      </c>
      <c r="C245" s="560">
        <f t="shared" si="28"/>
        <v>2644.541578417833</v>
      </c>
      <c r="D245" s="560">
        <f t="shared" si="28"/>
        <v>3705.658142727175</v>
      </c>
      <c r="E245" s="562">
        <f t="shared" si="29"/>
        <v>1061.1165643093418</v>
      </c>
    </row>
    <row r="246" spans="1:5" ht="25.5">
      <c r="A246" s="512"/>
      <c r="B246" s="516" t="s">
        <v>957</v>
      </c>
      <c r="C246" s="561">
        <f t="shared" si="28"/>
        <v>4750.705342309435</v>
      </c>
      <c r="D246" s="561">
        <f t="shared" si="28"/>
        <v>4614.5348732716375</v>
      </c>
      <c r="E246" s="563">
        <f t="shared" si="29"/>
        <v>-136.17046903779737</v>
      </c>
    </row>
    <row r="247" spans="1:5" ht="12.75">
      <c r="A247" s="512"/>
      <c r="B247" s="516" t="s">
        <v>958</v>
      </c>
      <c r="C247" s="561">
        <f t="shared" si="28"/>
        <v>6887.605744314771</v>
      </c>
      <c r="D247" s="561">
        <f t="shared" si="28"/>
        <v>7101.9104156758685</v>
      </c>
      <c r="E247" s="563">
        <f t="shared" si="29"/>
        <v>214.30467136109746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886</v>
      </c>
      <c r="B249" s="550" t="s">
        <v>883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270</v>
      </c>
      <c r="C251" s="546">
        <f>((IF((IF(C15=0,0,C26/C15)*C138)=0,0,C59/(IF(C15=0,0,C26/C15)*C138)))-(IF((IF(C17=0,0,C28/C17)*C140)=0,0,C61/(IF(C17=0,0,C28/C17)*C140))))*(IF(C17=0,0,C28/C17)*C140)</f>
        <v>5213117.299341706</v>
      </c>
      <c r="D251" s="546">
        <f>((IF((IF(D15=0,0,D26/D15)*D138)=0,0,D59/(IF(D15=0,0,D26/D15)*D138)))-(IF((IF(D17=0,0,D28/D17)*D140)=0,0,D61/(IF(D17=0,0,D28/D17)*D140))))*(IF(D17=0,0,D28/D17)*D140)</f>
        <v>6645597.271215496</v>
      </c>
      <c r="E251" s="546">
        <f>D251-C251</f>
        <v>1432479.97187379</v>
      </c>
    </row>
    <row r="252" spans="1:5" ht="12.75">
      <c r="A252" s="512">
        <v>2</v>
      </c>
      <c r="B252" s="511" t="s">
        <v>869</v>
      </c>
      <c r="C252" s="546">
        <f>IF(C231=0,0,(C228-C231)*C207)+IF(C243=0,0,(C240-C243)*C219)</f>
        <v>3931692.8542280067</v>
      </c>
      <c r="D252" s="546">
        <f>IF(D231=0,0,(D228-D231)*D207)+IF(D243=0,0,(D240-D243)*D219)</f>
        <v>2181989.6445446685</v>
      </c>
      <c r="E252" s="546">
        <f>D252-C252</f>
        <v>-1749703.2096833382</v>
      </c>
    </row>
    <row r="253" spans="1:5" ht="12.75">
      <c r="A253" s="512">
        <v>3</v>
      </c>
      <c r="B253" s="511" t="s">
        <v>884</v>
      </c>
      <c r="C253" s="546">
        <f>IF(C233=0,0,(C228-C233)*C209+IF(C221=0,0,(C240-C245)*C221))</f>
        <v>4385711.727180875</v>
      </c>
      <c r="D253" s="546">
        <f>IF(D233=0,0,(D228-D233)*D209+IF(D221=0,0,(D240-D245)*D221))</f>
        <v>2353918.1023894083</v>
      </c>
      <c r="E253" s="546">
        <f>D253-C253</f>
        <v>-2031793.6247914666</v>
      </c>
    </row>
    <row r="254" spans="1:5" ht="15" customHeight="1">
      <c r="A254" s="512"/>
      <c r="B254" s="516" t="s">
        <v>885</v>
      </c>
      <c r="C254" s="564">
        <f>+C251+C252+C253</f>
        <v>13530521.88075059</v>
      </c>
      <c r="D254" s="564">
        <f>+D251+D252+D253</f>
        <v>11181505.018149571</v>
      </c>
      <c r="E254" s="564">
        <f>D254-C254</f>
        <v>-2349016.8626010176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959</v>
      </c>
      <c r="B256" s="550" t="s">
        <v>960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851</v>
      </c>
      <c r="C258" s="546">
        <f>+C44</f>
        <v>512314358</v>
      </c>
      <c r="D258" s="549">
        <f>+D44</f>
        <v>560641054</v>
      </c>
      <c r="E258" s="546">
        <f aca="true" t="shared" si="30" ref="E258:E271">D258-C258</f>
        <v>48326696</v>
      </c>
    </row>
    <row r="259" spans="1:5" ht="12.75">
      <c r="A259" s="512">
        <v>2</v>
      </c>
      <c r="B259" s="511" t="s">
        <v>868</v>
      </c>
      <c r="C259" s="546">
        <f>+(C43-C76)</f>
        <v>187786758</v>
      </c>
      <c r="D259" s="549">
        <f>+(D43-D76)</f>
        <v>213894084</v>
      </c>
      <c r="E259" s="546">
        <f t="shared" si="30"/>
        <v>26107326</v>
      </c>
    </row>
    <row r="260" spans="1:5" ht="12.75">
      <c r="A260" s="512">
        <v>3</v>
      </c>
      <c r="B260" s="511" t="s">
        <v>872</v>
      </c>
      <c r="C260" s="546">
        <f>C195</f>
        <v>20647262</v>
      </c>
      <c r="D260" s="546">
        <f>D195</f>
        <v>23735237</v>
      </c>
      <c r="E260" s="546">
        <f t="shared" si="30"/>
        <v>3087975</v>
      </c>
    </row>
    <row r="261" spans="1:5" ht="12.75">
      <c r="A261" s="512">
        <v>4</v>
      </c>
      <c r="B261" s="511" t="s">
        <v>873</v>
      </c>
      <c r="C261" s="546">
        <f>C188</f>
        <v>68156273</v>
      </c>
      <c r="D261" s="546">
        <f>D188</f>
        <v>71398103</v>
      </c>
      <c r="E261" s="546">
        <f t="shared" si="30"/>
        <v>3241830</v>
      </c>
    </row>
    <row r="262" spans="1:5" ht="12.75">
      <c r="A262" s="512">
        <v>5</v>
      </c>
      <c r="B262" s="511" t="s">
        <v>874</v>
      </c>
      <c r="C262" s="546">
        <f>C191</f>
        <v>5193106</v>
      </c>
      <c r="D262" s="546">
        <f>D191</f>
        <v>5983436</v>
      </c>
      <c r="E262" s="546">
        <f t="shared" si="30"/>
        <v>790330</v>
      </c>
    </row>
    <row r="263" spans="1:5" ht="12.75">
      <c r="A263" s="512">
        <v>6</v>
      </c>
      <c r="B263" s="511" t="s">
        <v>875</v>
      </c>
      <c r="C263" s="546">
        <f>+C259+C260+C261+C262</f>
        <v>281783399</v>
      </c>
      <c r="D263" s="546">
        <f>+D259+D260+D261+D262</f>
        <v>315010860</v>
      </c>
      <c r="E263" s="546">
        <f t="shared" si="30"/>
        <v>33227461</v>
      </c>
    </row>
    <row r="264" spans="1:5" ht="12.75">
      <c r="A264" s="512">
        <v>7</v>
      </c>
      <c r="B264" s="511" t="s">
        <v>775</v>
      </c>
      <c r="C264" s="546">
        <f>+C258-C263</f>
        <v>230530959</v>
      </c>
      <c r="D264" s="546">
        <f>+D258-D263</f>
        <v>245630194</v>
      </c>
      <c r="E264" s="546">
        <f t="shared" si="30"/>
        <v>15099235</v>
      </c>
    </row>
    <row r="265" spans="1:5" ht="12.75">
      <c r="A265" s="512">
        <v>8</v>
      </c>
      <c r="B265" s="511" t="s">
        <v>961</v>
      </c>
      <c r="C265" s="565">
        <f>C192</f>
        <v>2058702</v>
      </c>
      <c r="D265" s="565">
        <f>D192</f>
        <v>2039977</v>
      </c>
      <c r="E265" s="546">
        <f t="shared" si="30"/>
        <v>-18725</v>
      </c>
    </row>
    <row r="266" spans="1:5" ht="12.75">
      <c r="A266" s="512">
        <v>9</v>
      </c>
      <c r="B266" s="511" t="s">
        <v>962</v>
      </c>
      <c r="C266" s="546">
        <f>+C264+C265</f>
        <v>232589661</v>
      </c>
      <c r="D266" s="546">
        <f>+D264+D265</f>
        <v>247670171</v>
      </c>
      <c r="E266" s="565">
        <f t="shared" si="30"/>
        <v>15080510</v>
      </c>
    </row>
    <row r="267" spans="1:5" ht="12.75">
      <c r="A267" s="512">
        <v>10</v>
      </c>
      <c r="B267" s="511" t="s">
        <v>963</v>
      </c>
      <c r="C267" s="566">
        <f>IF(C258=0,0,C266/C258)</f>
        <v>0.4539979357752062</v>
      </c>
      <c r="D267" s="566">
        <f>IF(D258=0,0,D266/D258)</f>
        <v>0.4417624596574763</v>
      </c>
      <c r="E267" s="567">
        <f t="shared" si="30"/>
        <v>-0.012235476117729904</v>
      </c>
    </row>
    <row r="268" spans="1:5" ht="12.75">
      <c r="A268" s="512">
        <v>11</v>
      </c>
      <c r="B268" s="511" t="s">
        <v>837</v>
      </c>
      <c r="C268" s="546">
        <f>+C260*C267</f>
        <v>9373814.327409856</v>
      </c>
      <c r="D268" s="568">
        <f>+D260*D267</f>
        <v>10485336.677673139</v>
      </c>
      <c r="E268" s="546">
        <f t="shared" si="30"/>
        <v>1111522.3502632827</v>
      </c>
    </row>
    <row r="269" spans="1:5" ht="12.75">
      <c r="A269" s="512">
        <v>12</v>
      </c>
      <c r="B269" s="511" t="s">
        <v>964</v>
      </c>
      <c r="C269" s="546">
        <f>((C17+C18+C28+C29)*C267)-(C50+C51+C61+C62)</f>
        <v>14710109.829166852</v>
      </c>
      <c r="D269" s="568">
        <f>((D17+D18+D28+D29)*D267)-(D50+D51+D61+D62)</f>
        <v>15723946.117364638</v>
      </c>
      <c r="E269" s="546">
        <f t="shared" si="30"/>
        <v>1013836.2881977856</v>
      </c>
    </row>
    <row r="270" spans="1:5" s="569" customFormat="1" ht="12.75">
      <c r="A270" s="570">
        <v>13</v>
      </c>
      <c r="B270" s="571" t="s">
        <v>965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966</v>
      </c>
      <c r="C271" s="546">
        <f>+C268+C269+C270</f>
        <v>24083924.156576708</v>
      </c>
      <c r="D271" s="546">
        <f>+D268+D269+D270</f>
        <v>26209282.795037776</v>
      </c>
      <c r="E271" s="549">
        <f t="shared" si="30"/>
        <v>2125358.6384610683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967</v>
      </c>
      <c r="B273" s="550" t="s">
        <v>968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170</v>
      </c>
      <c r="B275" s="509" t="s">
        <v>969</v>
      </c>
      <c r="C275" s="340"/>
      <c r="D275" s="340"/>
      <c r="E275" s="520"/>
    </row>
    <row r="276" spans="1:5" ht="12.75">
      <c r="A276" s="512">
        <v>1</v>
      </c>
      <c r="B276" s="511" t="s">
        <v>777</v>
      </c>
      <c r="C276" s="547">
        <f aca="true" t="shared" si="31" ref="C276:D284">IF(C14=0,0,+C47/C14)</f>
        <v>0.7132635571112602</v>
      </c>
      <c r="D276" s="547">
        <f t="shared" si="31"/>
        <v>0.738027482282149</v>
      </c>
      <c r="E276" s="574">
        <f aca="true" t="shared" si="32" ref="E276:E284">D276-C276</f>
        <v>0.024763925170888768</v>
      </c>
    </row>
    <row r="277" spans="1:5" ht="12.75">
      <c r="A277" s="512">
        <v>2</v>
      </c>
      <c r="B277" s="511" t="s">
        <v>756</v>
      </c>
      <c r="C277" s="547">
        <f t="shared" si="31"/>
        <v>0.4321498848010417</v>
      </c>
      <c r="D277" s="547">
        <f t="shared" si="31"/>
        <v>0.40084467513041977</v>
      </c>
      <c r="E277" s="574">
        <f t="shared" si="32"/>
        <v>-0.03130520967062195</v>
      </c>
    </row>
    <row r="278" spans="1:5" ht="12.75">
      <c r="A278" s="512">
        <v>3</v>
      </c>
      <c r="B278" s="511" t="s">
        <v>902</v>
      </c>
      <c r="C278" s="547">
        <f t="shared" si="31"/>
        <v>0.23778736954147656</v>
      </c>
      <c r="D278" s="547">
        <f t="shared" si="31"/>
        <v>0.24401263267301374</v>
      </c>
      <c r="E278" s="574">
        <f t="shared" si="32"/>
        <v>0.006225263131537179</v>
      </c>
    </row>
    <row r="279" spans="1:5" ht="12.75">
      <c r="A279" s="512">
        <v>4</v>
      </c>
      <c r="B279" s="511" t="s">
        <v>270</v>
      </c>
      <c r="C279" s="547">
        <f t="shared" si="31"/>
        <v>0.2655528147194935</v>
      </c>
      <c r="D279" s="547">
        <f t="shared" si="31"/>
        <v>0.2843230688635913</v>
      </c>
      <c r="E279" s="574">
        <f t="shared" si="32"/>
        <v>0.01877025414409783</v>
      </c>
    </row>
    <row r="280" spans="1:5" ht="12.75">
      <c r="A280" s="512">
        <v>5</v>
      </c>
      <c r="B280" s="511" t="s">
        <v>869</v>
      </c>
      <c r="C280" s="547">
        <f t="shared" si="31"/>
        <v>0.16910245643475574</v>
      </c>
      <c r="D280" s="547">
        <f t="shared" si="31"/>
        <v>0.151257141278588</v>
      </c>
      <c r="E280" s="574">
        <f t="shared" si="32"/>
        <v>-0.017845315156167746</v>
      </c>
    </row>
    <row r="281" spans="1:5" ht="12.75">
      <c r="A281" s="512">
        <v>6</v>
      </c>
      <c r="B281" s="511" t="s">
        <v>574</v>
      </c>
      <c r="C281" s="547">
        <f t="shared" si="31"/>
        <v>0.4030162848746135</v>
      </c>
      <c r="D281" s="547">
        <f t="shared" si="31"/>
        <v>0.44294674441043763</v>
      </c>
      <c r="E281" s="574">
        <f t="shared" si="32"/>
        <v>0.03993045953582414</v>
      </c>
    </row>
    <row r="282" spans="1:5" ht="12.75">
      <c r="A282" s="512">
        <v>7</v>
      </c>
      <c r="B282" s="511" t="s">
        <v>884</v>
      </c>
      <c r="C282" s="547">
        <f t="shared" si="31"/>
        <v>0.22985691351301335</v>
      </c>
      <c r="D282" s="547">
        <f t="shared" si="31"/>
        <v>0.18066996652168216</v>
      </c>
      <c r="E282" s="574">
        <f t="shared" si="32"/>
        <v>-0.04918694699133119</v>
      </c>
    </row>
    <row r="283" spans="1:5" ht="29.25" customHeight="1">
      <c r="A283" s="512"/>
      <c r="B283" s="516" t="s">
        <v>970</v>
      </c>
      <c r="C283" s="575">
        <f t="shared" si="31"/>
        <v>0.3938080667851466</v>
      </c>
      <c r="D283" s="575">
        <f t="shared" si="31"/>
        <v>0.3689348053354664</v>
      </c>
      <c r="E283" s="576">
        <f t="shared" si="32"/>
        <v>-0.024873261449680217</v>
      </c>
    </row>
    <row r="284" spans="1:5" ht="12.75">
      <c r="A284" s="512"/>
      <c r="B284" s="516" t="s">
        <v>971</v>
      </c>
      <c r="C284" s="575">
        <f t="shared" si="31"/>
        <v>0.5030692304051395</v>
      </c>
      <c r="D284" s="575">
        <f t="shared" si="31"/>
        <v>0.4932420819423981</v>
      </c>
      <c r="E284" s="576">
        <f t="shared" si="32"/>
        <v>-0.009827148462741409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182</v>
      </c>
      <c r="B286" s="509" t="s">
        <v>972</v>
      </c>
      <c r="C286" s="520"/>
      <c r="D286" s="520"/>
      <c r="E286" s="520"/>
    </row>
    <row r="287" spans="1:5" ht="12.75">
      <c r="A287" s="512">
        <v>1</v>
      </c>
      <c r="B287" s="511" t="s">
        <v>777</v>
      </c>
      <c r="C287" s="547">
        <f aca="true" t="shared" si="33" ref="C287:D295">IF(C25=0,0,+C58/C25)</f>
        <v>0.5415909585395544</v>
      </c>
      <c r="D287" s="547">
        <f t="shared" si="33"/>
        <v>0.5380935024751401</v>
      </c>
      <c r="E287" s="574">
        <f aca="true" t="shared" si="34" ref="E287:E295">D287-C287</f>
        <v>-0.003497456064414317</v>
      </c>
    </row>
    <row r="288" spans="1:5" ht="12.75">
      <c r="A288" s="512">
        <v>2</v>
      </c>
      <c r="B288" s="511" t="s">
        <v>756</v>
      </c>
      <c r="C288" s="547">
        <f t="shared" si="33"/>
        <v>0.2644509070430429</v>
      </c>
      <c r="D288" s="547">
        <f t="shared" si="33"/>
        <v>0.24089542166871608</v>
      </c>
      <c r="E288" s="574">
        <f t="shared" si="34"/>
        <v>-0.023555485374326834</v>
      </c>
    </row>
    <row r="289" spans="1:5" ht="12.75">
      <c r="A289" s="512">
        <v>3</v>
      </c>
      <c r="B289" s="511" t="s">
        <v>902</v>
      </c>
      <c r="C289" s="547">
        <f t="shared" si="33"/>
        <v>0.23670204508505505</v>
      </c>
      <c r="D289" s="547">
        <f t="shared" si="33"/>
        <v>0.24974136366006464</v>
      </c>
      <c r="E289" s="574">
        <f t="shared" si="34"/>
        <v>0.01303931857500959</v>
      </c>
    </row>
    <row r="290" spans="1:5" ht="12.75">
      <c r="A290" s="512">
        <v>4</v>
      </c>
      <c r="B290" s="511" t="s">
        <v>270</v>
      </c>
      <c r="C290" s="547">
        <f t="shared" si="33"/>
        <v>0.2611721977054387</v>
      </c>
      <c r="D290" s="547">
        <f t="shared" si="33"/>
        <v>0.2718650034691515</v>
      </c>
      <c r="E290" s="574">
        <f t="shared" si="34"/>
        <v>0.010692805763712787</v>
      </c>
    </row>
    <row r="291" spans="1:5" ht="12.75">
      <c r="A291" s="512">
        <v>5</v>
      </c>
      <c r="B291" s="511" t="s">
        <v>869</v>
      </c>
      <c r="C291" s="547">
        <f t="shared" si="33"/>
        <v>0.16349909032891038</v>
      </c>
      <c r="D291" s="547">
        <f t="shared" si="33"/>
        <v>0.1831523996004305</v>
      </c>
      <c r="E291" s="574">
        <f t="shared" si="34"/>
        <v>0.01965330927152012</v>
      </c>
    </row>
    <row r="292" spans="1:5" ht="12.75">
      <c r="A292" s="512">
        <v>6</v>
      </c>
      <c r="B292" s="511" t="s">
        <v>574</v>
      </c>
      <c r="C292" s="547">
        <f t="shared" si="33"/>
        <v>0.34802421815273854</v>
      </c>
      <c r="D292" s="547">
        <f t="shared" si="33"/>
        <v>0.3750996151092389</v>
      </c>
      <c r="E292" s="574">
        <f t="shared" si="34"/>
        <v>0.027075396956500353</v>
      </c>
    </row>
    <row r="293" spans="1:5" ht="12.75">
      <c r="A293" s="512">
        <v>7</v>
      </c>
      <c r="B293" s="511" t="s">
        <v>884</v>
      </c>
      <c r="C293" s="547">
        <f t="shared" si="33"/>
        <v>0.2083788684976812</v>
      </c>
      <c r="D293" s="547">
        <f t="shared" si="33"/>
        <v>0.21126976601379563</v>
      </c>
      <c r="E293" s="574">
        <f t="shared" si="34"/>
        <v>0.0028908975161144324</v>
      </c>
    </row>
    <row r="294" spans="1:5" ht="29.25" customHeight="1">
      <c r="A294" s="512"/>
      <c r="B294" s="516" t="s">
        <v>973</v>
      </c>
      <c r="C294" s="575">
        <f t="shared" si="33"/>
        <v>0.2607358677865659</v>
      </c>
      <c r="D294" s="575">
        <f t="shared" si="33"/>
        <v>0.24933611245330012</v>
      </c>
      <c r="E294" s="576">
        <f t="shared" si="34"/>
        <v>-0.01139975533326576</v>
      </c>
    </row>
    <row r="295" spans="1:5" ht="12.75">
      <c r="A295" s="512"/>
      <c r="B295" s="516" t="s">
        <v>974</v>
      </c>
      <c r="C295" s="575">
        <f t="shared" si="33"/>
        <v>0.41128391440317097</v>
      </c>
      <c r="D295" s="575">
        <f t="shared" si="33"/>
        <v>0.4009400855384079</v>
      </c>
      <c r="E295" s="576">
        <f t="shared" si="34"/>
        <v>-0.010343828864763094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975</v>
      </c>
      <c r="B297" s="501" t="s">
        <v>976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170</v>
      </c>
      <c r="B299" s="509" t="s">
        <v>977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775</v>
      </c>
      <c r="C301" s="514">
        <f>+C48+C47+C50+C51+C52+C59+C58+C61+C62+C63</f>
        <v>230530959</v>
      </c>
      <c r="D301" s="514">
        <f>+D48+D47+D50+D51+D52+D59+D58+D61+D62+D63</f>
        <v>245630195</v>
      </c>
      <c r="E301" s="514">
        <f>D301-C301</f>
        <v>15099236</v>
      </c>
    </row>
    <row r="302" spans="1:5" ht="25.5">
      <c r="A302" s="512">
        <v>2</v>
      </c>
      <c r="B302" s="511" t="s">
        <v>0</v>
      </c>
      <c r="C302" s="546">
        <f>C265</f>
        <v>2058702</v>
      </c>
      <c r="D302" s="546">
        <f>D265</f>
        <v>2039977</v>
      </c>
      <c r="E302" s="514">
        <f>D302-C302</f>
        <v>-18725</v>
      </c>
    </row>
    <row r="303" spans="1:5" ht="12.75">
      <c r="A303" s="512"/>
      <c r="B303" s="516" t="s">
        <v>1</v>
      </c>
      <c r="C303" s="517">
        <f>+C301+C302</f>
        <v>232589661</v>
      </c>
      <c r="D303" s="517">
        <f>+D301+D302</f>
        <v>247670172</v>
      </c>
      <c r="E303" s="517">
        <f>D303-C303</f>
        <v>15080511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2</v>
      </c>
      <c r="C305" s="513">
        <v>9542166</v>
      </c>
      <c r="D305" s="578">
        <v>11982099</v>
      </c>
      <c r="E305" s="579">
        <f>D305-C305</f>
        <v>2439933</v>
      </c>
    </row>
    <row r="306" spans="1:5" ht="12.75">
      <c r="A306" s="512">
        <v>4</v>
      </c>
      <c r="B306" s="516" t="s">
        <v>3</v>
      </c>
      <c r="C306" s="580">
        <f>+C303+C305+C194+C190-C191</f>
        <v>260985775</v>
      </c>
      <c r="D306" s="580">
        <f>+D303+D305</f>
        <v>259652271</v>
      </c>
      <c r="E306" s="580">
        <f>D306-C306</f>
        <v>-1333504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4</v>
      </c>
      <c r="C308" s="513">
        <v>242131827</v>
      </c>
      <c r="D308" s="513">
        <v>259652271</v>
      </c>
      <c r="E308" s="514">
        <f>D308-C308</f>
        <v>17520444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5</v>
      </c>
      <c r="C310" s="581">
        <f>C306-C308</f>
        <v>18853948</v>
      </c>
      <c r="D310" s="582">
        <f>D306-D308</f>
        <v>0</v>
      </c>
      <c r="E310" s="580">
        <f>D310-C310</f>
        <v>-18853948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182</v>
      </c>
      <c r="B312" s="509" t="s">
        <v>6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7</v>
      </c>
      <c r="C314" s="514">
        <f>+C14+C15+C16+C19+C25+C26+C27+C30</f>
        <v>512314358</v>
      </c>
      <c r="D314" s="514">
        <f>+D14+D15+D16+D19+D25+D26+D27+D30</f>
        <v>560641054</v>
      </c>
      <c r="E314" s="514">
        <f>D314-C314</f>
        <v>48326696</v>
      </c>
    </row>
    <row r="315" spans="1:5" ht="12.75">
      <c r="A315" s="512">
        <v>2</v>
      </c>
      <c r="B315" s="583" t="s">
        <v>8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9</v>
      </c>
      <c r="C316" s="581">
        <f>C314+C315</f>
        <v>512314358</v>
      </c>
      <c r="D316" s="581">
        <f>D314+D315</f>
        <v>560641054</v>
      </c>
      <c r="E316" s="517">
        <f>D316-C316</f>
        <v>48326696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10</v>
      </c>
      <c r="C318" s="513">
        <v>512314357</v>
      </c>
      <c r="D318" s="513">
        <v>560641054</v>
      </c>
      <c r="E318" s="514">
        <f>D318-C318</f>
        <v>48326697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5</v>
      </c>
      <c r="C320" s="581">
        <f>C316-C318</f>
        <v>1</v>
      </c>
      <c r="D320" s="581">
        <f>D316-D318</f>
        <v>0</v>
      </c>
      <c r="E320" s="517">
        <f>D320-C320</f>
        <v>-1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192</v>
      </c>
      <c r="B322" s="509" t="s">
        <v>11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12</v>
      </c>
      <c r="C324" s="513">
        <f>+C193+C194</f>
        <v>20647262</v>
      </c>
      <c r="D324" s="513">
        <f>+D193+D194</f>
        <v>23735237</v>
      </c>
      <c r="E324" s="514">
        <f>D324-C324</f>
        <v>3087975</v>
      </c>
    </row>
    <row r="325" spans="1:5" ht="12.75">
      <c r="A325" s="512">
        <v>2</v>
      </c>
      <c r="B325" s="511" t="s">
        <v>13</v>
      </c>
      <c r="C325" s="513">
        <v>116569</v>
      </c>
      <c r="D325" s="513">
        <v>78485</v>
      </c>
      <c r="E325" s="514">
        <f>D325-C325</f>
        <v>-38084</v>
      </c>
    </row>
    <row r="326" spans="1:5" ht="12.75">
      <c r="A326" s="512"/>
      <c r="B326" s="516" t="s">
        <v>14</v>
      </c>
      <c r="C326" s="581">
        <f>C324+C325</f>
        <v>20763831</v>
      </c>
      <c r="D326" s="581">
        <f>D324+D325</f>
        <v>23813722</v>
      </c>
      <c r="E326" s="517">
        <f>D326-C326</f>
        <v>3049891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15</v>
      </c>
      <c r="C328" s="513">
        <v>20763831</v>
      </c>
      <c r="D328" s="513">
        <v>23813722</v>
      </c>
      <c r="E328" s="514">
        <f>D328-C328</f>
        <v>3049891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16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 r:id="rId1"/>
  <headerFooter alignWithMargins="0">
    <oddHeader>&amp;LOFFICE OF HEALTH CARE ACCESS&amp;CTWELVE MONTHS ACTUAL FILING&amp;RWILLIAM W. BACKUS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156</v>
      </c>
      <c r="B2" s="705"/>
      <c r="C2" s="705"/>
      <c r="D2" s="585"/>
    </row>
    <row r="3" spans="1:4" s="338" customFormat="1" ht="15.75" customHeight="1">
      <c r="A3" s="695" t="s">
        <v>747</v>
      </c>
      <c r="B3" s="696"/>
      <c r="C3" s="697"/>
      <c r="D3" s="585"/>
    </row>
    <row r="4" spans="1:4" s="338" customFormat="1" ht="15.75" customHeight="1">
      <c r="A4" s="695" t="s">
        <v>158</v>
      </c>
      <c r="B4" s="696"/>
      <c r="C4" s="697"/>
      <c r="D4" s="585"/>
    </row>
    <row r="5" spans="1:4" s="338" customFormat="1" ht="15.75" customHeight="1">
      <c r="A5" s="695" t="s">
        <v>17</v>
      </c>
      <c r="B5" s="696"/>
      <c r="C5" s="697"/>
      <c r="D5" s="585"/>
    </row>
    <row r="6" spans="1:4" s="338" customFormat="1" ht="15.75" customHeight="1">
      <c r="A6" s="695" t="s">
        <v>18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164</v>
      </c>
      <c r="B9" s="493" t="s">
        <v>165</v>
      </c>
      <c r="C9" s="494" t="s">
        <v>19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168</v>
      </c>
      <c r="B11" s="501" t="s">
        <v>20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170</v>
      </c>
      <c r="B13" s="509" t="s">
        <v>901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777</v>
      </c>
      <c r="C14" s="513">
        <v>76065517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756</v>
      </c>
      <c r="C15" s="515">
        <v>115948483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902</v>
      </c>
      <c r="C16" s="515">
        <v>31188332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270</v>
      </c>
      <c r="C17" s="515">
        <v>21740269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869</v>
      </c>
      <c r="C18" s="515">
        <v>9448063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574</v>
      </c>
      <c r="C19" s="515">
        <v>2651102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884</v>
      </c>
      <c r="C20" s="515">
        <v>4648083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903</v>
      </c>
      <c r="C21" s="517">
        <f>SUM(C15+C16+C19)</f>
        <v>149787917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843</v>
      </c>
      <c r="C22" s="517">
        <f>SUM(C14+C21)</f>
        <v>225853434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182</v>
      </c>
      <c r="B24" s="509" t="s">
        <v>904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777</v>
      </c>
      <c r="C25" s="513">
        <v>175770855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756</v>
      </c>
      <c r="C26" s="515">
        <v>102528142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902</v>
      </c>
      <c r="C27" s="515">
        <v>49767755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270</v>
      </c>
      <c r="C28" s="515">
        <v>37356397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869</v>
      </c>
      <c r="C29" s="515">
        <v>12411358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574</v>
      </c>
      <c r="C30" s="515">
        <v>6720868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884</v>
      </c>
      <c r="C31" s="518">
        <v>11539441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905</v>
      </c>
      <c r="C32" s="517">
        <f>SUM(C26+C27+C30)</f>
        <v>159016765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849</v>
      </c>
      <c r="C33" s="517">
        <f>SUM(C25+C32)</f>
        <v>334787620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192</v>
      </c>
      <c r="B35" s="509" t="s">
        <v>774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21</v>
      </c>
      <c r="C36" s="514">
        <f>SUM(C14+C25)</f>
        <v>251836372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22</v>
      </c>
      <c r="C37" s="518">
        <f>SUM(C21+C32)</f>
        <v>308804682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774</v>
      </c>
      <c r="C38" s="517">
        <f>SUM(+C36+C37)</f>
        <v>560641054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477</v>
      </c>
      <c r="B40" s="509" t="s">
        <v>914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777</v>
      </c>
      <c r="C41" s="513">
        <v>56138442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756</v>
      </c>
      <c r="C42" s="515">
        <v>46477332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902</v>
      </c>
      <c r="C43" s="515">
        <v>7610347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270</v>
      </c>
      <c r="C44" s="515">
        <v>6181260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869</v>
      </c>
      <c r="C45" s="515">
        <v>1429087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574</v>
      </c>
      <c r="C46" s="515">
        <v>1174297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884</v>
      </c>
      <c r="C47" s="515">
        <v>839769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915</v>
      </c>
      <c r="C48" s="517">
        <f>SUM(C42+C43+C46)</f>
        <v>55261976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844</v>
      </c>
      <c r="C49" s="517">
        <f>SUM(C41+C48)</f>
        <v>111400418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498</v>
      </c>
      <c r="B51" s="509" t="s">
        <v>916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777</v>
      </c>
      <c r="C52" s="513">
        <v>94581155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756</v>
      </c>
      <c r="C53" s="515">
        <v>24698560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902</v>
      </c>
      <c r="C54" s="515">
        <v>12429067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270</v>
      </c>
      <c r="C55" s="515">
        <v>10155897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869</v>
      </c>
      <c r="C56" s="515">
        <v>2273170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574</v>
      </c>
      <c r="C57" s="515">
        <v>2520995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884</v>
      </c>
      <c r="C58" s="515">
        <v>2437935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917</v>
      </c>
      <c r="C59" s="517">
        <f>SUM(C53+C54+C57)</f>
        <v>39648622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850</v>
      </c>
      <c r="C60" s="517">
        <f>SUM(C52+C59)</f>
        <v>134229777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510</v>
      </c>
      <c r="B62" s="521" t="s">
        <v>775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23</v>
      </c>
      <c r="C63" s="514">
        <f>SUM(C41+C52)</f>
        <v>150719597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24</v>
      </c>
      <c r="C64" s="518">
        <f>SUM(C48+C59)</f>
        <v>94910598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775</v>
      </c>
      <c r="C65" s="517">
        <f>SUM(+C63+C64)</f>
        <v>245630195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200</v>
      </c>
      <c r="B67" s="501" t="s">
        <v>25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170</v>
      </c>
      <c r="B69" s="509" t="s">
        <v>26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777</v>
      </c>
      <c r="C70" s="530">
        <v>4461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756</v>
      </c>
      <c r="C71" s="530">
        <v>5039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902</v>
      </c>
      <c r="C72" s="530">
        <v>2148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270</v>
      </c>
      <c r="C73" s="530">
        <v>1764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869</v>
      </c>
      <c r="C74" s="530">
        <v>384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574</v>
      </c>
      <c r="C75" s="545">
        <v>237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884</v>
      </c>
      <c r="C76" s="545">
        <v>265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932</v>
      </c>
      <c r="C77" s="532">
        <f>SUM(C71+C72+C75)</f>
        <v>7424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846</v>
      </c>
      <c r="C78" s="596">
        <f>SUM(C70+C77)</f>
        <v>11885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182</v>
      </c>
      <c r="B80" s="509" t="s">
        <v>937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777</v>
      </c>
      <c r="C81" s="541">
        <v>1.3151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756</v>
      </c>
      <c r="C82" s="541">
        <v>1.459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902</v>
      </c>
      <c r="C83" s="541">
        <f>((C73*C84)+(C74*C85))/(C73+C74)</f>
        <v>0.961921787709497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270</v>
      </c>
      <c r="C84" s="541">
        <v>0.8944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869</v>
      </c>
      <c r="C85" s="541">
        <v>1.2721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574</v>
      </c>
      <c r="C86" s="541">
        <v>0.9408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884</v>
      </c>
      <c r="C87" s="541">
        <v>1.1848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938</v>
      </c>
      <c r="C88" s="543">
        <f>((C71*C82)+(C73*C84)+(C74*C85)+(C75*C86))/(C71+C73+C74+C75)</f>
        <v>1.2986366648706897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847</v>
      </c>
      <c r="C89" s="543">
        <f>((C70*C81)+(C71*C82)+(C73*C84)+(C74*C85)+(C75*C86))/(C70+C71+C73+C74+C75)</f>
        <v>1.3048161295750946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192</v>
      </c>
      <c r="B91" s="509" t="s">
        <v>939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940</v>
      </c>
      <c r="C92" s="513">
        <v>217279782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941</v>
      </c>
      <c r="C93" s="546">
        <v>145881679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789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873</v>
      </c>
      <c r="C95" s="513">
        <f>+C92-C93</f>
        <v>71398103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791</v>
      </c>
      <c r="C96" s="597">
        <f>(+C92-C93)/C92</f>
        <v>0.32859984644130397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888</v>
      </c>
      <c r="C98" s="513">
        <v>10821353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874</v>
      </c>
      <c r="C99" s="513">
        <v>5983436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27</v>
      </c>
      <c r="C101" s="513">
        <v>2039977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943</v>
      </c>
      <c r="C103" s="513">
        <v>6641717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944</v>
      </c>
      <c r="C104" s="513">
        <v>17093520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945</v>
      </c>
      <c r="C105" s="578">
        <f>+C103+C104</f>
        <v>23735237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946</v>
      </c>
      <c r="C107" s="513">
        <v>3773294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831</v>
      </c>
      <c r="C108" s="513">
        <v>250646571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291</v>
      </c>
      <c r="B110" s="501" t="s">
        <v>976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170</v>
      </c>
      <c r="B112" s="509" t="s">
        <v>977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775</v>
      </c>
      <c r="C114" s="514">
        <f>+C65</f>
        <v>245630195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0</v>
      </c>
      <c r="C115" s="546">
        <f>+C101</f>
        <v>2039977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1</v>
      </c>
      <c r="C116" s="517">
        <f>+C114+C115</f>
        <v>247670172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2</v>
      </c>
      <c r="C118" s="578">
        <v>11982099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3</v>
      </c>
      <c r="C119" s="580">
        <f>+C116+C118</f>
        <v>259652271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4</v>
      </c>
      <c r="C121" s="513">
        <v>259652271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5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182</v>
      </c>
      <c r="B125" s="509" t="s">
        <v>6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7</v>
      </c>
      <c r="C127" s="514">
        <f>+C38</f>
        <v>560641054</v>
      </c>
      <c r="D127" s="588"/>
      <c r="AR127" s="507"/>
    </row>
    <row r="128" spans="1:44" s="506" customFormat="1" ht="12.75">
      <c r="A128" s="512">
        <v>2</v>
      </c>
      <c r="B128" s="583" t="s">
        <v>8</v>
      </c>
      <c r="C128" s="513">
        <v>0</v>
      </c>
      <c r="D128" s="588"/>
      <c r="AR128" s="507"/>
    </row>
    <row r="129" spans="1:44" s="506" customFormat="1" ht="12.75">
      <c r="A129" s="512"/>
      <c r="B129" s="516" t="s">
        <v>9</v>
      </c>
      <c r="C129" s="581">
        <f>C127+C128</f>
        <v>560641054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10</v>
      </c>
      <c r="C131" s="513">
        <v>560641054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5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192</v>
      </c>
      <c r="B135" s="509" t="s">
        <v>11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12</v>
      </c>
      <c r="C137" s="513">
        <f>C105</f>
        <v>23735237</v>
      </c>
      <c r="D137" s="588"/>
      <c r="AR137" s="507"/>
    </row>
    <row r="138" spans="1:44" s="506" customFormat="1" ht="12.75">
      <c r="A138" s="512">
        <v>2</v>
      </c>
      <c r="B138" s="511" t="s">
        <v>28</v>
      </c>
      <c r="C138" s="513">
        <v>78485</v>
      </c>
      <c r="D138" s="588"/>
      <c r="AR138" s="507"/>
    </row>
    <row r="139" spans="1:44" s="506" customFormat="1" ht="12.75">
      <c r="A139" s="512"/>
      <c r="B139" s="516" t="s">
        <v>14</v>
      </c>
      <c r="C139" s="581">
        <f>C137+C138</f>
        <v>23813722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29</v>
      </c>
      <c r="C141" s="513">
        <v>23813722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16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&amp;LOFFICE OF HEALTH CARE ACCESS&amp;CTWELVE MONTHS ACTUAL FILING&amp;RWILLIAM W. BACKUS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156</v>
      </c>
      <c r="B2" s="715"/>
      <c r="C2" s="715"/>
      <c r="D2" s="715"/>
      <c r="E2" s="715"/>
      <c r="F2" s="716"/>
    </row>
    <row r="3" spans="1:6" ht="15.75" customHeight="1">
      <c r="A3" s="714" t="s">
        <v>747</v>
      </c>
      <c r="B3" s="715"/>
      <c r="C3" s="715"/>
      <c r="D3" s="715"/>
      <c r="E3" s="715"/>
      <c r="F3" s="716"/>
    </row>
    <row r="4" spans="1:6" ht="15.75" customHeight="1">
      <c r="A4" s="714" t="s">
        <v>748</v>
      </c>
      <c r="B4" s="715"/>
      <c r="C4" s="715"/>
      <c r="D4" s="715"/>
      <c r="E4" s="715"/>
      <c r="F4" s="716"/>
    </row>
    <row r="5" spans="1:6" ht="15.75" customHeight="1">
      <c r="A5" s="714" t="s">
        <v>30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751</v>
      </c>
      <c r="D8" s="35" t="s">
        <v>751</v>
      </c>
      <c r="E8" s="35" t="s">
        <v>162</v>
      </c>
      <c r="F8" s="35" t="s">
        <v>163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164</v>
      </c>
      <c r="B9" s="606" t="s">
        <v>165</v>
      </c>
      <c r="C9" s="607" t="s">
        <v>753</v>
      </c>
      <c r="D9" s="607" t="s">
        <v>754</v>
      </c>
      <c r="E9" s="605" t="s">
        <v>167</v>
      </c>
      <c r="F9" s="605" t="s">
        <v>167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170</v>
      </c>
      <c r="B11" s="606" t="s">
        <v>31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32</v>
      </c>
      <c r="C12" s="49">
        <v>2491</v>
      </c>
      <c r="D12" s="49">
        <v>2339</v>
      </c>
      <c r="E12" s="49">
        <f>+D12-C12</f>
        <v>-152</v>
      </c>
      <c r="F12" s="70">
        <f>IF(C12=0,0,+E12/C12)</f>
        <v>-0.061019670814933764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33</v>
      </c>
      <c r="C13" s="49">
        <v>1997</v>
      </c>
      <c r="D13" s="49">
        <v>2198</v>
      </c>
      <c r="E13" s="49">
        <f>+D13-C13</f>
        <v>201</v>
      </c>
      <c r="F13" s="70">
        <f>IF(C13=0,0,+E13/C13)</f>
        <v>0.10065097646469705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34</v>
      </c>
      <c r="C15" s="51">
        <v>6296582</v>
      </c>
      <c r="D15" s="51">
        <v>6641717</v>
      </c>
      <c r="E15" s="51">
        <f>+D15-C15</f>
        <v>345135</v>
      </c>
      <c r="F15" s="70">
        <f>IF(C15=0,0,+E15/C15)</f>
        <v>0.05481307159979811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35</v>
      </c>
      <c r="C16" s="27">
        <f>IF(C13=0,0,+C15/+C13)</f>
        <v>3153.020530796194</v>
      </c>
      <c r="D16" s="27">
        <f>IF(D13=0,0,+D15/+D13)</f>
        <v>3021.7092811646953</v>
      </c>
      <c r="E16" s="27">
        <f>+D16-C16</f>
        <v>-131.31124963149887</v>
      </c>
      <c r="F16" s="28">
        <f>IF(C16=0,0,+E16/C16)</f>
        <v>-0.041646176531029575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36</v>
      </c>
      <c r="C18" s="210">
        <v>0.456863</v>
      </c>
      <c r="D18" s="210">
        <v>0.438858</v>
      </c>
      <c r="E18" s="210">
        <f>+D18-C18</f>
        <v>-0.018004999999999993</v>
      </c>
      <c r="F18" s="70">
        <f>IF(C18=0,0,+E18/C18)</f>
        <v>-0.03941006384846221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37</v>
      </c>
      <c r="C19" s="27">
        <f>+C15*C18</f>
        <v>2876675.3422660003</v>
      </c>
      <c r="D19" s="27">
        <f>+D15*D18</f>
        <v>2914770.639186</v>
      </c>
      <c r="E19" s="27">
        <f>+D19-C19</f>
        <v>38095.296919999644</v>
      </c>
      <c r="F19" s="28">
        <f>IF(C19=0,0,+E19/C19)</f>
        <v>0.013242821099857381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38</v>
      </c>
      <c r="C20" s="27">
        <f>IF(C13=0,0,+C19/C13)</f>
        <v>1440.498418761142</v>
      </c>
      <c r="D20" s="27">
        <f>IF(D13=0,0,+D19/D13)</f>
        <v>1326.1012917133758</v>
      </c>
      <c r="E20" s="27">
        <f>+D20-C20</f>
        <v>-114.39712704776616</v>
      </c>
      <c r="F20" s="28">
        <f>IF(C20=0,0,+E20/C20)</f>
        <v>-0.07941496190335984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39</v>
      </c>
      <c r="C22" s="51">
        <v>2397319</v>
      </c>
      <c r="D22" s="51">
        <v>2291821</v>
      </c>
      <c r="E22" s="51">
        <f>+D22-C22</f>
        <v>-105498</v>
      </c>
      <c r="F22" s="70">
        <f>IF(C22=0,0,+E22/C22)</f>
        <v>-0.044006659105442374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40</v>
      </c>
      <c r="C23" s="49">
        <v>2498854</v>
      </c>
      <c r="D23" s="49">
        <v>2461682</v>
      </c>
      <c r="E23" s="49">
        <f>+D23-C23</f>
        <v>-37172</v>
      </c>
      <c r="F23" s="70">
        <f>IF(C23=0,0,+E23/C23)</f>
        <v>-0.014875618983742147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41</v>
      </c>
      <c r="C24" s="49">
        <v>1400409</v>
      </c>
      <c r="D24" s="49">
        <v>1888214</v>
      </c>
      <c r="E24" s="49">
        <f>+D24-C24</f>
        <v>487805</v>
      </c>
      <c r="F24" s="70">
        <f>IF(C24=0,0,+E24/C24)</f>
        <v>0.34833038062451754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34</v>
      </c>
      <c r="C25" s="27">
        <f>+C22+C23+C24</f>
        <v>6296582</v>
      </c>
      <c r="D25" s="27">
        <f>+D22+D23+D24</f>
        <v>6641717</v>
      </c>
      <c r="E25" s="27">
        <f>+E22+E23+E24</f>
        <v>345135</v>
      </c>
      <c r="F25" s="28">
        <f>IF(C25=0,0,+E25/C25)</f>
        <v>0.05481307159979811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42</v>
      </c>
      <c r="C27" s="49">
        <v>2727</v>
      </c>
      <c r="D27" s="49">
        <v>3013</v>
      </c>
      <c r="E27" s="49">
        <f>+D27-C27</f>
        <v>286</v>
      </c>
      <c r="F27" s="70">
        <f>IF(C27=0,0,+E27/C27)</f>
        <v>0.10487715438210488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43</v>
      </c>
      <c r="C28" s="49">
        <v>606</v>
      </c>
      <c r="D28" s="49">
        <v>597</v>
      </c>
      <c r="E28" s="49">
        <f>+D28-C28</f>
        <v>-9</v>
      </c>
      <c r="F28" s="70">
        <f>IF(C28=0,0,+E28/C28)</f>
        <v>-0.01485148514851485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44</v>
      </c>
      <c r="C29" s="49">
        <v>1907</v>
      </c>
      <c r="D29" s="49">
        <v>2617</v>
      </c>
      <c r="E29" s="49">
        <f>+D29-C29</f>
        <v>710</v>
      </c>
      <c r="F29" s="70">
        <f>IF(C29=0,0,+E29/C29)</f>
        <v>0.37231253277399057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45</v>
      </c>
      <c r="C30" s="49">
        <v>5318</v>
      </c>
      <c r="D30" s="49">
        <v>6700</v>
      </c>
      <c r="E30" s="49">
        <f>+D30-C30</f>
        <v>1382</v>
      </c>
      <c r="F30" s="70">
        <f>IF(C30=0,0,+E30/C30)</f>
        <v>0.2598721323805942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182</v>
      </c>
      <c r="B32" s="606" t="s">
        <v>46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47</v>
      </c>
      <c r="C33" s="51">
        <v>4014465</v>
      </c>
      <c r="D33" s="51">
        <v>3125269</v>
      </c>
      <c r="E33" s="51">
        <f>+D33-C33</f>
        <v>-889196</v>
      </c>
      <c r="F33" s="70">
        <f>IF(C33=0,0,+E33/C33)</f>
        <v>-0.2214980078291877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48</v>
      </c>
      <c r="C34" s="49">
        <v>3086821</v>
      </c>
      <c r="D34" s="49">
        <v>3916622</v>
      </c>
      <c r="E34" s="49">
        <f>+D34-C34</f>
        <v>829801</v>
      </c>
      <c r="F34" s="70">
        <f>IF(C34=0,0,+E34/C34)</f>
        <v>0.2688205762498052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49</v>
      </c>
      <c r="C35" s="49">
        <v>7249394</v>
      </c>
      <c r="D35" s="49">
        <v>10051629</v>
      </c>
      <c r="E35" s="49">
        <f>+D35-C35</f>
        <v>2802235</v>
      </c>
      <c r="F35" s="70">
        <f>IF(C35=0,0,+E35/C35)</f>
        <v>0.38654748245163667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50</v>
      </c>
      <c r="C36" s="27">
        <f>+C33+C34+C35</f>
        <v>14350680</v>
      </c>
      <c r="D36" s="27">
        <f>+D33+D34+D35</f>
        <v>17093520</v>
      </c>
      <c r="E36" s="27">
        <f>+E33+E34+E35</f>
        <v>2742840</v>
      </c>
      <c r="F36" s="28">
        <f>IF(C36=0,0,+E36/C36)</f>
        <v>0.19112961894488623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192</v>
      </c>
      <c r="B38" s="606" t="s">
        <v>51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52</v>
      </c>
      <c r="C39" s="51">
        <f>+C25</f>
        <v>6296582</v>
      </c>
      <c r="D39" s="51">
        <f>+D25</f>
        <v>6641717</v>
      </c>
      <c r="E39" s="51">
        <f>+D39-C39</f>
        <v>345135</v>
      </c>
      <c r="F39" s="70">
        <f>IF(C39=0,0,+E39/C39)</f>
        <v>0.05481307159979811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53</v>
      </c>
      <c r="C40" s="49">
        <f>+C36</f>
        <v>14350680</v>
      </c>
      <c r="D40" s="49">
        <f>+D36</f>
        <v>17093520</v>
      </c>
      <c r="E40" s="49">
        <f>+D40-C40</f>
        <v>2742840</v>
      </c>
      <c r="F40" s="70">
        <f>IF(C40=0,0,+E40/C40)</f>
        <v>0.19112961894488623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54</v>
      </c>
      <c r="C41" s="27">
        <f>+C39+C40</f>
        <v>20647262</v>
      </c>
      <c r="D41" s="27">
        <f>+D39+D40</f>
        <v>23735237</v>
      </c>
      <c r="E41" s="27">
        <f>+E39+E40</f>
        <v>3087975</v>
      </c>
      <c r="F41" s="28">
        <f>IF(C41=0,0,+E41/C41)</f>
        <v>0.14955857101052913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55</v>
      </c>
      <c r="C43" s="51">
        <f aca="true" t="shared" si="0" ref="C43:D45">+C22+C33</f>
        <v>6411784</v>
      </c>
      <c r="D43" s="51">
        <f t="shared" si="0"/>
        <v>5417090</v>
      </c>
      <c r="E43" s="51">
        <f>+D43-C43</f>
        <v>-994694</v>
      </c>
      <c r="F43" s="70">
        <f>IF(C43=0,0,+E43/C43)</f>
        <v>-0.1551352946387464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56</v>
      </c>
      <c r="C44" s="49">
        <f t="shared" si="0"/>
        <v>5585675</v>
      </c>
      <c r="D44" s="49">
        <f t="shared" si="0"/>
        <v>6378304</v>
      </c>
      <c r="E44" s="49">
        <f>+D44-C44</f>
        <v>792629</v>
      </c>
      <c r="F44" s="70">
        <f>IF(C44=0,0,+E44/C44)</f>
        <v>0.14190388807082402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57</v>
      </c>
      <c r="C45" s="49">
        <f t="shared" si="0"/>
        <v>8649803</v>
      </c>
      <c r="D45" s="49">
        <f t="shared" si="0"/>
        <v>11939843</v>
      </c>
      <c r="E45" s="49">
        <f>+D45-C45</f>
        <v>3290040</v>
      </c>
      <c r="F45" s="70">
        <f>IF(C45=0,0,+E45/C45)</f>
        <v>0.38036010762326034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54</v>
      </c>
      <c r="C46" s="27">
        <f>+C43+C44+C45</f>
        <v>20647262</v>
      </c>
      <c r="D46" s="27">
        <f>+D43+D44+D45</f>
        <v>23735237</v>
      </c>
      <c r="E46" s="27">
        <f>+E43+E44+E45</f>
        <v>3087975</v>
      </c>
      <c r="F46" s="28">
        <f>IF(C46=0,0,+E46/C46)</f>
        <v>0.14955857101052913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58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63" r:id="rId1"/>
  <headerFooter alignWithMargins="0">
    <oddHeader>&amp;LOFFICE OF HEALTH CARE ACCESS&amp;CTWELVE MONTHS ACTUAL FILING&amp;RWILLIAM W. BACKUS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156</v>
      </c>
      <c r="B2" s="715"/>
      <c r="C2" s="715"/>
      <c r="D2" s="715"/>
      <c r="E2" s="715"/>
      <c r="F2" s="716"/>
    </row>
    <row r="3" spans="1:6" ht="15.75" customHeight="1">
      <c r="A3" s="714" t="s">
        <v>747</v>
      </c>
      <c r="B3" s="715"/>
      <c r="C3" s="715"/>
      <c r="D3" s="715"/>
      <c r="E3" s="715"/>
      <c r="F3" s="716"/>
    </row>
    <row r="4" spans="1:6" ht="15.75" customHeight="1">
      <c r="A4" s="714" t="s">
        <v>748</v>
      </c>
      <c r="B4" s="715"/>
      <c r="C4" s="715"/>
      <c r="D4" s="715"/>
      <c r="E4" s="715"/>
      <c r="F4" s="716"/>
    </row>
    <row r="5" spans="1:6" ht="15.75" customHeight="1">
      <c r="A5" s="714" t="s">
        <v>59</v>
      </c>
      <c r="B5" s="715"/>
      <c r="C5" s="715"/>
      <c r="D5" s="715"/>
      <c r="E5" s="715"/>
      <c r="F5" s="716"/>
    </row>
    <row r="6" spans="1:6" ht="15.75" customHeight="1">
      <c r="A6" s="714" t="s">
        <v>60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753</v>
      </c>
      <c r="D9" s="35" t="s">
        <v>754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61</v>
      </c>
      <c r="D10" s="35" t="s">
        <v>61</v>
      </c>
      <c r="E10" s="35" t="s">
        <v>162</v>
      </c>
      <c r="F10" s="35" t="s">
        <v>163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164</v>
      </c>
      <c r="B11" s="606" t="s">
        <v>165</v>
      </c>
      <c r="C11" s="605" t="s">
        <v>62</v>
      </c>
      <c r="D11" s="605" t="s">
        <v>62</v>
      </c>
      <c r="E11" s="605" t="s">
        <v>167</v>
      </c>
      <c r="F11" s="605" t="s">
        <v>167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63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481</v>
      </c>
      <c r="C15" s="51">
        <v>202370905</v>
      </c>
      <c r="D15" s="51">
        <v>217279782</v>
      </c>
      <c r="E15" s="51">
        <f>+D15-C15</f>
        <v>14908877</v>
      </c>
      <c r="F15" s="70">
        <f>+E15/C15</f>
        <v>0.07367104969956031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660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64</v>
      </c>
      <c r="C17" s="51">
        <v>68156273</v>
      </c>
      <c r="D17" s="51">
        <v>71398103</v>
      </c>
      <c r="E17" s="51">
        <f>+D17-C17</f>
        <v>3241830</v>
      </c>
      <c r="F17" s="70">
        <f>+E17/C17</f>
        <v>0.04756466070261794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65</v>
      </c>
      <c r="C19" s="27">
        <f>+C15-C17</f>
        <v>134214632</v>
      </c>
      <c r="D19" s="27">
        <f>+D15-D17</f>
        <v>145881679</v>
      </c>
      <c r="E19" s="27">
        <f>+D19-C19</f>
        <v>11667047</v>
      </c>
      <c r="F19" s="28">
        <f>+E19/C19</f>
        <v>0.08692827917599923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66</v>
      </c>
      <c r="C21" s="628">
        <f>+C17/C15</f>
        <v>0.33678889265233064</v>
      </c>
      <c r="D21" s="628">
        <f>+D17/D15</f>
        <v>0.32859984644130397</v>
      </c>
      <c r="E21" s="628">
        <f>+D21-C21</f>
        <v>-0.008189046211026674</v>
      </c>
      <c r="F21" s="28">
        <f>+E21/C21</f>
        <v>-0.024315072111004206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660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660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660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660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67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 r:id="rId1"/>
  <headerFooter alignWithMargins="0">
    <oddHeader>&amp;L&amp;12OFFICE OF HEALTH CARE ACCESS&amp;C&amp;12TWELVE MONTHS ACTUAL FILING&amp;R&amp;12WILLIAM W. BACKUS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156</v>
      </c>
      <c r="B1" s="718"/>
      <c r="C1" s="718"/>
      <c r="D1" s="718"/>
      <c r="E1" s="718"/>
      <c r="F1" s="630"/>
    </row>
    <row r="2" spans="1:6" ht="25.5" customHeight="1">
      <c r="A2" s="718" t="s">
        <v>157</v>
      </c>
      <c r="B2" s="718"/>
      <c r="C2" s="718"/>
      <c r="D2" s="718"/>
      <c r="E2" s="718"/>
      <c r="F2" s="630"/>
    </row>
    <row r="3" spans="1:6" ht="25.5" customHeight="1">
      <c r="A3" s="718" t="s">
        <v>158</v>
      </c>
      <c r="B3" s="718"/>
      <c r="C3" s="718"/>
      <c r="D3" s="718"/>
      <c r="E3" s="718"/>
      <c r="F3" s="630"/>
    </row>
    <row r="4" spans="1:6" ht="25.5" customHeight="1">
      <c r="A4" s="718" t="s">
        <v>68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69</v>
      </c>
      <c r="B6" s="632" t="s">
        <v>70</v>
      </c>
      <c r="C6" s="632" t="s">
        <v>71</v>
      </c>
      <c r="D6" s="632" t="s">
        <v>72</v>
      </c>
      <c r="E6" s="632" t="s">
        <v>73</v>
      </c>
    </row>
    <row r="7" spans="1:5" ht="37.5" customHeight="1">
      <c r="A7" s="633" t="s">
        <v>164</v>
      </c>
      <c r="B7" s="634" t="s">
        <v>74</v>
      </c>
      <c r="C7" s="631" t="s">
        <v>75</v>
      </c>
      <c r="D7" s="631" t="s">
        <v>76</v>
      </c>
      <c r="E7" s="631" t="s">
        <v>77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170</v>
      </c>
      <c r="B9" s="637" t="s">
        <v>78</v>
      </c>
      <c r="C9" s="638"/>
      <c r="D9" s="638"/>
      <c r="E9" s="638"/>
    </row>
    <row r="10" spans="1:5" ht="25.5" customHeight="1">
      <c r="A10" s="639">
        <v>1</v>
      </c>
      <c r="B10" s="640" t="s">
        <v>79</v>
      </c>
      <c r="C10" s="641">
        <v>195149449</v>
      </c>
      <c r="D10" s="641">
        <v>215985577</v>
      </c>
      <c r="E10" s="641">
        <v>225853434</v>
      </c>
    </row>
    <row r="11" spans="1:5" ht="25.5" customHeight="1">
      <c r="A11" s="639">
        <v>2</v>
      </c>
      <c r="B11" s="640" t="s">
        <v>80</v>
      </c>
      <c r="C11" s="641">
        <v>245542070</v>
      </c>
      <c r="D11" s="641">
        <v>296328781</v>
      </c>
      <c r="E11" s="641">
        <v>334787620</v>
      </c>
    </row>
    <row r="12" spans="1:5" ht="25.5" customHeight="1">
      <c r="A12" s="639">
        <v>3</v>
      </c>
      <c r="B12" s="640" t="s">
        <v>227</v>
      </c>
      <c r="C12" s="641">
        <f>+C11+C10</f>
        <v>440691519</v>
      </c>
      <c r="D12" s="641">
        <f>+D11+D10</f>
        <v>512314358</v>
      </c>
      <c r="E12" s="641">
        <f>+E11+E10</f>
        <v>560641054</v>
      </c>
    </row>
    <row r="13" spans="1:5" ht="25.5" customHeight="1">
      <c r="A13" s="639">
        <v>4</v>
      </c>
      <c r="B13" s="640" t="s">
        <v>640</v>
      </c>
      <c r="C13" s="641">
        <v>217893336</v>
      </c>
      <c r="D13" s="641">
        <v>242131827</v>
      </c>
      <c r="E13" s="641">
        <v>259652271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182</v>
      </c>
      <c r="B15" s="642" t="s">
        <v>480</v>
      </c>
      <c r="C15" s="641"/>
      <c r="D15" s="641"/>
      <c r="E15" s="641"/>
    </row>
    <row r="16" spans="1:5" ht="25.5" customHeight="1">
      <c r="A16" s="639">
        <v>1</v>
      </c>
      <c r="B16" s="640" t="s">
        <v>81</v>
      </c>
      <c r="C16" s="641">
        <v>213708355</v>
      </c>
      <c r="D16" s="641">
        <v>237933157</v>
      </c>
      <c r="E16" s="641">
        <v>250646571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192</v>
      </c>
      <c r="B18" s="642" t="s">
        <v>82</v>
      </c>
      <c r="C18" s="643"/>
      <c r="D18" s="643"/>
      <c r="E18" s="641"/>
    </row>
    <row r="19" spans="1:5" ht="25.5" customHeight="1">
      <c r="A19" s="639">
        <v>1</v>
      </c>
      <c r="B19" s="640" t="s">
        <v>528</v>
      </c>
      <c r="C19" s="644">
        <v>50286</v>
      </c>
      <c r="D19" s="644">
        <v>50512</v>
      </c>
      <c r="E19" s="644">
        <v>50032</v>
      </c>
    </row>
    <row r="20" spans="1:5" ht="25.5" customHeight="1">
      <c r="A20" s="639">
        <v>2</v>
      </c>
      <c r="B20" s="640" t="s">
        <v>529</v>
      </c>
      <c r="C20" s="645">
        <v>12076</v>
      </c>
      <c r="D20" s="645">
        <v>11940</v>
      </c>
      <c r="E20" s="645">
        <v>11885</v>
      </c>
    </row>
    <row r="21" spans="1:5" ht="25.5" customHeight="1">
      <c r="A21" s="639">
        <v>3</v>
      </c>
      <c r="B21" s="640" t="s">
        <v>83</v>
      </c>
      <c r="C21" s="646">
        <f>IF(C20=0,0,+C19/C20)</f>
        <v>4.164127194435244</v>
      </c>
      <c r="D21" s="646">
        <f>IF(D20=0,0,+D19/D20)</f>
        <v>4.2304857621440535</v>
      </c>
      <c r="E21" s="646">
        <f>IF(E20=0,0,+E19/E20)</f>
        <v>4.209676062263357</v>
      </c>
    </row>
    <row r="22" spans="1:5" ht="25.5" customHeight="1">
      <c r="A22" s="639">
        <v>4</v>
      </c>
      <c r="B22" s="640" t="s">
        <v>84</v>
      </c>
      <c r="C22" s="645">
        <f>IF(C10=0,0,C19*(C12/C10))</f>
        <v>113557.14216971218</v>
      </c>
      <c r="D22" s="645">
        <f>IF(D10=0,0,D19*(D12/D10))</f>
        <v>119813.66168397438</v>
      </c>
      <c r="E22" s="645">
        <f>IF(E10=0,0,E19*(E12/E10))</f>
        <v>124195.55778694956</v>
      </c>
    </row>
    <row r="23" spans="1:5" ht="25.5" customHeight="1">
      <c r="A23" s="639">
        <v>0</v>
      </c>
      <c r="B23" s="640" t="s">
        <v>85</v>
      </c>
      <c r="C23" s="645">
        <f>IF(C10=0,0,C20*(C12/C10))</f>
        <v>27270.33466255905</v>
      </c>
      <c r="D23" s="645">
        <f>IF(D10=0,0,D20*(D12/D10))</f>
        <v>28321.490348959735</v>
      </c>
      <c r="E23" s="645">
        <f>IF(E10=0,0,E20*(E12/E10))</f>
        <v>29502.40254832698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477</v>
      </c>
      <c r="B25" s="642" t="s">
        <v>86</v>
      </c>
      <c r="C25" s="645"/>
      <c r="D25" s="645"/>
      <c r="E25" s="645"/>
    </row>
    <row r="26" spans="1:5" ht="25.5" customHeight="1">
      <c r="A26" s="639">
        <v>1</v>
      </c>
      <c r="B26" s="640" t="s">
        <v>578</v>
      </c>
      <c r="C26" s="647">
        <v>1.168107618416694</v>
      </c>
      <c r="D26" s="647">
        <v>1.325031675041876</v>
      </c>
      <c r="E26" s="647">
        <v>1.3048161295750944</v>
      </c>
    </row>
    <row r="27" spans="1:5" ht="25.5" customHeight="1">
      <c r="A27" s="639">
        <v>2</v>
      </c>
      <c r="B27" s="640" t="s">
        <v>87</v>
      </c>
      <c r="C27" s="645">
        <f>C19*C26</f>
        <v>58739.45969970188</v>
      </c>
      <c r="D27" s="645">
        <f>D19*D26</f>
        <v>66929.99996971524</v>
      </c>
      <c r="E27" s="645">
        <f>E19*E26</f>
        <v>65282.56059490112</v>
      </c>
    </row>
    <row r="28" spans="1:5" ht="25.5" customHeight="1">
      <c r="A28" s="639">
        <v>3</v>
      </c>
      <c r="B28" s="640" t="s">
        <v>88</v>
      </c>
      <c r="C28" s="645">
        <f>C20*C26</f>
        <v>14106.067599999998</v>
      </c>
      <c r="D28" s="645">
        <f>D20*D26</f>
        <v>15820.8782</v>
      </c>
      <c r="E28" s="645">
        <f>E20*E26</f>
        <v>15507.739699999996</v>
      </c>
    </row>
    <row r="29" spans="1:5" ht="25.5" customHeight="1">
      <c r="A29" s="639">
        <v>4</v>
      </c>
      <c r="B29" s="640" t="s">
        <v>89</v>
      </c>
      <c r="C29" s="645">
        <f>C22*C26</f>
        <v>132646.96289406845</v>
      </c>
      <c r="D29" s="645">
        <f>D22*D26</f>
        <v>158756.8968340172</v>
      </c>
      <c r="E29" s="645">
        <f>E22*E26</f>
        <v>162052.3670219875</v>
      </c>
    </row>
    <row r="30" spans="1:5" ht="25.5" customHeight="1">
      <c r="A30" s="639">
        <v>5</v>
      </c>
      <c r="B30" s="640" t="s">
        <v>90</v>
      </c>
      <c r="C30" s="645">
        <f>C23*C26</f>
        <v>31854.68567610807</v>
      </c>
      <c r="D30" s="645">
        <f>D23*D26</f>
        <v>37526.87179676444</v>
      </c>
      <c r="E30" s="645">
        <f>E23*E26</f>
        <v>38495.21070627441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498</v>
      </c>
      <c r="B32" s="634" t="s">
        <v>91</v>
      </c>
      <c r="C32" s="648"/>
      <c r="D32" s="648"/>
      <c r="E32" s="645"/>
    </row>
    <row r="33" spans="1:5" ht="25.5" customHeight="1">
      <c r="A33" s="639">
        <v>1</v>
      </c>
      <c r="B33" s="640" t="s">
        <v>92</v>
      </c>
      <c r="C33" s="641">
        <f>IF(C19=0,0,C12/C19)</f>
        <v>8763.702004534065</v>
      </c>
      <c r="D33" s="641">
        <f>IF(D19=0,0,D12/D19)</f>
        <v>10142.428690212228</v>
      </c>
      <c r="E33" s="641">
        <f>IF(E19=0,0,E12/E19)</f>
        <v>11205.649464342821</v>
      </c>
    </row>
    <row r="34" spans="1:5" ht="25.5" customHeight="1">
      <c r="A34" s="639">
        <v>2</v>
      </c>
      <c r="B34" s="640" t="s">
        <v>93</v>
      </c>
      <c r="C34" s="641">
        <f>IF(C20=0,0,C12/C20)</f>
        <v>36493.16984100696</v>
      </c>
      <c r="D34" s="641">
        <f>IF(D20=0,0,D12/D20)</f>
        <v>42907.40016750419</v>
      </c>
      <c r="E34" s="641">
        <f>IF(E20=0,0,E12/E20)</f>
        <v>47172.154312158185</v>
      </c>
    </row>
    <row r="35" spans="1:5" ht="25.5" customHeight="1">
      <c r="A35" s="639">
        <v>3</v>
      </c>
      <c r="B35" s="640" t="s">
        <v>94</v>
      </c>
      <c r="C35" s="641">
        <f>IF(C22=0,0,C12/C22)</f>
        <v>3880.790856301953</v>
      </c>
      <c r="D35" s="641">
        <f>IF(D22=0,0,D12/D22)</f>
        <v>4275.9260571745335</v>
      </c>
      <c r="E35" s="641">
        <f>IF(E22=0,0,E12/E22)</f>
        <v>4514.179605052766</v>
      </c>
    </row>
    <row r="36" spans="1:5" ht="25.5" customHeight="1">
      <c r="A36" s="639">
        <v>4</v>
      </c>
      <c r="B36" s="640" t="s">
        <v>95</v>
      </c>
      <c r="C36" s="641">
        <f>IF(C23=0,0,C12/C23)</f>
        <v>16160.1067406426</v>
      </c>
      <c r="D36" s="641">
        <f>IF(D23=0,0,D12/D23)</f>
        <v>18089.244304857624</v>
      </c>
      <c r="E36" s="641">
        <f>IF(E23=0,0,E12/E23)</f>
        <v>19003.233824148087</v>
      </c>
    </row>
    <row r="37" spans="1:5" ht="25.5" customHeight="1">
      <c r="A37" s="639">
        <v>5</v>
      </c>
      <c r="B37" s="640" t="s">
        <v>96</v>
      </c>
      <c r="C37" s="641">
        <f>IF(C29=0,0,C12/C29)</f>
        <v>3322.288798665788</v>
      </c>
      <c r="D37" s="641">
        <f>IF(D29=0,0,D12/D29)</f>
        <v>3227.0368608655317</v>
      </c>
      <c r="E37" s="641">
        <f>IF(E29=0,0,E12/E29)</f>
        <v>3459.6289107207635</v>
      </c>
    </row>
    <row r="38" spans="1:5" ht="25.5" customHeight="1">
      <c r="A38" s="639">
        <v>6</v>
      </c>
      <c r="B38" s="640" t="s">
        <v>97</v>
      </c>
      <c r="C38" s="641">
        <f>IF(C30=0,0,C12/C30)</f>
        <v>13834.433134291803</v>
      </c>
      <c r="D38" s="641">
        <f>IF(D30=0,0,D12/D30)</f>
        <v>13651.933493805675</v>
      </c>
      <c r="E38" s="641">
        <f>IF(E30=0,0,E12/E30)</f>
        <v>14563.917009775452</v>
      </c>
    </row>
    <row r="39" spans="1:5" ht="25.5" customHeight="1">
      <c r="A39" s="639">
        <v>7</v>
      </c>
      <c r="B39" s="640" t="s">
        <v>98</v>
      </c>
      <c r="C39" s="641">
        <f>IF(C22=0,0,C10/C22)</f>
        <v>1718.5132108057753</v>
      </c>
      <c r="D39" s="641">
        <f>IF(D22=0,0,D10/D22)</f>
        <v>1802.679043143617</v>
      </c>
      <c r="E39" s="641">
        <f>IF(E22=0,0,E10/E22)</f>
        <v>1818.530694853344</v>
      </c>
    </row>
    <row r="40" spans="1:5" ht="25.5" customHeight="1">
      <c r="A40" s="639">
        <v>8</v>
      </c>
      <c r="B40" s="640" t="s">
        <v>99</v>
      </c>
      <c r="C40" s="641">
        <f>IF(C23=0,0,C10/C23)</f>
        <v>7156.107595112556</v>
      </c>
      <c r="D40" s="641">
        <f>IF(D23=0,0,D10/D23)</f>
        <v>7626.208025734539</v>
      </c>
      <c r="E40" s="641">
        <f>IF(E23=0,0,E10/E23)</f>
        <v>7655.425134615271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510</v>
      </c>
      <c r="B42" s="634" t="s">
        <v>100</v>
      </c>
      <c r="C42" s="641"/>
      <c r="D42" s="641"/>
      <c r="E42" s="641"/>
    </row>
    <row r="43" spans="1:5" ht="25.5" customHeight="1">
      <c r="A43" s="639">
        <v>1</v>
      </c>
      <c r="B43" s="640" t="s">
        <v>101</v>
      </c>
      <c r="C43" s="641">
        <f>IF(C19=0,0,C13/C19)</f>
        <v>4333.081493855148</v>
      </c>
      <c r="D43" s="641">
        <f>IF(D19=0,0,D13/D19)</f>
        <v>4793.550582039911</v>
      </c>
      <c r="E43" s="641">
        <f>IF(E19=0,0,E13/E19)</f>
        <v>5189.723996642149</v>
      </c>
    </row>
    <row r="44" spans="1:5" ht="25.5" customHeight="1">
      <c r="A44" s="639">
        <v>2</v>
      </c>
      <c r="B44" s="640" t="s">
        <v>102</v>
      </c>
      <c r="C44" s="641">
        <f>IF(C20=0,0,C13/C20)</f>
        <v>18043.502484266315</v>
      </c>
      <c r="D44" s="641">
        <f>IF(D20=0,0,D13/D20)</f>
        <v>20279.047487437187</v>
      </c>
      <c r="E44" s="641">
        <f>IF(E20=0,0,E13/E20)</f>
        <v>21847.056878418174</v>
      </c>
    </row>
    <row r="45" spans="1:5" ht="25.5" customHeight="1">
      <c r="A45" s="639">
        <v>3</v>
      </c>
      <c r="B45" s="640" t="s">
        <v>103</v>
      </c>
      <c r="C45" s="641">
        <f>IF(C22=0,0,C13/C22)</f>
        <v>1918.799045456396</v>
      </c>
      <c r="D45" s="641">
        <f>IF(D22=0,0,D13/D22)</f>
        <v>2020.9033226833283</v>
      </c>
      <c r="E45" s="641">
        <f>IF(E22=0,0,E13/E22)</f>
        <v>2090.672771448225</v>
      </c>
    </row>
    <row r="46" spans="1:5" ht="25.5" customHeight="1">
      <c r="A46" s="639">
        <v>4</v>
      </c>
      <c r="B46" s="640" t="s">
        <v>104</v>
      </c>
      <c r="C46" s="641">
        <f>IF(C23=0,0,C13/C23)</f>
        <v>7990.123285841366</v>
      </c>
      <c r="D46" s="641">
        <f>IF(D23=0,0,D13/D23)</f>
        <v>8549.40273328143</v>
      </c>
      <c r="E46" s="641">
        <f>IF(E23=0,0,E13/E23)</f>
        <v>8801.055119991383</v>
      </c>
    </row>
    <row r="47" spans="1:5" ht="25.5" customHeight="1">
      <c r="A47" s="639">
        <v>5</v>
      </c>
      <c r="B47" s="640" t="s">
        <v>105</v>
      </c>
      <c r="C47" s="641">
        <f>IF(C29=0,0,C13/C29)</f>
        <v>1642.6560491551481</v>
      </c>
      <c r="D47" s="641">
        <f>IF(D29=0,0,D13/D29)</f>
        <v>1525.1735945251723</v>
      </c>
      <c r="E47" s="641">
        <f>IF(E29=0,0,E13/E29)</f>
        <v>1602.27385610955</v>
      </c>
    </row>
    <row r="48" spans="1:5" ht="25.5" customHeight="1">
      <c r="A48" s="639">
        <v>6</v>
      </c>
      <c r="B48" s="640" t="s">
        <v>106</v>
      </c>
      <c r="C48" s="641">
        <f>IF(C30=0,0,C13/C30)</f>
        <v>6840.228725390509</v>
      </c>
      <c r="D48" s="641">
        <f>IF(D30=0,0,D13/D30)</f>
        <v>6452.22517643681</v>
      </c>
      <c r="E48" s="641">
        <f>IF(E30=0,0,E13/E30)</f>
        <v>6745.0538972547765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522</v>
      </c>
      <c r="B50" s="634" t="s">
        <v>107</v>
      </c>
      <c r="C50" s="648"/>
      <c r="D50" s="648"/>
      <c r="E50" s="641"/>
    </row>
    <row r="51" spans="1:5" ht="25.5" customHeight="1">
      <c r="A51" s="639">
        <v>1</v>
      </c>
      <c r="B51" s="640" t="s">
        <v>108</v>
      </c>
      <c r="C51" s="641">
        <f>IF(C19=0,0,C16/C19)</f>
        <v>4249.857912739132</v>
      </c>
      <c r="D51" s="641">
        <f>IF(D19=0,0,D16/D19)</f>
        <v>4710.428353658536</v>
      </c>
      <c r="E51" s="641">
        <f>IF(E19=0,0,E16/E19)</f>
        <v>5009.72519587464</v>
      </c>
    </row>
    <row r="52" spans="1:5" ht="25.5" customHeight="1">
      <c r="A52" s="639">
        <v>2</v>
      </c>
      <c r="B52" s="640" t="s">
        <v>109</v>
      </c>
      <c r="C52" s="641">
        <f>IF(C20=0,0,C16/C20)</f>
        <v>17696.948906922822</v>
      </c>
      <c r="D52" s="641">
        <f>IF(D20=0,0,D16/D20)</f>
        <v>19927.400083752094</v>
      </c>
      <c r="E52" s="641">
        <f>IF(E20=0,0,E16/E20)</f>
        <v>21089.32023559108</v>
      </c>
    </row>
    <row r="53" spans="1:5" ht="25.5" customHeight="1">
      <c r="A53" s="639">
        <v>3</v>
      </c>
      <c r="B53" s="640" t="s">
        <v>110</v>
      </c>
      <c r="C53" s="641">
        <f>IF(C22=0,0,C16/C22)</f>
        <v>1881.9455202616045</v>
      </c>
      <c r="D53" s="641">
        <f>IF(D22=0,0,D16/D22)</f>
        <v>1985.85999005341</v>
      </c>
      <c r="E53" s="641">
        <f>IF(E22=0,0,E16/E22)</f>
        <v>2018.160516094867</v>
      </c>
    </row>
    <row r="54" spans="1:5" ht="25.5" customHeight="1">
      <c r="A54" s="639">
        <v>4</v>
      </c>
      <c r="B54" s="640" t="s">
        <v>111</v>
      </c>
      <c r="C54" s="641">
        <f>IF(C23=0,0,C16/C23)</f>
        <v>7836.66051936693</v>
      </c>
      <c r="D54" s="641">
        <f>IF(D23=0,0,D16/D23)</f>
        <v>8401.152413532483</v>
      </c>
      <c r="E54" s="641">
        <f>IF(E23=0,0,E16/E23)</f>
        <v>8495.802014409624</v>
      </c>
    </row>
    <row r="55" spans="1:5" ht="25.5" customHeight="1">
      <c r="A55" s="639">
        <v>5</v>
      </c>
      <c r="B55" s="640" t="s">
        <v>112</v>
      </c>
      <c r="C55" s="641">
        <f>IF(C29=0,0,C16/C29)</f>
        <v>1611.106280440563</v>
      </c>
      <c r="D55" s="641">
        <f>IF(D29=0,0,D16/D29)</f>
        <v>1498.726428551717</v>
      </c>
      <c r="E55" s="641">
        <f>IF(E29=0,0,E16/E29)</f>
        <v>1546.7010794479288</v>
      </c>
    </row>
    <row r="56" spans="1:5" ht="25.5" customHeight="1">
      <c r="A56" s="639">
        <v>6</v>
      </c>
      <c r="B56" s="640" t="s">
        <v>113</v>
      </c>
      <c r="C56" s="641">
        <f>IF(C30=0,0,C16/C30)</f>
        <v>6708.851475507963</v>
      </c>
      <c r="D56" s="641">
        <f>IF(D30=0,0,D16/D30)</f>
        <v>6340.340817337046</v>
      </c>
      <c r="E56" s="641">
        <f>IF(E30=0,0,E16/E30)</f>
        <v>6511.110509628841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526</v>
      </c>
      <c r="B58" s="642" t="s">
        <v>114</v>
      </c>
      <c r="C58" s="641"/>
      <c r="D58" s="641"/>
      <c r="E58" s="641"/>
    </row>
    <row r="59" spans="1:5" ht="25.5" customHeight="1">
      <c r="A59" s="639">
        <v>1</v>
      </c>
      <c r="B59" s="640" t="s">
        <v>115</v>
      </c>
      <c r="C59" s="649">
        <v>33363309</v>
      </c>
      <c r="D59" s="649">
        <v>38205041</v>
      </c>
      <c r="E59" s="649">
        <v>39916076</v>
      </c>
    </row>
    <row r="60" spans="1:5" ht="25.5" customHeight="1">
      <c r="A60" s="639">
        <v>2</v>
      </c>
      <c r="B60" s="640" t="s">
        <v>116</v>
      </c>
      <c r="C60" s="649">
        <v>6972442</v>
      </c>
      <c r="D60" s="649">
        <v>7115330</v>
      </c>
      <c r="E60" s="649">
        <v>7644307</v>
      </c>
    </row>
    <row r="61" spans="1:5" ht="25.5" customHeight="1">
      <c r="A61" s="650">
        <v>3</v>
      </c>
      <c r="B61" s="651" t="s">
        <v>117</v>
      </c>
      <c r="C61" s="652">
        <f>C59+C60</f>
        <v>40335751</v>
      </c>
      <c r="D61" s="652">
        <f>D59+D60</f>
        <v>45320371</v>
      </c>
      <c r="E61" s="652">
        <f>E59+E60</f>
        <v>47560383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168</v>
      </c>
      <c r="B63" s="642" t="s">
        <v>118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119</v>
      </c>
      <c r="C64" s="641">
        <v>7856994</v>
      </c>
      <c r="D64" s="641">
        <v>9040475</v>
      </c>
      <c r="E64" s="649">
        <v>9282412</v>
      </c>
      <c r="F64" s="653"/>
    </row>
    <row r="65" spans="1:6" ht="25.5" customHeight="1">
      <c r="A65" s="639">
        <v>2</v>
      </c>
      <c r="B65" s="640" t="s">
        <v>120</v>
      </c>
      <c r="C65" s="649">
        <v>1798580</v>
      </c>
      <c r="D65" s="649">
        <v>1767737</v>
      </c>
      <c r="E65" s="649">
        <v>1600541</v>
      </c>
      <c r="F65" s="653"/>
    </row>
    <row r="66" spans="1:6" ht="25.5" customHeight="1">
      <c r="A66" s="650">
        <v>3</v>
      </c>
      <c r="B66" s="651" t="s">
        <v>121</v>
      </c>
      <c r="C66" s="654">
        <f>C64+C65</f>
        <v>9655574</v>
      </c>
      <c r="D66" s="654">
        <f>D64+D65</f>
        <v>10808212</v>
      </c>
      <c r="E66" s="654">
        <f>E64+E65</f>
        <v>10882953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552</v>
      </c>
      <c r="B68" s="642" t="s">
        <v>122</v>
      </c>
      <c r="C68" s="649"/>
      <c r="D68" s="649"/>
      <c r="E68" s="649"/>
    </row>
    <row r="69" spans="1:5" ht="25.5" customHeight="1">
      <c r="A69" s="639">
        <v>1</v>
      </c>
      <c r="B69" s="640" t="s">
        <v>123</v>
      </c>
      <c r="C69" s="649">
        <v>46220760</v>
      </c>
      <c r="D69" s="649">
        <v>52710981</v>
      </c>
      <c r="E69" s="649">
        <v>60399069</v>
      </c>
    </row>
    <row r="70" spans="1:5" ht="25.5" customHeight="1">
      <c r="A70" s="639">
        <v>2</v>
      </c>
      <c r="B70" s="640" t="s">
        <v>124</v>
      </c>
      <c r="C70" s="649">
        <v>15303731</v>
      </c>
      <c r="D70" s="649">
        <v>14812729</v>
      </c>
      <c r="E70" s="649">
        <v>18181054</v>
      </c>
    </row>
    <row r="71" spans="1:5" ht="25.5" customHeight="1">
      <c r="A71" s="650">
        <v>3</v>
      </c>
      <c r="B71" s="651" t="s">
        <v>125</v>
      </c>
      <c r="C71" s="652">
        <f>C69+C70</f>
        <v>61524491</v>
      </c>
      <c r="D71" s="652">
        <f>D69+D70</f>
        <v>67523710</v>
      </c>
      <c r="E71" s="652">
        <f>E69+E70</f>
        <v>78580123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568</v>
      </c>
      <c r="B74" s="642" t="s">
        <v>126</v>
      </c>
      <c r="C74" s="641"/>
      <c r="D74" s="641"/>
      <c r="E74" s="641"/>
    </row>
    <row r="75" spans="1:5" ht="25.5" customHeight="1">
      <c r="A75" s="639">
        <v>1</v>
      </c>
      <c r="B75" s="640" t="s">
        <v>127</v>
      </c>
      <c r="C75" s="641">
        <f aca="true" t="shared" si="0" ref="C75:E76">+C59+C64+C69</f>
        <v>87441063</v>
      </c>
      <c r="D75" s="641">
        <f t="shared" si="0"/>
        <v>99956497</v>
      </c>
      <c r="E75" s="641">
        <f t="shared" si="0"/>
        <v>109597557</v>
      </c>
    </row>
    <row r="76" spans="1:5" ht="25.5" customHeight="1">
      <c r="A76" s="639">
        <v>2</v>
      </c>
      <c r="B76" s="640" t="s">
        <v>128</v>
      </c>
      <c r="C76" s="641">
        <f t="shared" si="0"/>
        <v>24074753</v>
      </c>
      <c r="D76" s="641">
        <f t="shared" si="0"/>
        <v>23695796</v>
      </c>
      <c r="E76" s="641">
        <f t="shared" si="0"/>
        <v>27425902</v>
      </c>
    </row>
    <row r="77" spans="1:5" ht="25.5" customHeight="1">
      <c r="A77" s="650">
        <v>3</v>
      </c>
      <c r="B77" s="651" t="s">
        <v>126</v>
      </c>
      <c r="C77" s="654">
        <f>C75+C76</f>
        <v>111515816</v>
      </c>
      <c r="D77" s="654">
        <f>D75+D76</f>
        <v>123652293</v>
      </c>
      <c r="E77" s="654">
        <f>E75+E76</f>
        <v>137023459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577</v>
      </c>
      <c r="B79" s="642" t="s">
        <v>129</v>
      </c>
      <c r="C79" s="649"/>
      <c r="D79" s="649"/>
      <c r="E79" s="649"/>
    </row>
    <row r="80" spans="1:5" ht="25.5" customHeight="1">
      <c r="A80" s="639">
        <v>1</v>
      </c>
      <c r="B80" s="640" t="s">
        <v>734</v>
      </c>
      <c r="C80" s="646">
        <v>436.8</v>
      </c>
      <c r="D80" s="646">
        <v>474.3</v>
      </c>
      <c r="E80" s="646">
        <v>462.2</v>
      </c>
    </row>
    <row r="81" spans="1:5" ht="25.5" customHeight="1">
      <c r="A81" s="639">
        <v>2</v>
      </c>
      <c r="B81" s="640" t="s">
        <v>735</v>
      </c>
      <c r="C81" s="646">
        <v>35.9</v>
      </c>
      <c r="D81" s="646">
        <v>41.5</v>
      </c>
      <c r="E81" s="646">
        <v>34.2</v>
      </c>
    </row>
    <row r="82" spans="1:5" ht="25.5" customHeight="1">
      <c r="A82" s="639">
        <v>3</v>
      </c>
      <c r="B82" s="640" t="s">
        <v>130</v>
      </c>
      <c r="C82" s="646">
        <v>957.1</v>
      </c>
      <c r="D82" s="646">
        <v>987.4</v>
      </c>
      <c r="E82" s="646">
        <v>1087.1</v>
      </c>
    </row>
    <row r="83" spans="1:5" ht="25.5" customHeight="1">
      <c r="A83" s="650">
        <v>4</v>
      </c>
      <c r="B83" s="651" t="s">
        <v>129</v>
      </c>
      <c r="C83" s="656">
        <f>C80+C81+C82</f>
        <v>1429.8</v>
      </c>
      <c r="D83" s="656">
        <f>D80+D81+D82</f>
        <v>1503.1999999999998</v>
      </c>
      <c r="E83" s="656">
        <f>E80+E81+E82</f>
        <v>1583.5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580</v>
      </c>
      <c r="B85" s="642" t="s">
        <v>131</v>
      </c>
      <c r="C85" s="657"/>
      <c r="D85" s="657"/>
      <c r="E85" s="657"/>
    </row>
    <row r="86" spans="1:5" ht="25.5" customHeight="1">
      <c r="A86" s="639">
        <v>1</v>
      </c>
      <c r="B86" s="640" t="s">
        <v>132</v>
      </c>
      <c r="C86" s="649">
        <f>IF(C80=0,0,C59/C80)</f>
        <v>76381.20192307692</v>
      </c>
      <c r="D86" s="649">
        <f>IF(D80=0,0,D59/D80)</f>
        <v>80550.37107316045</v>
      </c>
      <c r="E86" s="649">
        <f>IF(E80=0,0,E59/E80)</f>
        <v>86361.04716572912</v>
      </c>
    </row>
    <row r="87" spans="1:5" ht="25.5" customHeight="1">
      <c r="A87" s="639">
        <v>2</v>
      </c>
      <c r="B87" s="640" t="s">
        <v>133</v>
      </c>
      <c r="C87" s="649">
        <f>IF(C80=0,0,C60/C80)</f>
        <v>15962.550366300366</v>
      </c>
      <c r="D87" s="649">
        <f>IF(D80=0,0,D60/D80)</f>
        <v>15001.749947290744</v>
      </c>
      <c r="E87" s="649">
        <f>IF(E80=0,0,E60/E80)</f>
        <v>16538.959324967545</v>
      </c>
    </row>
    <row r="88" spans="1:5" ht="25.5" customHeight="1">
      <c r="A88" s="650">
        <v>3</v>
      </c>
      <c r="B88" s="651" t="s">
        <v>134</v>
      </c>
      <c r="C88" s="652">
        <f>+C86+C87</f>
        <v>92343.75228937728</v>
      </c>
      <c r="D88" s="652">
        <f>+D86+D87</f>
        <v>95552.12102045119</v>
      </c>
      <c r="E88" s="652">
        <f>+E86+E87</f>
        <v>102900.00649069666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732</v>
      </c>
      <c r="B90" s="642" t="s">
        <v>135</v>
      </c>
    </row>
    <row r="91" spans="1:5" ht="25.5" customHeight="1">
      <c r="A91" s="639">
        <v>1</v>
      </c>
      <c r="B91" s="640" t="s">
        <v>136</v>
      </c>
      <c r="C91" s="641">
        <f>IF(C81=0,0,C64/C81)</f>
        <v>218857.77158774374</v>
      </c>
      <c r="D91" s="641">
        <f>IF(D81=0,0,D64/D81)</f>
        <v>217842.77108433735</v>
      </c>
      <c r="E91" s="641">
        <f>IF(E81=0,0,E64/E81)</f>
        <v>271415.55555555556</v>
      </c>
    </row>
    <row r="92" spans="1:5" ht="25.5" customHeight="1">
      <c r="A92" s="639">
        <v>2</v>
      </c>
      <c r="B92" s="640" t="s">
        <v>137</v>
      </c>
      <c r="C92" s="641">
        <f>IF(C81=0,0,C65/C81)</f>
        <v>50099.72144846797</v>
      </c>
      <c r="D92" s="641">
        <f>IF(D81=0,0,D65/D81)</f>
        <v>42596.072289156626</v>
      </c>
      <c r="E92" s="641">
        <f>IF(E81=0,0,E65/E81)</f>
        <v>46799.44444444444</v>
      </c>
    </row>
    <row r="93" spans="1:5" ht="25.5" customHeight="1">
      <c r="A93" s="650">
        <v>3</v>
      </c>
      <c r="B93" s="651" t="s">
        <v>138</v>
      </c>
      <c r="C93" s="654">
        <f>+C91+C92</f>
        <v>268957.4930362117</v>
      </c>
      <c r="D93" s="654">
        <f>+D91+D92</f>
        <v>260438.843373494</v>
      </c>
      <c r="E93" s="654">
        <f>+E91+E92</f>
        <v>318215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139</v>
      </c>
      <c r="B95" s="642" t="s">
        <v>140</v>
      </c>
      <c r="C95" s="649"/>
      <c r="D95" s="649"/>
      <c r="E95" s="649"/>
    </row>
    <row r="96" spans="1:5" ht="25.5" customHeight="1">
      <c r="A96" s="639">
        <v>1</v>
      </c>
      <c r="B96" s="640" t="s">
        <v>141</v>
      </c>
      <c r="C96" s="649">
        <f>IF(C82=0,0,C69/C82)</f>
        <v>48292.50861978895</v>
      </c>
      <c r="D96" s="649">
        <f>IF(D82=0,0,D69/D82)</f>
        <v>53383.61454324489</v>
      </c>
      <c r="E96" s="649">
        <f>IF(E82=0,0,E69/E82)</f>
        <v>55559.80958513477</v>
      </c>
    </row>
    <row r="97" spans="1:5" ht="25.5" customHeight="1">
      <c r="A97" s="639">
        <v>2</v>
      </c>
      <c r="B97" s="640" t="s">
        <v>142</v>
      </c>
      <c r="C97" s="649">
        <f>IF(C82=0,0,C70/C82)</f>
        <v>15989.688642775049</v>
      </c>
      <c r="D97" s="649">
        <f>IF(D82=0,0,D70/D82)</f>
        <v>15001.751063398826</v>
      </c>
      <c r="E97" s="649">
        <f>IF(E82=0,0,E70/E82)</f>
        <v>16724.362064207526</v>
      </c>
    </row>
    <row r="98" spans="1:5" ht="25.5" customHeight="1">
      <c r="A98" s="650">
        <v>3</v>
      </c>
      <c r="B98" s="651" t="s">
        <v>143</v>
      </c>
      <c r="C98" s="654">
        <f>+C96+C97</f>
        <v>64282.197262564</v>
      </c>
      <c r="D98" s="654">
        <f>+D96+D97</f>
        <v>68385.36560664371</v>
      </c>
      <c r="E98" s="654">
        <f>+E96+E97</f>
        <v>72284.17164934229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144</v>
      </c>
      <c r="B100" s="642" t="s">
        <v>145</v>
      </c>
    </row>
    <row r="101" spans="1:5" ht="25.5" customHeight="1">
      <c r="A101" s="639">
        <v>1</v>
      </c>
      <c r="B101" s="640" t="s">
        <v>146</v>
      </c>
      <c r="C101" s="641">
        <f>IF(C83=0,0,C75/C83)</f>
        <v>61156.1498111624</v>
      </c>
      <c r="D101" s="641">
        <f>IF(D83=0,0,D75/D83)</f>
        <v>66495.80694518362</v>
      </c>
      <c r="E101" s="641">
        <f>IF(E83=0,0,E75/E83)</f>
        <v>69212.22418692769</v>
      </c>
    </row>
    <row r="102" spans="1:5" ht="25.5" customHeight="1">
      <c r="A102" s="639">
        <v>2</v>
      </c>
      <c r="B102" s="640" t="s">
        <v>147</v>
      </c>
      <c r="C102" s="658">
        <f>IF(C83=0,0,C76/C83)</f>
        <v>16837.84655196531</v>
      </c>
      <c r="D102" s="658">
        <f>IF(D83=0,0,D76/D83)</f>
        <v>15763.56838744013</v>
      </c>
      <c r="E102" s="658">
        <f>IF(E83=0,0,E76/E83)</f>
        <v>17319.799179033787</v>
      </c>
    </row>
    <row r="103" spans="1:5" ht="25.5" customHeight="1">
      <c r="A103" s="650">
        <v>3</v>
      </c>
      <c r="B103" s="651" t="s">
        <v>145</v>
      </c>
      <c r="C103" s="654">
        <f>+C101+C102</f>
        <v>77993.99636312772</v>
      </c>
      <c r="D103" s="654">
        <f>+D101+D102</f>
        <v>82259.37533262375</v>
      </c>
      <c r="E103" s="654">
        <f>+E101+E102</f>
        <v>86532.02336596148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148</v>
      </c>
      <c r="B107" s="634" t="s">
        <v>149</v>
      </c>
      <c r="C107" s="659"/>
      <c r="D107" s="659"/>
      <c r="E107" s="641"/>
    </row>
    <row r="108" spans="1:5" ht="25.5" customHeight="1">
      <c r="A108" s="639">
        <v>1</v>
      </c>
      <c r="B108" s="640" t="s">
        <v>150</v>
      </c>
      <c r="C108" s="641">
        <f>IF(C19=0,0,C77/C19)</f>
        <v>2217.6314680030227</v>
      </c>
      <c r="D108" s="641">
        <f>IF(D19=0,0,D77/D19)</f>
        <v>2447.978559550206</v>
      </c>
      <c r="E108" s="641">
        <f>IF(E19=0,0,E77/E19)</f>
        <v>2738.716401503038</v>
      </c>
    </row>
    <row r="109" spans="1:5" ht="25.5" customHeight="1">
      <c r="A109" s="639">
        <v>2</v>
      </c>
      <c r="B109" s="640" t="s">
        <v>151</v>
      </c>
      <c r="C109" s="641">
        <f>IF(C20=0,0,C77/C20)</f>
        <v>9234.499503146737</v>
      </c>
      <c r="D109" s="641">
        <f>IF(D20=0,0,D77/D20)</f>
        <v>10356.138442211055</v>
      </c>
      <c r="E109" s="641">
        <f>IF(E20=0,0,E77/E20)</f>
        <v>11529.108876735381</v>
      </c>
    </row>
    <row r="110" spans="1:5" ht="25.5" customHeight="1">
      <c r="A110" s="639">
        <v>3</v>
      </c>
      <c r="B110" s="640" t="s">
        <v>152</v>
      </c>
      <c r="C110" s="641">
        <f>IF(C22=0,0,C77/C22)</f>
        <v>982.0237976166976</v>
      </c>
      <c r="D110" s="641">
        <f>IF(D22=0,0,D77/D22)</f>
        <v>1032.0383440592154</v>
      </c>
      <c r="E110" s="641">
        <f>IF(E22=0,0,E77/E22)</f>
        <v>1103.2879230274561</v>
      </c>
    </row>
    <row r="111" spans="1:5" ht="25.5" customHeight="1">
      <c r="A111" s="639">
        <v>4</v>
      </c>
      <c r="B111" s="640" t="s">
        <v>153</v>
      </c>
      <c r="C111" s="641">
        <f>IF(C23=0,0,C77/C23)</f>
        <v>4089.2720012382624</v>
      </c>
      <c r="D111" s="641">
        <f>IF(D23=0,0,D77/D23)</f>
        <v>4366.023520529237</v>
      </c>
      <c r="E111" s="641">
        <f>IF(E23=0,0,E77/E23)</f>
        <v>4644.48475935294</v>
      </c>
    </row>
    <row r="112" spans="1:5" ht="25.5" customHeight="1">
      <c r="A112" s="639">
        <v>5</v>
      </c>
      <c r="B112" s="640" t="s">
        <v>154</v>
      </c>
      <c r="C112" s="641">
        <f>IF(C29=0,0,C77/C29)</f>
        <v>840.6963383628788</v>
      </c>
      <c r="D112" s="641">
        <f>IF(D29=0,0,D77/D29)</f>
        <v>778.8782438175293</v>
      </c>
      <c r="E112" s="641">
        <f>IF(E29=0,0,E77/E29)</f>
        <v>845.5504940659612</v>
      </c>
    </row>
    <row r="113" spans="1:5" ht="25.5" customHeight="1">
      <c r="A113" s="639">
        <v>6</v>
      </c>
      <c r="B113" s="640" t="s">
        <v>155</v>
      </c>
      <c r="C113" s="641">
        <f>IF(C30=0,0,C77/C30)</f>
        <v>3500.766484838997</v>
      </c>
      <c r="D113" s="641">
        <f>IF(D30=0,0,D77/D30)</f>
        <v>3295.0333209138225</v>
      </c>
      <c r="E113" s="641">
        <f>IF(E30=0,0,E77/E30)</f>
        <v>3559.493674304432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FILING&amp;R&amp;12WILLIAM W. BACKUS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156</v>
      </c>
      <c r="C1" s="57"/>
      <c r="D1" s="57"/>
      <c r="E1" s="57"/>
      <c r="F1" s="58"/>
    </row>
    <row r="2" spans="1:6" ht="22.5" customHeight="1">
      <c r="A2" s="57"/>
      <c r="B2" s="57" t="s">
        <v>157</v>
      </c>
      <c r="C2" s="57"/>
      <c r="D2" s="57"/>
      <c r="E2" s="57"/>
      <c r="F2" s="58"/>
    </row>
    <row r="3" spans="1:6" ht="22.5" customHeight="1">
      <c r="A3" s="57"/>
      <c r="B3" s="57" t="s">
        <v>158</v>
      </c>
      <c r="C3" s="57"/>
      <c r="D3" s="57"/>
      <c r="E3" s="57"/>
      <c r="F3" s="58"/>
    </row>
    <row r="4" spans="1:6" ht="22.5" customHeight="1">
      <c r="A4" s="57"/>
      <c r="B4" s="57" t="s">
        <v>225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160</v>
      </c>
      <c r="D6" s="10" t="s">
        <v>161</v>
      </c>
      <c r="E6" s="59" t="s">
        <v>162</v>
      </c>
      <c r="F6" s="59" t="s">
        <v>163</v>
      </c>
    </row>
    <row r="7" spans="1:8" ht="15.75" customHeight="1">
      <c r="A7" s="61" t="s">
        <v>164</v>
      </c>
      <c r="B7" s="62" t="s">
        <v>165</v>
      </c>
      <c r="C7" s="14" t="s">
        <v>166</v>
      </c>
      <c r="D7" s="14" t="s">
        <v>166</v>
      </c>
      <c r="E7" s="63" t="s">
        <v>167</v>
      </c>
      <c r="F7" s="63" t="s">
        <v>167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170</v>
      </c>
      <c r="B11" s="30" t="s">
        <v>226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227</v>
      </c>
      <c r="C12" s="51">
        <v>512314357</v>
      </c>
      <c r="D12" s="51">
        <v>560641054</v>
      </c>
      <c r="E12" s="51">
        <f aca="true" t="shared" si="0" ref="E12:E19">D12-C12</f>
        <v>48326697</v>
      </c>
      <c r="F12" s="70">
        <f aca="true" t="shared" si="1" ref="F12:F19">IF(C12=0,0,E12/C12)</f>
        <v>0.09433016338443156</v>
      </c>
    </row>
    <row r="13" spans="1:6" ht="22.5" customHeight="1">
      <c r="A13" s="25">
        <v>2</v>
      </c>
      <c r="B13" s="48" t="s">
        <v>228</v>
      </c>
      <c r="C13" s="51">
        <v>263580702</v>
      </c>
      <c r="D13" s="51">
        <v>294073379</v>
      </c>
      <c r="E13" s="51">
        <f t="shared" si="0"/>
        <v>30492677</v>
      </c>
      <c r="F13" s="70">
        <f t="shared" si="1"/>
        <v>0.1156863031649411</v>
      </c>
    </row>
    <row r="14" spans="1:6" ht="22.5" customHeight="1">
      <c r="A14" s="25">
        <v>3</v>
      </c>
      <c r="B14" s="48" t="s">
        <v>229</v>
      </c>
      <c r="C14" s="51">
        <v>6601828</v>
      </c>
      <c r="D14" s="51">
        <v>6915404</v>
      </c>
      <c r="E14" s="51">
        <f t="shared" si="0"/>
        <v>313576</v>
      </c>
      <c r="F14" s="70">
        <f t="shared" si="1"/>
        <v>0.047498359545265344</v>
      </c>
    </row>
    <row r="15" spans="1:7" ht="22.5" customHeight="1">
      <c r="A15" s="25">
        <v>4</v>
      </c>
      <c r="B15" s="48" t="s">
        <v>230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231</v>
      </c>
      <c r="C16" s="27">
        <f>C12-C13-C14-C15</f>
        <v>242131827</v>
      </c>
      <c r="D16" s="27">
        <f>D12-D13-D14-D15</f>
        <v>259652271</v>
      </c>
      <c r="E16" s="27">
        <f t="shared" si="0"/>
        <v>17520444</v>
      </c>
      <c r="F16" s="28">
        <f t="shared" si="1"/>
        <v>0.07235911204684381</v>
      </c>
    </row>
    <row r="17" spans="1:7" ht="22.5" customHeight="1">
      <c r="A17" s="25">
        <v>5</v>
      </c>
      <c r="B17" s="48" t="s">
        <v>232</v>
      </c>
      <c r="C17" s="51">
        <v>4421056</v>
      </c>
      <c r="D17" s="51">
        <v>3773294</v>
      </c>
      <c r="E17" s="51">
        <f t="shared" si="0"/>
        <v>-647762</v>
      </c>
      <c r="F17" s="70">
        <f t="shared" si="1"/>
        <v>-0.14651748360572678</v>
      </c>
      <c r="G17" s="64"/>
    </row>
    <row r="18" spans="1:7" ht="22.5" customHeight="1">
      <c r="A18" s="25">
        <v>6</v>
      </c>
      <c r="B18" s="45" t="s">
        <v>233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234</v>
      </c>
      <c r="C19" s="27">
        <f>SUM(C16:C18)</f>
        <v>246552883</v>
      </c>
      <c r="D19" s="27">
        <f>SUM(D16:D18)</f>
        <v>263425565</v>
      </c>
      <c r="E19" s="27">
        <f t="shared" si="0"/>
        <v>16872682</v>
      </c>
      <c r="F19" s="28">
        <f t="shared" si="1"/>
        <v>0.06843433260522855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182</v>
      </c>
      <c r="B21" s="30" t="s">
        <v>235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236</v>
      </c>
      <c r="C22" s="51">
        <v>99956497</v>
      </c>
      <c r="D22" s="51">
        <v>109597557</v>
      </c>
      <c r="E22" s="51">
        <f aca="true" t="shared" si="2" ref="E22:E31">D22-C22</f>
        <v>9641060</v>
      </c>
      <c r="F22" s="70">
        <f aca="true" t="shared" si="3" ref="F22:F31">IF(C22=0,0,E22/C22)</f>
        <v>0.09645255975707112</v>
      </c>
    </row>
    <row r="23" spans="1:6" ht="22.5" customHeight="1">
      <c r="A23" s="25">
        <v>2</v>
      </c>
      <c r="B23" s="48" t="s">
        <v>237</v>
      </c>
      <c r="C23" s="51">
        <v>23695796</v>
      </c>
      <c r="D23" s="51">
        <v>27425902</v>
      </c>
      <c r="E23" s="51">
        <f t="shared" si="2"/>
        <v>3730106</v>
      </c>
      <c r="F23" s="70">
        <f t="shared" si="3"/>
        <v>0.15741636195720118</v>
      </c>
    </row>
    <row r="24" spans="1:7" ht="22.5" customHeight="1">
      <c r="A24" s="25">
        <v>3</v>
      </c>
      <c r="B24" s="48" t="s">
        <v>238</v>
      </c>
      <c r="C24" s="51">
        <v>2299851</v>
      </c>
      <c r="D24" s="51">
        <v>2586476</v>
      </c>
      <c r="E24" s="51">
        <f t="shared" si="2"/>
        <v>286625</v>
      </c>
      <c r="F24" s="70">
        <f t="shared" si="3"/>
        <v>0.12462763892095619</v>
      </c>
      <c r="G24" s="64"/>
    </row>
    <row r="25" spans="1:6" ht="22.5" customHeight="1">
      <c r="A25" s="25">
        <v>4</v>
      </c>
      <c r="B25" s="48" t="s">
        <v>239</v>
      </c>
      <c r="C25" s="51">
        <v>39809556</v>
      </c>
      <c r="D25" s="51">
        <v>40539790</v>
      </c>
      <c r="E25" s="51">
        <f t="shared" si="2"/>
        <v>730234</v>
      </c>
      <c r="F25" s="70">
        <f t="shared" si="3"/>
        <v>0.018343183732066743</v>
      </c>
    </row>
    <row r="26" spans="1:6" ht="22.5" customHeight="1">
      <c r="A26" s="25">
        <v>5</v>
      </c>
      <c r="B26" s="48" t="s">
        <v>240</v>
      </c>
      <c r="C26" s="51">
        <v>16453137</v>
      </c>
      <c r="D26" s="51">
        <v>16939369</v>
      </c>
      <c r="E26" s="51">
        <f t="shared" si="2"/>
        <v>486232</v>
      </c>
      <c r="F26" s="70">
        <f t="shared" si="3"/>
        <v>0.02955254064923911</v>
      </c>
    </row>
    <row r="27" spans="1:6" ht="22.5" customHeight="1">
      <c r="A27" s="25">
        <v>6</v>
      </c>
      <c r="B27" s="48" t="s">
        <v>241</v>
      </c>
      <c r="C27" s="51">
        <v>14162003</v>
      </c>
      <c r="D27" s="51">
        <v>16898318</v>
      </c>
      <c r="E27" s="51">
        <f t="shared" si="2"/>
        <v>2736315</v>
      </c>
      <c r="F27" s="70">
        <f t="shared" si="3"/>
        <v>0.1932152535202824</v>
      </c>
    </row>
    <row r="28" spans="1:6" ht="22.5" customHeight="1">
      <c r="A28" s="25">
        <v>7</v>
      </c>
      <c r="B28" s="48" t="s">
        <v>242</v>
      </c>
      <c r="C28" s="51">
        <v>3003005</v>
      </c>
      <c r="D28" s="51">
        <v>3091298</v>
      </c>
      <c r="E28" s="51">
        <f t="shared" si="2"/>
        <v>88293</v>
      </c>
      <c r="F28" s="70">
        <f t="shared" si="3"/>
        <v>0.02940154944796962</v>
      </c>
    </row>
    <row r="29" spans="1:6" ht="22.5" customHeight="1">
      <c r="A29" s="25">
        <v>8</v>
      </c>
      <c r="B29" s="48" t="s">
        <v>243</v>
      </c>
      <c r="C29" s="51">
        <v>5820329</v>
      </c>
      <c r="D29" s="51">
        <v>119872</v>
      </c>
      <c r="E29" s="51">
        <f t="shared" si="2"/>
        <v>-5700457</v>
      </c>
      <c r="F29" s="70">
        <f t="shared" si="3"/>
        <v>-0.9794046006677629</v>
      </c>
    </row>
    <row r="30" spans="1:6" ht="22.5" customHeight="1">
      <c r="A30" s="25">
        <v>9</v>
      </c>
      <c r="B30" s="48" t="s">
        <v>244</v>
      </c>
      <c r="C30" s="51">
        <v>32732983</v>
      </c>
      <c r="D30" s="51">
        <v>33447989</v>
      </c>
      <c r="E30" s="51">
        <f t="shared" si="2"/>
        <v>715006</v>
      </c>
      <c r="F30" s="70">
        <f t="shared" si="3"/>
        <v>0.021843594273091457</v>
      </c>
    </row>
    <row r="31" spans="1:6" ht="22.5" customHeight="1">
      <c r="A31" s="29"/>
      <c r="B31" s="71" t="s">
        <v>245</v>
      </c>
      <c r="C31" s="27">
        <f>SUM(C22:C30)</f>
        <v>237933157</v>
      </c>
      <c r="D31" s="27">
        <f>SUM(D22:D30)</f>
        <v>250646571</v>
      </c>
      <c r="E31" s="27">
        <f t="shared" si="2"/>
        <v>12713414</v>
      </c>
      <c r="F31" s="28">
        <f t="shared" si="3"/>
        <v>0.05343271261684642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246</v>
      </c>
      <c r="C33" s="27">
        <f>+C19-C31</f>
        <v>8619726</v>
      </c>
      <c r="D33" s="27">
        <f>+D19-D31</f>
        <v>12778994</v>
      </c>
      <c r="E33" s="27">
        <f>D33-C33</f>
        <v>4159268</v>
      </c>
      <c r="F33" s="28">
        <f>IF(C33=0,0,E33/C33)</f>
        <v>0.4825290270247569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192</v>
      </c>
      <c r="B35" s="30" t="s">
        <v>247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248</v>
      </c>
      <c r="C36" s="51">
        <v>-4802633</v>
      </c>
      <c r="D36" s="51">
        <v>-2817022</v>
      </c>
      <c r="E36" s="51">
        <f>D36-C36</f>
        <v>1985611</v>
      </c>
      <c r="F36" s="70">
        <f>IF(C36=0,0,E36/C36)</f>
        <v>-0.4134421680773859</v>
      </c>
    </row>
    <row r="37" spans="1:6" ht="22.5" customHeight="1">
      <c r="A37" s="44">
        <v>2</v>
      </c>
      <c r="B37" s="48" t="s">
        <v>249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250</v>
      </c>
      <c r="C38" s="51">
        <v>-809787</v>
      </c>
      <c r="D38" s="51">
        <v>-4101843</v>
      </c>
      <c r="E38" s="51">
        <f>D38-C38</f>
        <v>-3292056</v>
      </c>
      <c r="F38" s="70">
        <f>IF(C38=0,0,E38/C38)</f>
        <v>4.065335699387616</v>
      </c>
    </row>
    <row r="39" spans="1:6" ht="22.5" customHeight="1">
      <c r="A39" s="20"/>
      <c r="B39" s="71" t="s">
        <v>251</v>
      </c>
      <c r="C39" s="27">
        <f>SUM(C36:C38)</f>
        <v>-5612420</v>
      </c>
      <c r="D39" s="27">
        <f>SUM(D36:D38)</f>
        <v>-6918865</v>
      </c>
      <c r="E39" s="27">
        <f>D39-C39</f>
        <v>-1306445</v>
      </c>
      <c r="F39" s="28">
        <f>IF(C39=0,0,E39/C39)</f>
        <v>0.23277748279708219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252</v>
      </c>
      <c r="C41" s="27">
        <f>C33+C39</f>
        <v>3007306</v>
      </c>
      <c r="D41" s="27">
        <f>D33+D39</f>
        <v>5860129</v>
      </c>
      <c r="E41" s="27">
        <f>D41-C41</f>
        <v>2852823</v>
      </c>
      <c r="F41" s="28">
        <f>IF(C41=0,0,E41/C41)</f>
        <v>0.9486307678699807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253</v>
      </c>
      <c r="C43" s="27"/>
      <c r="D43" s="27"/>
      <c r="E43" s="27"/>
      <c r="F43" s="28"/>
    </row>
    <row r="44" spans="1:6" ht="22.5" customHeight="1">
      <c r="A44" s="44"/>
      <c r="B44" s="48" t="s">
        <v>254</v>
      </c>
      <c r="C44" s="51">
        <v>0</v>
      </c>
      <c r="D44" s="51">
        <v>5616230</v>
      </c>
      <c r="E44" s="51">
        <f>D44-C44</f>
        <v>5616230</v>
      </c>
      <c r="F44" s="70">
        <f>IF(C44=0,0,E44/C44)</f>
        <v>0</v>
      </c>
    </row>
    <row r="45" spans="1:6" ht="22.5" customHeight="1">
      <c r="A45" s="44"/>
      <c r="B45" s="48" t="s">
        <v>255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256</v>
      </c>
      <c r="C46" s="27">
        <f>SUM(C44:C45)</f>
        <v>0</v>
      </c>
      <c r="D46" s="27">
        <f>SUM(D44:D45)</f>
        <v>5616230</v>
      </c>
      <c r="E46" s="27">
        <f>D46-C46</f>
        <v>5616230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257</v>
      </c>
      <c r="C48" s="27">
        <f>C41+C46</f>
        <v>3007306</v>
      </c>
      <c r="D48" s="27">
        <f>D41+D46</f>
        <v>11476359</v>
      </c>
      <c r="E48" s="27">
        <f>D48-C48</f>
        <v>8469053</v>
      </c>
      <c r="F48" s="28">
        <f>IF(C48=0,0,E48/C48)</f>
        <v>2.8161593798569218</v>
      </c>
    </row>
    <row r="49" spans="1:6" ht="22.5" customHeight="1">
      <c r="A49" s="44"/>
      <c r="B49" s="48" t="s">
        <v>258</v>
      </c>
      <c r="C49" s="51">
        <v>0</v>
      </c>
      <c r="D49" s="51">
        <v>1755000</v>
      </c>
      <c r="E49" s="51">
        <f>D49-C49</f>
        <v>1755000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FILING&amp;RWILLIAM W. BACKUS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A1" sqref="A1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2" t="s">
        <v>156</v>
      </c>
      <c r="B2" s="672"/>
      <c r="C2" s="672"/>
      <c r="D2" s="672"/>
      <c r="E2" s="672"/>
      <c r="F2" s="672"/>
    </row>
    <row r="3" spans="1:6" ht="18" customHeight="1">
      <c r="A3" s="672" t="s">
        <v>157</v>
      </c>
      <c r="B3" s="672"/>
      <c r="C3" s="672"/>
      <c r="D3" s="672"/>
      <c r="E3" s="672"/>
      <c r="F3" s="672"/>
    </row>
    <row r="4" spans="1:6" ht="18" customHeight="1">
      <c r="A4" s="672" t="s">
        <v>158</v>
      </c>
      <c r="B4" s="672"/>
      <c r="C4" s="672"/>
      <c r="D4" s="672"/>
      <c r="E4" s="672"/>
      <c r="F4" s="672"/>
    </row>
    <row r="5" spans="1:6" ht="18" customHeight="1">
      <c r="A5" s="672" t="s">
        <v>259</v>
      </c>
      <c r="B5" s="672"/>
      <c r="C5" s="672"/>
      <c r="D5" s="672"/>
      <c r="E5" s="672"/>
      <c r="F5" s="672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164</v>
      </c>
      <c r="B8" s="87" t="s">
        <v>260</v>
      </c>
      <c r="C8" s="88" t="s">
        <v>261</v>
      </c>
      <c r="D8" s="89" t="s">
        <v>262</v>
      </c>
      <c r="E8" s="90" t="s">
        <v>263</v>
      </c>
      <c r="F8" s="91" t="s">
        <v>264</v>
      </c>
    </row>
    <row r="9" spans="1:6" ht="18" customHeight="1">
      <c r="A9" s="92"/>
      <c r="B9" s="93"/>
      <c r="C9" s="673"/>
      <c r="D9" s="674"/>
      <c r="E9" s="674"/>
      <c r="F9" s="675"/>
    </row>
    <row r="10" spans="1:6" ht="18" customHeight="1">
      <c r="A10" s="662" t="s">
        <v>168</v>
      </c>
      <c r="B10" s="664" t="s">
        <v>265</v>
      </c>
      <c r="C10" s="666"/>
      <c r="D10" s="667"/>
      <c r="E10" s="667"/>
      <c r="F10" s="668"/>
    </row>
    <row r="11" spans="1:6" ht="18" customHeight="1">
      <c r="A11" s="663"/>
      <c r="B11" s="665"/>
      <c r="C11" s="669"/>
      <c r="D11" s="670"/>
      <c r="E11" s="670"/>
      <c r="F11" s="671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266</v>
      </c>
      <c r="B13" s="95" t="s">
        <v>267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268</v>
      </c>
      <c r="C14" s="97">
        <v>104515107</v>
      </c>
      <c r="D14" s="97">
        <v>103774390</v>
      </c>
      <c r="E14" s="97">
        <f aca="true" t="shared" si="0" ref="E14:E25">D14-C14</f>
        <v>-740717</v>
      </c>
      <c r="F14" s="98">
        <f aca="true" t="shared" si="1" ref="F14:F25">IF(C14=0,0,E14/C14)</f>
        <v>-0.007087176402163564</v>
      </c>
    </row>
    <row r="15" spans="1:6" ht="18" customHeight="1">
      <c r="A15" s="99">
        <v>2</v>
      </c>
      <c r="B15" s="100" t="s">
        <v>269</v>
      </c>
      <c r="C15" s="97">
        <v>7133038</v>
      </c>
      <c r="D15" s="97">
        <v>12174093</v>
      </c>
      <c r="E15" s="97">
        <f t="shared" si="0"/>
        <v>5041055</v>
      </c>
      <c r="F15" s="98">
        <f t="shared" si="1"/>
        <v>0.7067192127674071</v>
      </c>
    </row>
    <row r="16" spans="1:6" ht="18" customHeight="1">
      <c r="A16" s="99">
        <v>3</v>
      </c>
      <c r="B16" s="100" t="s">
        <v>270</v>
      </c>
      <c r="C16" s="97">
        <v>12248535</v>
      </c>
      <c r="D16" s="97">
        <v>12559457</v>
      </c>
      <c r="E16" s="97">
        <f t="shared" si="0"/>
        <v>310922</v>
      </c>
      <c r="F16" s="98">
        <f t="shared" si="1"/>
        <v>0.025384423524935838</v>
      </c>
    </row>
    <row r="17" spans="1:6" ht="18" customHeight="1">
      <c r="A17" s="99">
        <v>4</v>
      </c>
      <c r="B17" s="100" t="s">
        <v>271</v>
      </c>
      <c r="C17" s="97">
        <v>7410511</v>
      </c>
      <c r="D17" s="97">
        <v>9180812</v>
      </c>
      <c r="E17" s="97">
        <f t="shared" si="0"/>
        <v>1770301</v>
      </c>
      <c r="F17" s="98">
        <f t="shared" si="1"/>
        <v>0.2388905434456544</v>
      </c>
    </row>
    <row r="18" spans="1:6" ht="18" customHeight="1">
      <c r="A18" s="99">
        <v>5</v>
      </c>
      <c r="B18" s="100" t="s">
        <v>272</v>
      </c>
      <c r="C18" s="97">
        <v>2859279</v>
      </c>
      <c r="D18" s="97">
        <v>2651102</v>
      </c>
      <c r="E18" s="97">
        <f t="shared" si="0"/>
        <v>-208177</v>
      </c>
      <c r="F18" s="98">
        <f t="shared" si="1"/>
        <v>-0.07280751546106554</v>
      </c>
    </row>
    <row r="19" spans="1:6" ht="18" customHeight="1">
      <c r="A19" s="99">
        <v>6</v>
      </c>
      <c r="B19" s="100" t="s">
        <v>273</v>
      </c>
      <c r="C19" s="97">
        <v>3323201</v>
      </c>
      <c r="D19" s="97">
        <v>3581405</v>
      </c>
      <c r="E19" s="97">
        <f t="shared" si="0"/>
        <v>258204</v>
      </c>
      <c r="F19" s="98">
        <f t="shared" si="1"/>
        <v>0.07769737671600363</v>
      </c>
    </row>
    <row r="20" spans="1:6" ht="18" customHeight="1">
      <c r="A20" s="99">
        <v>7</v>
      </c>
      <c r="B20" s="100" t="s">
        <v>274</v>
      </c>
      <c r="C20" s="97">
        <v>62230564</v>
      </c>
      <c r="D20" s="97">
        <v>64344529</v>
      </c>
      <c r="E20" s="97">
        <f t="shared" si="0"/>
        <v>2113965</v>
      </c>
      <c r="F20" s="98">
        <f t="shared" si="1"/>
        <v>0.03396988335185264</v>
      </c>
    </row>
    <row r="21" spans="1:6" ht="18" customHeight="1">
      <c r="A21" s="99">
        <v>8</v>
      </c>
      <c r="B21" s="100" t="s">
        <v>275</v>
      </c>
      <c r="C21" s="97">
        <v>3876437</v>
      </c>
      <c r="D21" s="97">
        <v>3491500</v>
      </c>
      <c r="E21" s="97">
        <f t="shared" si="0"/>
        <v>-384937</v>
      </c>
      <c r="F21" s="98">
        <f t="shared" si="1"/>
        <v>-0.09930175571020501</v>
      </c>
    </row>
    <row r="22" spans="1:6" ht="18" customHeight="1">
      <c r="A22" s="99">
        <v>9</v>
      </c>
      <c r="B22" s="100" t="s">
        <v>276</v>
      </c>
      <c r="C22" s="97">
        <v>4441859</v>
      </c>
      <c r="D22" s="97">
        <v>4648083</v>
      </c>
      <c r="E22" s="97">
        <f t="shared" si="0"/>
        <v>206224</v>
      </c>
      <c r="F22" s="98">
        <f t="shared" si="1"/>
        <v>0.04642740798390944</v>
      </c>
    </row>
    <row r="23" spans="1:6" ht="18" customHeight="1">
      <c r="A23" s="99">
        <v>10</v>
      </c>
      <c r="B23" s="100" t="s">
        <v>277</v>
      </c>
      <c r="C23" s="97">
        <v>6542326</v>
      </c>
      <c r="D23" s="97">
        <v>8457589</v>
      </c>
      <c r="E23" s="97">
        <f t="shared" si="0"/>
        <v>1915263</v>
      </c>
      <c r="F23" s="98">
        <f t="shared" si="1"/>
        <v>0.2927495511535194</v>
      </c>
    </row>
    <row r="24" spans="1:6" ht="18" customHeight="1">
      <c r="A24" s="99">
        <v>11</v>
      </c>
      <c r="B24" s="100" t="s">
        <v>278</v>
      </c>
      <c r="C24" s="97">
        <v>1404720</v>
      </c>
      <c r="D24" s="97">
        <v>990474</v>
      </c>
      <c r="E24" s="97">
        <f t="shared" si="0"/>
        <v>-414246</v>
      </c>
      <c r="F24" s="98">
        <f t="shared" si="1"/>
        <v>-0.29489577994191013</v>
      </c>
    </row>
    <row r="25" spans="1:6" ht="18" customHeight="1">
      <c r="A25" s="101"/>
      <c r="B25" s="102" t="s">
        <v>279</v>
      </c>
      <c r="C25" s="103">
        <f>SUM(C14:C24)</f>
        <v>215985577</v>
      </c>
      <c r="D25" s="103">
        <f>SUM(D14:D24)</f>
        <v>225853434</v>
      </c>
      <c r="E25" s="103">
        <f t="shared" si="0"/>
        <v>9867857</v>
      </c>
      <c r="F25" s="104">
        <f t="shared" si="1"/>
        <v>0.04568757385128545</v>
      </c>
    </row>
    <row r="26" spans="1:6" ht="18" customHeight="1">
      <c r="A26" s="94" t="s">
        <v>280</v>
      </c>
      <c r="B26" s="95" t="s">
        <v>281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268</v>
      </c>
      <c r="C27" s="97">
        <v>83776198</v>
      </c>
      <c r="D27" s="97">
        <v>91235645</v>
      </c>
      <c r="E27" s="97">
        <f aca="true" t="shared" si="2" ref="E27:E38">D27-C27</f>
        <v>7459447</v>
      </c>
      <c r="F27" s="98">
        <f aca="true" t="shared" si="3" ref="F27:F38">IF(C27=0,0,E27/C27)</f>
        <v>0.08904017105192576</v>
      </c>
    </row>
    <row r="28" spans="1:6" ht="18" customHeight="1">
      <c r="A28" s="99">
        <v>2</v>
      </c>
      <c r="B28" s="100" t="s">
        <v>269</v>
      </c>
      <c r="C28" s="97">
        <v>6236785</v>
      </c>
      <c r="D28" s="97">
        <v>11292497</v>
      </c>
      <c r="E28" s="97">
        <f t="shared" si="2"/>
        <v>5055712</v>
      </c>
      <c r="F28" s="98">
        <f t="shared" si="3"/>
        <v>0.8106279116564064</v>
      </c>
    </row>
    <row r="29" spans="1:6" ht="18" customHeight="1">
      <c r="A29" s="99">
        <v>3</v>
      </c>
      <c r="B29" s="100" t="s">
        <v>270</v>
      </c>
      <c r="C29" s="97">
        <v>12793361</v>
      </c>
      <c r="D29" s="97">
        <v>14472177</v>
      </c>
      <c r="E29" s="97">
        <f t="shared" si="2"/>
        <v>1678816</v>
      </c>
      <c r="F29" s="98">
        <f t="shared" si="3"/>
        <v>0.13122556300881372</v>
      </c>
    </row>
    <row r="30" spans="1:6" ht="18" customHeight="1">
      <c r="A30" s="99">
        <v>4</v>
      </c>
      <c r="B30" s="100" t="s">
        <v>271</v>
      </c>
      <c r="C30" s="97">
        <v>17356280</v>
      </c>
      <c r="D30" s="97">
        <v>22884220</v>
      </c>
      <c r="E30" s="97">
        <f t="shared" si="2"/>
        <v>5527940</v>
      </c>
      <c r="F30" s="98">
        <f t="shared" si="3"/>
        <v>0.31849797306796157</v>
      </c>
    </row>
    <row r="31" spans="1:6" ht="18" customHeight="1">
      <c r="A31" s="99">
        <v>5</v>
      </c>
      <c r="B31" s="100" t="s">
        <v>272</v>
      </c>
      <c r="C31" s="97">
        <v>7245309</v>
      </c>
      <c r="D31" s="97">
        <v>6720868</v>
      </c>
      <c r="E31" s="97">
        <f t="shared" si="2"/>
        <v>-524441</v>
      </c>
      <c r="F31" s="98">
        <f t="shared" si="3"/>
        <v>-0.07238352429137253</v>
      </c>
    </row>
    <row r="32" spans="1:6" ht="18" customHeight="1">
      <c r="A32" s="99">
        <v>6</v>
      </c>
      <c r="B32" s="100" t="s">
        <v>273</v>
      </c>
      <c r="C32" s="97">
        <v>8264458</v>
      </c>
      <c r="D32" s="97">
        <v>8845432</v>
      </c>
      <c r="E32" s="97">
        <f t="shared" si="2"/>
        <v>580974</v>
      </c>
      <c r="F32" s="98">
        <f t="shared" si="3"/>
        <v>0.07029789491337483</v>
      </c>
    </row>
    <row r="33" spans="1:6" ht="18" customHeight="1">
      <c r="A33" s="99">
        <v>7</v>
      </c>
      <c r="B33" s="100" t="s">
        <v>274</v>
      </c>
      <c r="C33" s="97">
        <v>133157174</v>
      </c>
      <c r="D33" s="97">
        <v>148714892</v>
      </c>
      <c r="E33" s="97">
        <f t="shared" si="2"/>
        <v>15557718</v>
      </c>
      <c r="F33" s="98">
        <f t="shared" si="3"/>
        <v>0.11683724979023662</v>
      </c>
    </row>
    <row r="34" spans="1:6" ht="18" customHeight="1">
      <c r="A34" s="99">
        <v>8</v>
      </c>
      <c r="B34" s="100" t="s">
        <v>275</v>
      </c>
      <c r="C34" s="97">
        <v>6707516</v>
      </c>
      <c r="D34" s="97">
        <v>6671090</v>
      </c>
      <c r="E34" s="97">
        <f t="shared" si="2"/>
        <v>-36426</v>
      </c>
      <c r="F34" s="98">
        <f t="shared" si="3"/>
        <v>-0.005430624392099848</v>
      </c>
    </row>
    <row r="35" spans="1:6" ht="18" customHeight="1">
      <c r="A35" s="99">
        <v>9</v>
      </c>
      <c r="B35" s="100" t="s">
        <v>276</v>
      </c>
      <c r="C35" s="97">
        <v>10713332</v>
      </c>
      <c r="D35" s="97">
        <v>11539441</v>
      </c>
      <c r="E35" s="97">
        <f t="shared" si="2"/>
        <v>826109</v>
      </c>
      <c r="F35" s="98">
        <f t="shared" si="3"/>
        <v>0.07711037051778102</v>
      </c>
    </row>
    <row r="36" spans="1:6" ht="18" customHeight="1">
      <c r="A36" s="99">
        <v>10</v>
      </c>
      <c r="B36" s="100" t="s">
        <v>277</v>
      </c>
      <c r="C36" s="97">
        <v>9276178</v>
      </c>
      <c r="D36" s="97">
        <v>11443409</v>
      </c>
      <c r="E36" s="97">
        <f t="shared" si="2"/>
        <v>2167231</v>
      </c>
      <c r="F36" s="98">
        <f t="shared" si="3"/>
        <v>0.2336340462634503</v>
      </c>
    </row>
    <row r="37" spans="1:6" ht="18" customHeight="1">
      <c r="A37" s="99">
        <v>11</v>
      </c>
      <c r="B37" s="100" t="s">
        <v>278</v>
      </c>
      <c r="C37" s="97">
        <v>802190</v>
      </c>
      <c r="D37" s="97">
        <v>967949</v>
      </c>
      <c r="E37" s="97">
        <f t="shared" si="2"/>
        <v>165759</v>
      </c>
      <c r="F37" s="98">
        <f t="shared" si="3"/>
        <v>0.20663309191089393</v>
      </c>
    </row>
    <row r="38" spans="1:6" ht="18" customHeight="1">
      <c r="A38" s="101"/>
      <c r="B38" s="102" t="s">
        <v>282</v>
      </c>
      <c r="C38" s="103">
        <f>SUM(C27:C37)</f>
        <v>296328781</v>
      </c>
      <c r="D38" s="103">
        <f>SUM(D27:D37)</f>
        <v>334787620</v>
      </c>
      <c r="E38" s="103">
        <f t="shared" si="2"/>
        <v>38458839</v>
      </c>
      <c r="F38" s="104">
        <f t="shared" si="3"/>
        <v>0.12978435260394094</v>
      </c>
    </row>
    <row r="39" spans="1:6" ht="18" customHeight="1">
      <c r="A39" s="662" t="s">
        <v>283</v>
      </c>
      <c r="B39" s="664" t="s">
        <v>284</v>
      </c>
      <c r="C39" s="666"/>
      <c r="D39" s="667"/>
      <c r="E39" s="667"/>
      <c r="F39" s="668"/>
    </row>
    <row r="40" spans="1:6" ht="18" customHeight="1">
      <c r="A40" s="663"/>
      <c r="B40" s="665"/>
      <c r="C40" s="669"/>
      <c r="D40" s="670"/>
      <c r="E40" s="670"/>
      <c r="F40" s="671"/>
    </row>
    <row r="41" spans="1:6" ht="18" customHeight="1">
      <c r="A41" s="105">
        <v>1</v>
      </c>
      <c r="B41" s="106" t="s">
        <v>268</v>
      </c>
      <c r="C41" s="103">
        <f aca="true" t="shared" si="4" ref="C41:D51">+C27+C14</f>
        <v>188291305</v>
      </c>
      <c r="D41" s="103">
        <f t="shared" si="4"/>
        <v>195010035</v>
      </c>
      <c r="E41" s="107">
        <f aca="true" t="shared" si="5" ref="E41:E52">D41-C41</f>
        <v>6718730</v>
      </c>
      <c r="F41" s="108">
        <f aca="true" t="shared" si="6" ref="F41:F52">IF(C41=0,0,E41/C41)</f>
        <v>0.03568263547804292</v>
      </c>
    </row>
    <row r="42" spans="1:6" ht="18" customHeight="1">
      <c r="A42" s="105">
        <v>2</v>
      </c>
      <c r="B42" s="106" t="s">
        <v>269</v>
      </c>
      <c r="C42" s="103">
        <f t="shared" si="4"/>
        <v>13369823</v>
      </c>
      <c r="D42" s="103">
        <f t="shared" si="4"/>
        <v>23466590</v>
      </c>
      <c r="E42" s="107">
        <f t="shared" si="5"/>
        <v>10096767</v>
      </c>
      <c r="F42" s="108">
        <f t="shared" si="6"/>
        <v>0.7551907755248517</v>
      </c>
    </row>
    <row r="43" spans="1:6" ht="18" customHeight="1">
      <c r="A43" s="105">
        <v>3</v>
      </c>
      <c r="B43" s="106" t="s">
        <v>270</v>
      </c>
      <c r="C43" s="103">
        <f t="shared" si="4"/>
        <v>25041896</v>
      </c>
      <c r="D43" s="103">
        <f t="shared" si="4"/>
        <v>27031634</v>
      </c>
      <c r="E43" s="107">
        <f t="shared" si="5"/>
        <v>1989738</v>
      </c>
      <c r="F43" s="108">
        <f t="shared" si="6"/>
        <v>0.07945636384721029</v>
      </c>
    </row>
    <row r="44" spans="1:6" ht="18" customHeight="1">
      <c r="A44" s="105">
        <v>4</v>
      </c>
      <c r="B44" s="106" t="s">
        <v>271</v>
      </c>
      <c r="C44" s="103">
        <f t="shared" si="4"/>
        <v>24766791</v>
      </c>
      <c r="D44" s="103">
        <f t="shared" si="4"/>
        <v>32065032</v>
      </c>
      <c r="E44" s="107">
        <f t="shared" si="5"/>
        <v>7298241</v>
      </c>
      <c r="F44" s="108">
        <f t="shared" si="6"/>
        <v>0.2946785071994188</v>
      </c>
    </row>
    <row r="45" spans="1:6" ht="18" customHeight="1">
      <c r="A45" s="105">
        <v>5</v>
      </c>
      <c r="B45" s="106" t="s">
        <v>272</v>
      </c>
      <c r="C45" s="103">
        <f t="shared" si="4"/>
        <v>10104588</v>
      </c>
      <c r="D45" s="103">
        <f t="shared" si="4"/>
        <v>9371970</v>
      </c>
      <c r="E45" s="107">
        <f t="shared" si="5"/>
        <v>-732618</v>
      </c>
      <c r="F45" s="108">
        <f t="shared" si="6"/>
        <v>-0.07250350039011981</v>
      </c>
    </row>
    <row r="46" spans="1:6" ht="18" customHeight="1">
      <c r="A46" s="105">
        <v>6</v>
      </c>
      <c r="B46" s="106" t="s">
        <v>273</v>
      </c>
      <c r="C46" s="103">
        <f t="shared" si="4"/>
        <v>11587659</v>
      </c>
      <c r="D46" s="103">
        <f t="shared" si="4"/>
        <v>12426837</v>
      </c>
      <c r="E46" s="107">
        <f t="shared" si="5"/>
        <v>839178</v>
      </c>
      <c r="F46" s="108">
        <f t="shared" si="6"/>
        <v>0.0724199771498281</v>
      </c>
    </row>
    <row r="47" spans="1:6" ht="18" customHeight="1">
      <c r="A47" s="105">
        <v>7</v>
      </c>
      <c r="B47" s="106" t="s">
        <v>274</v>
      </c>
      <c r="C47" s="103">
        <f t="shared" si="4"/>
        <v>195387738</v>
      </c>
      <c r="D47" s="103">
        <f t="shared" si="4"/>
        <v>213059421</v>
      </c>
      <c r="E47" s="107">
        <f t="shared" si="5"/>
        <v>17671683</v>
      </c>
      <c r="F47" s="108">
        <f t="shared" si="6"/>
        <v>0.09044417618468975</v>
      </c>
    </row>
    <row r="48" spans="1:6" ht="18" customHeight="1">
      <c r="A48" s="105">
        <v>8</v>
      </c>
      <c r="B48" s="106" t="s">
        <v>275</v>
      </c>
      <c r="C48" s="103">
        <f t="shared" si="4"/>
        <v>10583953</v>
      </c>
      <c r="D48" s="103">
        <f t="shared" si="4"/>
        <v>10162590</v>
      </c>
      <c r="E48" s="107">
        <f t="shared" si="5"/>
        <v>-421363</v>
      </c>
      <c r="F48" s="108">
        <f t="shared" si="6"/>
        <v>-0.03981149576155525</v>
      </c>
    </row>
    <row r="49" spans="1:6" ht="18" customHeight="1">
      <c r="A49" s="105">
        <v>9</v>
      </c>
      <c r="B49" s="106" t="s">
        <v>276</v>
      </c>
      <c r="C49" s="103">
        <f t="shared" si="4"/>
        <v>15155191</v>
      </c>
      <c r="D49" s="103">
        <f t="shared" si="4"/>
        <v>16187524</v>
      </c>
      <c r="E49" s="107">
        <f t="shared" si="5"/>
        <v>1032333</v>
      </c>
      <c r="F49" s="108">
        <f t="shared" si="6"/>
        <v>0.06811745229736794</v>
      </c>
    </row>
    <row r="50" spans="1:6" ht="18" customHeight="1">
      <c r="A50" s="105">
        <v>10</v>
      </c>
      <c r="B50" s="106" t="s">
        <v>277</v>
      </c>
      <c r="C50" s="103">
        <f t="shared" si="4"/>
        <v>15818504</v>
      </c>
      <c r="D50" s="103">
        <f t="shared" si="4"/>
        <v>19900998</v>
      </c>
      <c r="E50" s="107">
        <f t="shared" si="5"/>
        <v>4082494</v>
      </c>
      <c r="F50" s="108">
        <f t="shared" si="6"/>
        <v>0.25808344455329024</v>
      </c>
    </row>
    <row r="51" spans="1:6" ht="18" customHeight="1" thickBot="1">
      <c r="A51" s="105">
        <v>11</v>
      </c>
      <c r="B51" s="106" t="s">
        <v>278</v>
      </c>
      <c r="C51" s="103">
        <f t="shared" si="4"/>
        <v>2206910</v>
      </c>
      <c r="D51" s="103">
        <f t="shared" si="4"/>
        <v>1958423</v>
      </c>
      <c r="E51" s="107">
        <f t="shared" si="5"/>
        <v>-248487</v>
      </c>
      <c r="F51" s="108">
        <f t="shared" si="6"/>
        <v>-0.11259498574930558</v>
      </c>
    </row>
    <row r="52" spans="1:6" ht="18.75" customHeight="1" thickBot="1">
      <c r="A52" s="109"/>
      <c r="B52" s="110" t="s">
        <v>284</v>
      </c>
      <c r="C52" s="111">
        <f>SUM(C41:C51)</f>
        <v>512314358</v>
      </c>
      <c r="D52" s="112">
        <f>SUM(D41:D51)</f>
        <v>560641054</v>
      </c>
      <c r="E52" s="111">
        <f t="shared" si="5"/>
        <v>48326696</v>
      </c>
      <c r="F52" s="113">
        <f t="shared" si="6"/>
        <v>0.09433016124837945</v>
      </c>
    </row>
    <row r="53" spans="1:6" ht="18" customHeight="1">
      <c r="A53" s="662" t="s">
        <v>200</v>
      </c>
      <c r="B53" s="664" t="s">
        <v>285</v>
      </c>
      <c r="C53" s="666"/>
      <c r="D53" s="667"/>
      <c r="E53" s="667"/>
      <c r="F53" s="668"/>
    </row>
    <row r="54" spans="1:6" ht="18" customHeight="1">
      <c r="A54" s="663"/>
      <c r="B54" s="665"/>
      <c r="C54" s="669"/>
      <c r="D54" s="670"/>
      <c r="E54" s="670"/>
      <c r="F54" s="671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266</v>
      </c>
      <c r="B56" s="95" t="s">
        <v>286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268</v>
      </c>
      <c r="C57" s="97">
        <v>45038713</v>
      </c>
      <c r="D57" s="97">
        <v>41315073</v>
      </c>
      <c r="E57" s="97">
        <f aca="true" t="shared" si="7" ref="E57:E68">D57-C57</f>
        <v>-3723640</v>
      </c>
      <c r="F57" s="98">
        <f aca="true" t="shared" si="8" ref="F57:F68">IF(C57=0,0,E57/C57)</f>
        <v>-0.08267642994150388</v>
      </c>
    </row>
    <row r="58" spans="1:6" ht="18" customHeight="1">
      <c r="A58" s="99">
        <v>2</v>
      </c>
      <c r="B58" s="100" t="s">
        <v>269</v>
      </c>
      <c r="C58" s="97">
        <v>3210020</v>
      </c>
      <c r="D58" s="97">
        <v>5162259</v>
      </c>
      <c r="E58" s="97">
        <f t="shared" si="7"/>
        <v>1952239</v>
      </c>
      <c r="F58" s="98">
        <f t="shared" si="8"/>
        <v>0.6081703540787908</v>
      </c>
    </row>
    <row r="59" spans="1:6" ht="18" customHeight="1">
      <c r="A59" s="99">
        <v>3</v>
      </c>
      <c r="B59" s="100" t="s">
        <v>270</v>
      </c>
      <c r="C59" s="97">
        <v>3208651</v>
      </c>
      <c r="D59" s="97">
        <v>3582546</v>
      </c>
      <c r="E59" s="97">
        <f t="shared" si="7"/>
        <v>373895</v>
      </c>
      <c r="F59" s="98">
        <f t="shared" si="8"/>
        <v>0.1165271635961655</v>
      </c>
    </row>
    <row r="60" spans="1:6" ht="18" customHeight="1">
      <c r="A60" s="99">
        <v>4</v>
      </c>
      <c r="B60" s="100" t="s">
        <v>271</v>
      </c>
      <c r="C60" s="97">
        <v>2011864</v>
      </c>
      <c r="D60" s="97">
        <v>2598714</v>
      </c>
      <c r="E60" s="97">
        <f t="shared" si="7"/>
        <v>586850</v>
      </c>
      <c r="F60" s="98">
        <f t="shared" si="8"/>
        <v>0.2916946672339681</v>
      </c>
    </row>
    <row r="61" spans="1:6" ht="18" customHeight="1">
      <c r="A61" s="99">
        <v>5</v>
      </c>
      <c r="B61" s="100" t="s">
        <v>272</v>
      </c>
      <c r="C61" s="97">
        <v>1152336</v>
      </c>
      <c r="D61" s="97">
        <v>1174297</v>
      </c>
      <c r="E61" s="97">
        <f t="shared" si="7"/>
        <v>21961</v>
      </c>
      <c r="F61" s="98">
        <f t="shared" si="8"/>
        <v>0.01905780952777662</v>
      </c>
    </row>
    <row r="62" spans="1:6" ht="18" customHeight="1">
      <c r="A62" s="99">
        <v>6</v>
      </c>
      <c r="B62" s="100" t="s">
        <v>273</v>
      </c>
      <c r="C62" s="97">
        <v>2849392</v>
      </c>
      <c r="D62" s="97">
        <v>3078085</v>
      </c>
      <c r="E62" s="97">
        <f t="shared" si="7"/>
        <v>228693</v>
      </c>
      <c r="F62" s="98">
        <f t="shared" si="8"/>
        <v>0.08026028008782224</v>
      </c>
    </row>
    <row r="63" spans="1:6" ht="18" customHeight="1">
      <c r="A63" s="99">
        <v>7</v>
      </c>
      <c r="B63" s="100" t="s">
        <v>274</v>
      </c>
      <c r="C63" s="97">
        <v>45874378</v>
      </c>
      <c r="D63" s="97">
        <v>49428042</v>
      </c>
      <c r="E63" s="97">
        <f t="shared" si="7"/>
        <v>3553664</v>
      </c>
      <c r="F63" s="98">
        <f t="shared" si="8"/>
        <v>0.07746511571230459</v>
      </c>
    </row>
    <row r="64" spans="1:6" ht="18" customHeight="1">
      <c r="A64" s="99">
        <v>8</v>
      </c>
      <c r="B64" s="100" t="s">
        <v>275</v>
      </c>
      <c r="C64" s="97">
        <v>2945487</v>
      </c>
      <c r="D64" s="97">
        <v>2792546</v>
      </c>
      <c r="E64" s="97">
        <f t="shared" si="7"/>
        <v>-152941</v>
      </c>
      <c r="F64" s="98">
        <f t="shared" si="8"/>
        <v>-0.051923841456438274</v>
      </c>
    </row>
    <row r="65" spans="1:6" ht="18" customHeight="1">
      <c r="A65" s="99">
        <v>9</v>
      </c>
      <c r="B65" s="100" t="s">
        <v>276</v>
      </c>
      <c r="C65" s="97">
        <v>1020992</v>
      </c>
      <c r="D65" s="97">
        <v>839769</v>
      </c>
      <c r="E65" s="97">
        <f t="shared" si="7"/>
        <v>-181223</v>
      </c>
      <c r="F65" s="98">
        <f t="shared" si="8"/>
        <v>-0.17749698332602018</v>
      </c>
    </row>
    <row r="66" spans="1:6" ht="18" customHeight="1">
      <c r="A66" s="99">
        <v>10</v>
      </c>
      <c r="B66" s="100" t="s">
        <v>277</v>
      </c>
      <c r="C66" s="97">
        <v>823163</v>
      </c>
      <c r="D66" s="97">
        <v>1278014</v>
      </c>
      <c r="E66" s="97">
        <f t="shared" si="7"/>
        <v>454851</v>
      </c>
      <c r="F66" s="98">
        <f t="shared" si="8"/>
        <v>0.5525649233505393</v>
      </c>
    </row>
    <row r="67" spans="1:6" ht="18" customHeight="1">
      <c r="A67" s="99">
        <v>11</v>
      </c>
      <c r="B67" s="100" t="s">
        <v>278</v>
      </c>
      <c r="C67" s="97">
        <v>520702</v>
      </c>
      <c r="D67" s="97">
        <v>151073</v>
      </c>
      <c r="E67" s="97">
        <f t="shared" si="7"/>
        <v>-369629</v>
      </c>
      <c r="F67" s="98">
        <f t="shared" si="8"/>
        <v>-0.7098666799820242</v>
      </c>
    </row>
    <row r="68" spans="1:6" ht="18" customHeight="1">
      <c r="A68" s="101"/>
      <c r="B68" s="102" t="s">
        <v>287</v>
      </c>
      <c r="C68" s="103">
        <f>SUM(C57:C67)</f>
        <v>108655698</v>
      </c>
      <c r="D68" s="103">
        <f>SUM(D57:D67)</f>
        <v>111400418</v>
      </c>
      <c r="E68" s="103">
        <f t="shared" si="7"/>
        <v>2744720</v>
      </c>
      <c r="F68" s="104">
        <f t="shared" si="8"/>
        <v>0.025260709291104088</v>
      </c>
    </row>
    <row r="69" spans="1:6" ht="18" customHeight="1">
      <c r="A69" s="94" t="s">
        <v>280</v>
      </c>
      <c r="B69" s="95" t="s">
        <v>288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268</v>
      </c>
      <c r="C70" s="97">
        <v>22232904</v>
      </c>
      <c r="D70" s="97">
        <v>21982666</v>
      </c>
      <c r="E70" s="97">
        <f aca="true" t="shared" si="9" ref="E70:E81">D70-C70</f>
        <v>-250238</v>
      </c>
      <c r="F70" s="98">
        <f aca="true" t="shared" si="10" ref="F70:F81">IF(C70=0,0,E70/C70)</f>
        <v>-0.011255299802490938</v>
      </c>
    </row>
    <row r="71" spans="1:6" ht="18" customHeight="1">
      <c r="A71" s="99">
        <v>2</v>
      </c>
      <c r="B71" s="100" t="s">
        <v>269</v>
      </c>
      <c r="C71" s="97">
        <v>1571111</v>
      </c>
      <c r="D71" s="97">
        <v>2715894</v>
      </c>
      <c r="E71" s="97">
        <f t="shared" si="9"/>
        <v>1144783</v>
      </c>
      <c r="F71" s="98">
        <f t="shared" si="10"/>
        <v>0.7286455253638986</v>
      </c>
    </row>
    <row r="72" spans="1:6" ht="18" customHeight="1">
      <c r="A72" s="99">
        <v>3</v>
      </c>
      <c r="B72" s="100" t="s">
        <v>270</v>
      </c>
      <c r="C72" s="97">
        <v>2917458</v>
      </c>
      <c r="D72" s="97">
        <v>2935239</v>
      </c>
      <c r="E72" s="97">
        <f t="shared" si="9"/>
        <v>17781</v>
      </c>
      <c r="F72" s="98">
        <f t="shared" si="10"/>
        <v>0.006094689280873966</v>
      </c>
    </row>
    <row r="73" spans="1:6" ht="18" customHeight="1">
      <c r="A73" s="99">
        <v>4</v>
      </c>
      <c r="B73" s="100" t="s">
        <v>271</v>
      </c>
      <c r="C73" s="97">
        <v>4956790</v>
      </c>
      <c r="D73" s="97">
        <v>7220658</v>
      </c>
      <c r="E73" s="97">
        <f t="shared" si="9"/>
        <v>2263868</v>
      </c>
      <c r="F73" s="98">
        <f t="shared" si="10"/>
        <v>0.4567205792458426</v>
      </c>
    </row>
    <row r="74" spans="1:6" ht="18" customHeight="1">
      <c r="A74" s="99">
        <v>5</v>
      </c>
      <c r="B74" s="100" t="s">
        <v>272</v>
      </c>
      <c r="C74" s="97">
        <v>2521543</v>
      </c>
      <c r="D74" s="97">
        <v>2520995</v>
      </c>
      <c r="E74" s="97">
        <f t="shared" si="9"/>
        <v>-548</v>
      </c>
      <c r="F74" s="98">
        <f t="shared" si="10"/>
        <v>-0.0002173272476416226</v>
      </c>
    </row>
    <row r="75" spans="1:6" ht="18" customHeight="1">
      <c r="A75" s="99">
        <v>6</v>
      </c>
      <c r="B75" s="100" t="s">
        <v>273</v>
      </c>
      <c r="C75" s="97">
        <v>6936152</v>
      </c>
      <c r="D75" s="97">
        <v>7207698</v>
      </c>
      <c r="E75" s="97">
        <f t="shared" si="9"/>
        <v>271546</v>
      </c>
      <c r="F75" s="98">
        <f t="shared" si="10"/>
        <v>0.03914937273577626</v>
      </c>
    </row>
    <row r="76" spans="1:6" ht="18" customHeight="1">
      <c r="A76" s="99">
        <v>7</v>
      </c>
      <c r="B76" s="100" t="s">
        <v>274</v>
      </c>
      <c r="C76" s="97">
        <v>71893174</v>
      </c>
      <c r="D76" s="97">
        <v>80032583</v>
      </c>
      <c r="E76" s="97">
        <f t="shared" si="9"/>
        <v>8139409</v>
      </c>
      <c r="F76" s="98">
        <f t="shared" si="10"/>
        <v>0.11321532416971881</v>
      </c>
    </row>
    <row r="77" spans="1:6" ht="18" customHeight="1">
      <c r="A77" s="99">
        <v>8</v>
      </c>
      <c r="B77" s="100" t="s">
        <v>275</v>
      </c>
      <c r="C77" s="97">
        <v>4965893</v>
      </c>
      <c r="D77" s="97">
        <v>4902939</v>
      </c>
      <c r="E77" s="97">
        <f t="shared" si="9"/>
        <v>-62954</v>
      </c>
      <c r="F77" s="98">
        <f t="shared" si="10"/>
        <v>-0.012677276775798432</v>
      </c>
    </row>
    <row r="78" spans="1:6" ht="18" customHeight="1">
      <c r="A78" s="99">
        <v>9</v>
      </c>
      <c r="B78" s="100" t="s">
        <v>276</v>
      </c>
      <c r="C78" s="97">
        <v>2232432</v>
      </c>
      <c r="D78" s="97">
        <v>2437935</v>
      </c>
      <c r="E78" s="97">
        <f t="shared" si="9"/>
        <v>205503</v>
      </c>
      <c r="F78" s="98">
        <f t="shared" si="10"/>
        <v>0.0920534197682169</v>
      </c>
    </row>
    <row r="79" spans="1:6" ht="18" customHeight="1">
      <c r="A79" s="99">
        <v>10</v>
      </c>
      <c r="B79" s="100" t="s">
        <v>277</v>
      </c>
      <c r="C79" s="97">
        <v>1535567</v>
      </c>
      <c r="D79" s="97">
        <v>1928582</v>
      </c>
      <c r="E79" s="97">
        <f t="shared" si="9"/>
        <v>393015</v>
      </c>
      <c r="F79" s="98">
        <f t="shared" si="10"/>
        <v>0.25594129074146554</v>
      </c>
    </row>
    <row r="80" spans="1:6" ht="18" customHeight="1">
      <c r="A80" s="99">
        <v>11</v>
      </c>
      <c r="B80" s="100" t="s">
        <v>278</v>
      </c>
      <c r="C80" s="97">
        <v>112237</v>
      </c>
      <c r="D80" s="97">
        <v>344588</v>
      </c>
      <c r="E80" s="97">
        <f t="shared" si="9"/>
        <v>232351</v>
      </c>
      <c r="F80" s="98">
        <f t="shared" si="10"/>
        <v>2.0701818473408946</v>
      </c>
    </row>
    <row r="81" spans="1:6" ht="18" customHeight="1">
      <c r="A81" s="101"/>
      <c r="B81" s="102" t="s">
        <v>289</v>
      </c>
      <c r="C81" s="103">
        <f>SUM(C70:C80)</f>
        <v>121875261</v>
      </c>
      <c r="D81" s="103">
        <f>SUM(D70:D80)</f>
        <v>134229777</v>
      </c>
      <c r="E81" s="103">
        <f t="shared" si="9"/>
        <v>12354516</v>
      </c>
      <c r="F81" s="104">
        <f t="shared" si="10"/>
        <v>0.10137017060418849</v>
      </c>
    </row>
    <row r="82" spans="1:6" ht="18" customHeight="1">
      <c r="A82" s="662" t="s">
        <v>283</v>
      </c>
      <c r="B82" s="664" t="s">
        <v>290</v>
      </c>
      <c r="C82" s="666"/>
      <c r="D82" s="667"/>
      <c r="E82" s="667"/>
      <c r="F82" s="668"/>
    </row>
    <row r="83" spans="1:6" ht="18" customHeight="1">
      <c r="A83" s="663"/>
      <c r="B83" s="665"/>
      <c r="C83" s="669"/>
      <c r="D83" s="670"/>
      <c r="E83" s="670"/>
      <c r="F83" s="671"/>
    </row>
    <row r="84" spans="1:6" ht="18" customHeight="1">
      <c r="A84" s="114">
        <v>1</v>
      </c>
      <c r="B84" s="106" t="s">
        <v>268</v>
      </c>
      <c r="C84" s="103">
        <f aca="true" t="shared" si="11" ref="C84:D94">+C70+C57</f>
        <v>67271617</v>
      </c>
      <c r="D84" s="103">
        <f t="shared" si="11"/>
        <v>63297739</v>
      </c>
      <c r="E84" s="103">
        <f aca="true" t="shared" si="12" ref="E84:E95">D84-C84</f>
        <v>-3973878</v>
      </c>
      <c r="F84" s="104">
        <f aca="true" t="shared" si="13" ref="F84:F95">IF(C84=0,0,E84/C84)</f>
        <v>-0.05907213438915851</v>
      </c>
    </row>
    <row r="85" spans="1:6" ht="18" customHeight="1">
      <c r="A85" s="114">
        <v>2</v>
      </c>
      <c r="B85" s="106" t="s">
        <v>269</v>
      </c>
      <c r="C85" s="103">
        <f t="shared" si="11"/>
        <v>4781131</v>
      </c>
      <c r="D85" s="103">
        <f t="shared" si="11"/>
        <v>7878153</v>
      </c>
      <c r="E85" s="103">
        <f t="shared" si="12"/>
        <v>3097022</v>
      </c>
      <c r="F85" s="104">
        <f t="shared" si="13"/>
        <v>0.6477592854075741</v>
      </c>
    </row>
    <row r="86" spans="1:6" ht="18" customHeight="1">
      <c r="A86" s="114">
        <v>3</v>
      </c>
      <c r="B86" s="106" t="s">
        <v>270</v>
      </c>
      <c r="C86" s="103">
        <f t="shared" si="11"/>
        <v>6126109</v>
      </c>
      <c r="D86" s="103">
        <f t="shared" si="11"/>
        <v>6517785</v>
      </c>
      <c r="E86" s="103">
        <f t="shared" si="12"/>
        <v>391676</v>
      </c>
      <c r="F86" s="104">
        <f t="shared" si="13"/>
        <v>0.06393552579622726</v>
      </c>
    </row>
    <row r="87" spans="1:6" ht="18" customHeight="1">
      <c r="A87" s="114">
        <v>4</v>
      </c>
      <c r="B87" s="106" t="s">
        <v>271</v>
      </c>
      <c r="C87" s="103">
        <f t="shared" si="11"/>
        <v>6968654</v>
      </c>
      <c r="D87" s="103">
        <f t="shared" si="11"/>
        <v>9819372</v>
      </c>
      <c r="E87" s="103">
        <f t="shared" si="12"/>
        <v>2850718</v>
      </c>
      <c r="F87" s="104">
        <f t="shared" si="13"/>
        <v>0.40907727661611554</v>
      </c>
    </row>
    <row r="88" spans="1:6" ht="18" customHeight="1">
      <c r="A88" s="114">
        <v>5</v>
      </c>
      <c r="B88" s="106" t="s">
        <v>272</v>
      </c>
      <c r="C88" s="103">
        <f t="shared" si="11"/>
        <v>3673879</v>
      </c>
      <c r="D88" s="103">
        <f t="shared" si="11"/>
        <v>3695292</v>
      </c>
      <c r="E88" s="103">
        <f t="shared" si="12"/>
        <v>21413</v>
      </c>
      <c r="F88" s="104">
        <f t="shared" si="13"/>
        <v>0.0058284445404979315</v>
      </c>
    </row>
    <row r="89" spans="1:6" ht="18" customHeight="1">
      <c r="A89" s="114">
        <v>6</v>
      </c>
      <c r="B89" s="106" t="s">
        <v>273</v>
      </c>
      <c r="C89" s="103">
        <f t="shared" si="11"/>
        <v>9785544</v>
      </c>
      <c r="D89" s="103">
        <f t="shared" si="11"/>
        <v>10285783</v>
      </c>
      <c r="E89" s="103">
        <f t="shared" si="12"/>
        <v>500239</v>
      </c>
      <c r="F89" s="104">
        <f t="shared" si="13"/>
        <v>0.051120203434780936</v>
      </c>
    </row>
    <row r="90" spans="1:6" ht="18" customHeight="1">
      <c r="A90" s="114">
        <v>7</v>
      </c>
      <c r="B90" s="106" t="s">
        <v>274</v>
      </c>
      <c r="C90" s="103">
        <f t="shared" si="11"/>
        <v>117767552</v>
      </c>
      <c r="D90" s="103">
        <f t="shared" si="11"/>
        <v>129460625</v>
      </c>
      <c r="E90" s="103">
        <f t="shared" si="12"/>
        <v>11693073</v>
      </c>
      <c r="F90" s="104">
        <f t="shared" si="13"/>
        <v>0.09928942906107108</v>
      </c>
    </row>
    <row r="91" spans="1:6" ht="18" customHeight="1">
      <c r="A91" s="114">
        <v>8</v>
      </c>
      <c r="B91" s="106" t="s">
        <v>275</v>
      </c>
      <c r="C91" s="103">
        <f t="shared" si="11"/>
        <v>7911380</v>
      </c>
      <c r="D91" s="103">
        <f t="shared" si="11"/>
        <v>7695485</v>
      </c>
      <c r="E91" s="103">
        <f t="shared" si="12"/>
        <v>-215895</v>
      </c>
      <c r="F91" s="104">
        <f t="shared" si="13"/>
        <v>-0.0272891707894198</v>
      </c>
    </row>
    <row r="92" spans="1:6" ht="18" customHeight="1">
      <c r="A92" s="114">
        <v>9</v>
      </c>
      <c r="B92" s="106" t="s">
        <v>276</v>
      </c>
      <c r="C92" s="103">
        <f t="shared" si="11"/>
        <v>3253424</v>
      </c>
      <c r="D92" s="103">
        <f t="shared" si="11"/>
        <v>3277704</v>
      </c>
      <c r="E92" s="103">
        <f t="shared" si="12"/>
        <v>24280</v>
      </c>
      <c r="F92" s="104">
        <f t="shared" si="13"/>
        <v>0.007462906771450632</v>
      </c>
    </row>
    <row r="93" spans="1:6" ht="18" customHeight="1">
      <c r="A93" s="114">
        <v>10</v>
      </c>
      <c r="B93" s="106" t="s">
        <v>277</v>
      </c>
      <c r="C93" s="103">
        <f t="shared" si="11"/>
        <v>2358730</v>
      </c>
      <c r="D93" s="103">
        <f t="shared" si="11"/>
        <v>3206596</v>
      </c>
      <c r="E93" s="103">
        <f t="shared" si="12"/>
        <v>847866</v>
      </c>
      <c r="F93" s="104">
        <f t="shared" si="13"/>
        <v>0.35945869175361317</v>
      </c>
    </row>
    <row r="94" spans="1:6" ht="18" customHeight="1" thickBot="1">
      <c r="A94" s="114">
        <v>11</v>
      </c>
      <c r="B94" s="106" t="s">
        <v>278</v>
      </c>
      <c r="C94" s="103">
        <f t="shared" si="11"/>
        <v>632939</v>
      </c>
      <c r="D94" s="103">
        <f t="shared" si="11"/>
        <v>495661</v>
      </c>
      <c r="E94" s="103">
        <f t="shared" si="12"/>
        <v>-137278</v>
      </c>
      <c r="F94" s="104">
        <f t="shared" si="13"/>
        <v>-0.21688977926782835</v>
      </c>
    </row>
    <row r="95" spans="1:6" ht="18.75" customHeight="1" thickBot="1">
      <c r="A95" s="115"/>
      <c r="B95" s="116" t="s">
        <v>290</v>
      </c>
      <c r="C95" s="112">
        <f>SUM(C84:C94)</f>
        <v>230530959</v>
      </c>
      <c r="D95" s="112">
        <f>SUM(D84:D94)</f>
        <v>245630195</v>
      </c>
      <c r="E95" s="112">
        <f t="shared" si="12"/>
        <v>15099236</v>
      </c>
      <c r="F95" s="113">
        <f t="shared" si="13"/>
        <v>0.06549764971046687</v>
      </c>
    </row>
    <row r="96" spans="1:6" ht="18" customHeight="1">
      <c r="A96" s="662" t="s">
        <v>291</v>
      </c>
      <c r="B96" s="664" t="s">
        <v>292</v>
      </c>
      <c r="C96" s="666"/>
      <c r="D96" s="667"/>
      <c r="E96" s="667"/>
      <c r="F96" s="668"/>
    </row>
    <row r="97" spans="1:6" ht="18" customHeight="1">
      <c r="A97" s="663"/>
      <c r="B97" s="665"/>
      <c r="C97" s="669"/>
      <c r="D97" s="670"/>
      <c r="E97" s="670"/>
      <c r="F97" s="671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266</v>
      </c>
      <c r="B99" s="95" t="s">
        <v>293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268</v>
      </c>
      <c r="C100" s="117">
        <v>4727</v>
      </c>
      <c r="D100" s="117">
        <v>4537</v>
      </c>
      <c r="E100" s="117">
        <f aca="true" t="shared" si="14" ref="E100:E111">D100-C100</f>
        <v>-190</v>
      </c>
      <c r="F100" s="98">
        <f aca="true" t="shared" si="15" ref="F100:F111">IF(C100=0,0,E100/C100)</f>
        <v>-0.04019462661307383</v>
      </c>
    </row>
    <row r="101" spans="1:6" ht="18" customHeight="1">
      <c r="A101" s="99">
        <v>2</v>
      </c>
      <c r="B101" s="100" t="s">
        <v>269</v>
      </c>
      <c r="C101" s="117">
        <v>321</v>
      </c>
      <c r="D101" s="117">
        <v>502</v>
      </c>
      <c r="E101" s="117">
        <f t="shared" si="14"/>
        <v>181</v>
      </c>
      <c r="F101" s="98">
        <f t="shared" si="15"/>
        <v>0.5638629283489096</v>
      </c>
    </row>
    <row r="102" spans="1:6" ht="18" customHeight="1">
      <c r="A102" s="99">
        <v>3</v>
      </c>
      <c r="B102" s="100" t="s">
        <v>270</v>
      </c>
      <c r="C102" s="117">
        <v>526</v>
      </c>
      <c r="D102" s="117">
        <v>673</v>
      </c>
      <c r="E102" s="117">
        <f t="shared" si="14"/>
        <v>147</v>
      </c>
      <c r="F102" s="98">
        <f t="shared" si="15"/>
        <v>0.279467680608365</v>
      </c>
    </row>
    <row r="103" spans="1:6" ht="18" customHeight="1">
      <c r="A103" s="99">
        <v>4</v>
      </c>
      <c r="B103" s="100" t="s">
        <v>271</v>
      </c>
      <c r="C103" s="117">
        <v>933</v>
      </c>
      <c r="D103" s="117">
        <v>1091</v>
      </c>
      <c r="E103" s="117">
        <f t="shared" si="14"/>
        <v>158</v>
      </c>
      <c r="F103" s="98">
        <f t="shared" si="15"/>
        <v>0.16934619506966775</v>
      </c>
    </row>
    <row r="104" spans="1:6" ht="18" customHeight="1">
      <c r="A104" s="99">
        <v>5</v>
      </c>
      <c r="B104" s="100" t="s">
        <v>272</v>
      </c>
      <c r="C104" s="117">
        <v>264</v>
      </c>
      <c r="D104" s="117">
        <v>237</v>
      </c>
      <c r="E104" s="117">
        <f t="shared" si="14"/>
        <v>-27</v>
      </c>
      <c r="F104" s="98">
        <f t="shared" si="15"/>
        <v>-0.10227272727272728</v>
      </c>
    </row>
    <row r="105" spans="1:6" ht="18" customHeight="1">
      <c r="A105" s="99">
        <v>6</v>
      </c>
      <c r="B105" s="100" t="s">
        <v>273</v>
      </c>
      <c r="C105" s="117">
        <v>209</v>
      </c>
      <c r="D105" s="117">
        <v>188</v>
      </c>
      <c r="E105" s="117">
        <f t="shared" si="14"/>
        <v>-21</v>
      </c>
      <c r="F105" s="98">
        <f t="shared" si="15"/>
        <v>-0.10047846889952153</v>
      </c>
    </row>
    <row r="106" spans="1:6" ht="18" customHeight="1">
      <c r="A106" s="99">
        <v>7</v>
      </c>
      <c r="B106" s="100" t="s">
        <v>274</v>
      </c>
      <c r="C106" s="117">
        <v>4031</v>
      </c>
      <c r="D106" s="117">
        <v>3891</v>
      </c>
      <c r="E106" s="117">
        <f t="shared" si="14"/>
        <v>-140</v>
      </c>
      <c r="F106" s="98">
        <f t="shared" si="15"/>
        <v>-0.0347308360208385</v>
      </c>
    </row>
    <row r="107" spans="1:6" ht="18" customHeight="1">
      <c r="A107" s="99">
        <v>8</v>
      </c>
      <c r="B107" s="100" t="s">
        <v>275</v>
      </c>
      <c r="C107" s="117">
        <v>130</v>
      </c>
      <c r="D107" s="117">
        <v>117</v>
      </c>
      <c r="E107" s="117">
        <f t="shared" si="14"/>
        <v>-13</v>
      </c>
      <c r="F107" s="98">
        <f t="shared" si="15"/>
        <v>-0.1</v>
      </c>
    </row>
    <row r="108" spans="1:6" ht="18" customHeight="1">
      <c r="A108" s="99">
        <v>9</v>
      </c>
      <c r="B108" s="100" t="s">
        <v>276</v>
      </c>
      <c r="C108" s="117">
        <v>350</v>
      </c>
      <c r="D108" s="117">
        <v>265</v>
      </c>
      <c r="E108" s="117">
        <f t="shared" si="14"/>
        <v>-85</v>
      </c>
      <c r="F108" s="98">
        <f t="shared" si="15"/>
        <v>-0.24285714285714285</v>
      </c>
    </row>
    <row r="109" spans="1:6" ht="18" customHeight="1">
      <c r="A109" s="99">
        <v>10</v>
      </c>
      <c r="B109" s="100" t="s">
        <v>277</v>
      </c>
      <c r="C109" s="117">
        <v>402</v>
      </c>
      <c r="D109" s="117">
        <v>339</v>
      </c>
      <c r="E109" s="117">
        <f t="shared" si="14"/>
        <v>-63</v>
      </c>
      <c r="F109" s="98">
        <f t="shared" si="15"/>
        <v>-0.15671641791044777</v>
      </c>
    </row>
    <row r="110" spans="1:6" ht="18" customHeight="1">
      <c r="A110" s="99">
        <v>11</v>
      </c>
      <c r="B110" s="100" t="s">
        <v>278</v>
      </c>
      <c r="C110" s="117">
        <v>47</v>
      </c>
      <c r="D110" s="117">
        <v>45</v>
      </c>
      <c r="E110" s="117">
        <f t="shared" si="14"/>
        <v>-2</v>
      </c>
      <c r="F110" s="98">
        <f t="shared" si="15"/>
        <v>-0.0425531914893617</v>
      </c>
    </row>
    <row r="111" spans="1:6" ht="18" customHeight="1">
      <c r="A111" s="101"/>
      <c r="B111" s="102" t="s">
        <v>294</v>
      </c>
      <c r="C111" s="118">
        <f>SUM(C100:C110)</f>
        <v>11940</v>
      </c>
      <c r="D111" s="118">
        <f>SUM(D100:D110)</f>
        <v>11885</v>
      </c>
      <c r="E111" s="118">
        <f t="shared" si="14"/>
        <v>-55</v>
      </c>
      <c r="F111" s="104">
        <f t="shared" si="15"/>
        <v>-0.0046063651591289785</v>
      </c>
    </row>
    <row r="112" spans="1:6" ht="18" customHeight="1">
      <c r="A112" s="94" t="s">
        <v>280</v>
      </c>
      <c r="B112" s="95" t="s">
        <v>295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268</v>
      </c>
      <c r="C113" s="117">
        <v>24916</v>
      </c>
      <c r="D113" s="117">
        <v>23279</v>
      </c>
      <c r="E113" s="117">
        <f aca="true" t="shared" si="16" ref="E113:E124">D113-C113</f>
        <v>-1637</v>
      </c>
      <c r="F113" s="98">
        <f aca="true" t="shared" si="17" ref="F113:F124">IF(C113=0,0,E113/C113)</f>
        <v>-0.0657007545352384</v>
      </c>
    </row>
    <row r="114" spans="1:6" ht="18" customHeight="1">
      <c r="A114" s="99">
        <v>2</v>
      </c>
      <c r="B114" s="100" t="s">
        <v>269</v>
      </c>
      <c r="C114" s="117">
        <v>1586</v>
      </c>
      <c r="D114" s="117">
        <v>2728</v>
      </c>
      <c r="E114" s="117">
        <f t="shared" si="16"/>
        <v>1142</v>
      </c>
      <c r="F114" s="98">
        <f t="shared" si="17"/>
        <v>0.7200504413619168</v>
      </c>
    </row>
    <row r="115" spans="1:6" ht="18" customHeight="1">
      <c r="A115" s="99">
        <v>3</v>
      </c>
      <c r="B115" s="100" t="s">
        <v>270</v>
      </c>
      <c r="C115" s="117">
        <v>3384</v>
      </c>
      <c r="D115" s="117">
        <v>3153</v>
      </c>
      <c r="E115" s="117">
        <f t="shared" si="16"/>
        <v>-231</v>
      </c>
      <c r="F115" s="98">
        <f t="shared" si="17"/>
        <v>-0.06826241134751773</v>
      </c>
    </row>
    <row r="116" spans="1:6" ht="18" customHeight="1">
      <c r="A116" s="99">
        <v>4</v>
      </c>
      <c r="B116" s="100" t="s">
        <v>271</v>
      </c>
      <c r="C116" s="117">
        <v>2377</v>
      </c>
      <c r="D116" s="117">
        <v>3117</v>
      </c>
      <c r="E116" s="117">
        <f t="shared" si="16"/>
        <v>740</v>
      </c>
      <c r="F116" s="98">
        <f t="shared" si="17"/>
        <v>0.31131678586453515</v>
      </c>
    </row>
    <row r="117" spans="1:6" ht="18" customHeight="1">
      <c r="A117" s="99">
        <v>5</v>
      </c>
      <c r="B117" s="100" t="s">
        <v>272</v>
      </c>
      <c r="C117" s="117">
        <v>730</v>
      </c>
      <c r="D117" s="117">
        <v>649</v>
      </c>
      <c r="E117" s="117">
        <f t="shared" si="16"/>
        <v>-81</v>
      </c>
      <c r="F117" s="98">
        <f t="shared" si="17"/>
        <v>-0.11095890410958904</v>
      </c>
    </row>
    <row r="118" spans="1:6" ht="18" customHeight="1">
      <c r="A118" s="99">
        <v>6</v>
      </c>
      <c r="B118" s="100" t="s">
        <v>273</v>
      </c>
      <c r="C118" s="117">
        <v>623</v>
      </c>
      <c r="D118" s="117">
        <v>655</v>
      </c>
      <c r="E118" s="117">
        <f t="shared" si="16"/>
        <v>32</v>
      </c>
      <c r="F118" s="98">
        <f t="shared" si="17"/>
        <v>0.051364365971107544</v>
      </c>
    </row>
    <row r="119" spans="1:6" ht="18" customHeight="1">
      <c r="A119" s="99">
        <v>7</v>
      </c>
      <c r="B119" s="100" t="s">
        <v>274</v>
      </c>
      <c r="C119" s="117">
        <v>13381</v>
      </c>
      <c r="D119" s="117">
        <v>13164</v>
      </c>
      <c r="E119" s="117">
        <f t="shared" si="16"/>
        <v>-217</v>
      </c>
      <c r="F119" s="98">
        <f t="shared" si="17"/>
        <v>-0.01621702413870413</v>
      </c>
    </row>
    <row r="120" spans="1:6" ht="18" customHeight="1">
      <c r="A120" s="99">
        <v>8</v>
      </c>
      <c r="B120" s="100" t="s">
        <v>275</v>
      </c>
      <c r="C120" s="117">
        <v>473</v>
      </c>
      <c r="D120" s="117">
        <v>360</v>
      </c>
      <c r="E120" s="117">
        <f t="shared" si="16"/>
        <v>-113</v>
      </c>
      <c r="F120" s="98">
        <f t="shared" si="17"/>
        <v>-0.23890063424947147</v>
      </c>
    </row>
    <row r="121" spans="1:6" ht="18" customHeight="1">
      <c r="A121" s="99">
        <v>9</v>
      </c>
      <c r="B121" s="100" t="s">
        <v>276</v>
      </c>
      <c r="C121" s="117">
        <v>1016</v>
      </c>
      <c r="D121" s="117">
        <v>1101</v>
      </c>
      <c r="E121" s="117">
        <f t="shared" si="16"/>
        <v>85</v>
      </c>
      <c r="F121" s="98">
        <f t="shared" si="17"/>
        <v>0.08366141732283465</v>
      </c>
    </row>
    <row r="122" spans="1:6" ht="18" customHeight="1">
      <c r="A122" s="99">
        <v>10</v>
      </c>
      <c r="B122" s="100" t="s">
        <v>277</v>
      </c>
      <c r="C122" s="117">
        <v>1716</v>
      </c>
      <c r="D122" s="117">
        <v>1665</v>
      </c>
      <c r="E122" s="117">
        <f t="shared" si="16"/>
        <v>-51</v>
      </c>
      <c r="F122" s="98">
        <f t="shared" si="17"/>
        <v>-0.02972027972027972</v>
      </c>
    </row>
    <row r="123" spans="1:6" ht="18" customHeight="1">
      <c r="A123" s="99">
        <v>11</v>
      </c>
      <c r="B123" s="100" t="s">
        <v>278</v>
      </c>
      <c r="C123" s="117">
        <v>310</v>
      </c>
      <c r="D123" s="117">
        <v>161</v>
      </c>
      <c r="E123" s="117">
        <f t="shared" si="16"/>
        <v>-149</v>
      </c>
      <c r="F123" s="98">
        <f t="shared" si="17"/>
        <v>-0.4806451612903226</v>
      </c>
    </row>
    <row r="124" spans="1:6" ht="18" customHeight="1">
      <c r="A124" s="101"/>
      <c r="B124" s="102" t="s">
        <v>296</v>
      </c>
      <c r="C124" s="118">
        <f>SUM(C113:C123)</f>
        <v>50512</v>
      </c>
      <c r="D124" s="118">
        <f>SUM(D113:D123)</f>
        <v>50032</v>
      </c>
      <c r="E124" s="118">
        <f t="shared" si="16"/>
        <v>-480</v>
      </c>
      <c r="F124" s="104">
        <f t="shared" si="17"/>
        <v>-0.009502692429521698</v>
      </c>
    </row>
    <row r="125" spans="1:6" ht="18" customHeight="1">
      <c r="A125" s="94" t="s">
        <v>297</v>
      </c>
      <c r="B125" s="95" t="s">
        <v>298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268</v>
      </c>
      <c r="C126" s="117">
        <v>106000</v>
      </c>
      <c r="D126" s="117">
        <v>110601</v>
      </c>
      <c r="E126" s="117">
        <f aca="true" t="shared" si="18" ref="E126:E137">D126-C126</f>
        <v>4601</v>
      </c>
      <c r="F126" s="98">
        <f aca="true" t="shared" si="19" ref="F126:F137">IF(C126=0,0,E126/C126)</f>
        <v>0.04340566037735849</v>
      </c>
    </row>
    <row r="127" spans="1:6" ht="18" customHeight="1">
      <c r="A127" s="99">
        <v>2</v>
      </c>
      <c r="B127" s="100" t="s">
        <v>269</v>
      </c>
      <c r="C127" s="117">
        <v>6300</v>
      </c>
      <c r="D127" s="117">
        <v>10953</v>
      </c>
      <c r="E127" s="117">
        <f t="shared" si="18"/>
        <v>4653</v>
      </c>
      <c r="F127" s="98">
        <f t="shared" si="19"/>
        <v>0.7385714285714285</v>
      </c>
    </row>
    <row r="128" spans="1:6" ht="18" customHeight="1">
      <c r="A128" s="99">
        <v>3</v>
      </c>
      <c r="B128" s="100" t="s">
        <v>270</v>
      </c>
      <c r="C128" s="117">
        <v>21461</v>
      </c>
      <c r="D128" s="117">
        <v>15066</v>
      </c>
      <c r="E128" s="117">
        <f t="shared" si="18"/>
        <v>-6395</v>
      </c>
      <c r="F128" s="98">
        <f t="shared" si="19"/>
        <v>-0.2979823866548623</v>
      </c>
    </row>
    <row r="129" spans="1:6" ht="18" customHeight="1">
      <c r="A129" s="99">
        <v>4</v>
      </c>
      <c r="B129" s="100" t="s">
        <v>271</v>
      </c>
      <c r="C129" s="117">
        <v>18977</v>
      </c>
      <c r="D129" s="117">
        <v>31568</v>
      </c>
      <c r="E129" s="117">
        <f t="shared" si="18"/>
        <v>12591</v>
      </c>
      <c r="F129" s="98">
        <f t="shared" si="19"/>
        <v>0.6634873794593455</v>
      </c>
    </row>
    <row r="130" spans="1:6" ht="18" customHeight="1">
      <c r="A130" s="99">
        <v>5</v>
      </c>
      <c r="B130" s="100" t="s">
        <v>272</v>
      </c>
      <c r="C130" s="117">
        <v>7732</v>
      </c>
      <c r="D130" s="117">
        <v>7697</v>
      </c>
      <c r="E130" s="117">
        <f t="shared" si="18"/>
        <v>-35</v>
      </c>
      <c r="F130" s="98">
        <f t="shared" si="19"/>
        <v>-0.004526642524573203</v>
      </c>
    </row>
    <row r="131" spans="1:6" ht="18" customHeight="1">
      <c r="A131" s="99">
        <v>6</v>
      </c>
      <c r="B131" s="100" t="s">
        <v>273</v>
      </c>
      <c r="C131" s="117">
        <v>9387</v>
      </c>
      <c r="D131" s="117">
        <v>8717</v>
      </c>
      <c r="E131" s="117">
        <f t="shared" si="18"/>
        <v>-670</v>
      </c>
      <c r="F131" s="98">
        <f t="shared" si="19"/>
        <v>-0.07137530627463513</v>
      </c>
    </row>
    <row r="132" spans="1:6" ht="18" customHeight="1">
      <c r="A132" s="99">
        <v>7</v>
      </c>
      <c r="B132" s="100" t="s">
        <v>274</v>
      </c>
      <c r="C132" s="117">
        <v>161730</v>
      </c>
      <c r="D132" s="117">
        <v>185661</v>
      </c>
      <c r="E132" s="117">
        <f t="shared" si="18"/>
        <v>23931</v>
      </c>
      <c r="F132" s="98">
        <f t="shared" si="19"/>
        <v>0.147968836950473</v>
      </c>
    </row>
    <row r="133" spans="1:6" ht="18" customHeight="1">
      <c r="A133" s="99">
        <v>8</v>
      </c>
      <c r="B133" s="100" t="s">
        <v>275</v>
      </c>
      <c r="C133" s="117">
        <v>7479</v>
      </c>
      <c r="D133" s="117">
        <v>5532</v>
      </c>
      <c r="E133" s="117">
        <f t="shared" si="18"/>
        <v>-1947</v>
      </c>
      <c r="F133" s="98">
        <f t="shared" si="19"/>
        <v>-0.2603289209787405</v>
      </c>
    </row>
    <row r="134" spans="1:6" ht="18" customHeight="1">
      <c r="A134" s="99">
        <v>9</v>
      </c>
      <c r="B134" s="100" t="s">
        <v>276</v>
      </c>
      <c r="C134" s="117">
        <v>25500</v>
      </c>
      <c r="D134" s="117">
        <v>16997</v>
      </c>
      <c r="E134" s="117">
        <f t="shared" si="18"/>
        <v>-8503</v>
      </c>
      <c r="F134" s="98">
        <f t="shared" si="19"/>
        <v>-0.33345098039215687</v>
      </c>
    </row>
    <row r="135" spans="1:6" ht="18" customHeight="1">
      <c r="A135" s="99">
        <v>10</v>
      </c>
      <c r="B135" s="100" t="s">
        <v>277</v>
      </c>
      <c r="C135" s="117">
        <v>9049</v>
      </c>
      <c r="D135" s="117">
        <v>10957</v>
      </c>
      <c r="E135" s="117">
        <f t="shared" si="18"/>
        <v>1908</v>
      </c>
      <c r="F135" s="98">
        <f t="shared" si="19"/>
        <v>0.21085202784838103</v>
      </c>
    </row>
    <row r="136" spans="1:6" ht="18" customHeight="1">
      <c r="A136" s="99">
        <v>11</v>
      </c>
      <c r="B136" s="100" t="s">
        <v>278</v>
      </c>
      <c r="C136" s="117">
        <v>647</v>
      </c>
      <c r="D136" s="117">
        <v>909</v>
      </c>
      <c r="E136" s="117">
        <f t="shared" si="18"/>
        <v>262</v>
      </c>
      <c r="F136" s="98">
        <f t="shared" si="19"/>
        <v>0.40494590417310666</v>
      </c>
    </row>
    <row r="137" spans="1:6" ht="18" customHeight="1">
      <c r="A137" s="101"/>
      <c r="B137" s="102" t="s">
        <v>299</v>
      </c>
      <c r="C137" s="118">
        <f>SUM(C126:C136)</f>
        <v>374262</v>
      </c>
      <c r="D137" s="118">
        <f>SUM(D126:D136)</f>
        <v>404658</v>
      </c>
      <c r="E137" s="118">
        <f t="shared" si="18"/>
        <v>30396</v>
      </c>
      <c r="F137" s="104">
        <f t="shared" si="19"/>
        <v>0.08121583275886946</v>
      </c>
    </row>
    <row r="138" spans="1:6" ht="18" customHeight="1">
      <c r="A138" s="662" t="s">
        <v>300</v>
      </c>
      <c r="B138" s="664" t="s">
        <v>301</v>
      </c>
      <c r="C138" s="666"/>
      <c r="D138" s="667"/>
      <c r="E138" s="667"/>
      <c r="F138" s="668"/>
    </row>
    <row r="139" spans="1:6" ht="18" customHeight="1">
      <c r="A139" s="663"/>
      <c r="B139" s="665"/>
      <c r="C139" s="669"/>
      <c r="D139" s="670"/>
      <c r="E139" s="670"/>
      <c r="F139" s="671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266</v>
      </c>
      <c r="B141" s="95" t="s">
        <v>302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268</v>
      </c>
      <c r="C142" s="97">
        <v>13512116</v>
      </c>
      <c r="D142" s="97">
        <v>15169593</v>
      </c>
      <c r="E142" s="97">
        <f aca="true" t="shared" si="20" ref="E142:E153">D142-C142</f>
        <v>1657477</v>
      </c>
      <c r="F142" s="98">
        <f aca="true" t="shared" si="21" ref="F142:F153">IF(C142=0,0,E142/C142)</f>
        <v>0.1226659836253626</v>
      </c>
    </row>
    <row r="143" spans="1:6" ht="18" customHeight="1">
      <c r="A143" s="99">
        <v>2</v>
      </c>
      <c r="B143" s="100" t="s">
        <v>269</v>
      </c>
      <c r="C143" s="97">
        <v>904892</v>
      </c>
      <c r="D143" s="97">
        <v>1471167</v>
      </c>
      <c r="E143" s="97">
        <f t="shared" si="20"/>
        <v>566275</v>
      </c>
      <c r="F143" s="98">
        <f t="shared" si="21"/>
        <v>0.6257929123033467</v>
      </c>
    </row>
    <row r="144" spans="1:6" ht="18" customHeight="1">
      <c r="A144" s="99">
        <v>3</v>
      </c>
      <c r="B144" s="100" t="s">
        <v>270</v>
      </c>
      <c r="C144" s="97">
        <v>5344255</v>
      </c>
      <c r="D144" s="97">
        <v>5514203</v>
      </c>
      <c r="E144" s="97">
        <f t="shared" si="20"/>
        <v>169948</v>
      </c>
      <c r="F144" s="98">
        <f t="shared" si="21"/>
        <v>0.03180012929772251</v>
      </c>
    </row>
    <row r="145" spans="1:6" ht="18" customHeight="1">
      <c r="A145" s="99">
        <v>4</v>
      </c>
      <c r="B145" s="100" t="s">
        <v>271</v>
      </c>
      <c r="C145" s="97">
        <v>8949218</v>
      </c>
      <c r="D145" s="97">
        <v>12199998</v>
      </c>
      <c r="E145" s="97">
        <f t="shared" si="20"/>
        <v>3250780</v>
      </c>
      <c r="F145" s="98">
        <f t="shared" si="21"/>
        <v>0.3632473809443462</v>
      </c>
    </row>
    <row r="146" spans="1:6" ht="18" customHeight="1">
      <c r="A146" s="99">
        <v>5</v>
      </c>
      <c r="B146" s="100" t="s">
        <v>272</v>
      </c>
      <c r="C146" s="97">
        <v>1897878</v>
      </c>
      <c r="D146" s="97">
        <v>2347986</v>
      </c>
      <c r="E146" s="97">
        <f t="shared" si="20"/>
        <v>450108</v>
      </c>
      <c r="F146" s="98">
        <f t="shared" si="21"/>
        <v>0.23716382191057592</v>
      </c>
    </row>
    <row r="147" spans="1:6" ht="18" customHeight="1">
      <c r="A147" s="99">
        <v>6</v>
      </c>
      <c r="B147" s="100" t="s">
        <v>273</v>
      </c>
      <c r="C147" s="97">
        <v>2981891</v>
      </c>
      <c r="D147" s="97">
        <v>2666330</v>
      </c>
      <c r="E147" s="97">
        <f t="shared" si="20"/>
        <v>-315561</v>
      </c>
      <c r="F147" s="98">
        <f t="shared" si="21"/>
        <v>-0.10582579980287676</v>
      </c>
    </row>
    <row r="148" spans="1:6" ht="18" customHeight="1">
      <c r="A148" s="99">
        <v>7</v>
      </c>
      <c r="B148" s="100" t="s">
        <v>274</v>
      </c>
      <c r="C148" s="97">
        <v>25824802</v>
      </c>
      <c r="D148" s="97">
        <v>29872032</v>
      </c>
      <c r="E148" s="97">
        <f t="shared" si="20"/>
        <v>4047230</v>
      </c>
      <c r="F148" s="98">
        <f t="shared" si="21"/>
        <v>0.15671872334200276</v>
      </c>
    </row>
    <row r="149" spans="1:6" ht="18" customHeight="1">
      <c r="A149" s="99">
        <v>8</v>
      </c>
      <c r="B149" s="100" t="s">
        <v>275</v>
      </c>
      <c r="C149" s="97">
        <v>1659804</v>
      </c>
      <c r="D149" s="97">
        <v>1569894</v>
      </c>
      <c r="E149" s="97">
        <f t="shared" si="20"/>
        <v>-89910</v>
      </c>
      <c r="F149" s="98">
        <f t="shared" si="21"/>
        <v>-0.05416904646572728</v>
      </c>
    </row>
    <row r="150" spans="1:6" ht="18" customHeight="1">
      <c r="A150" s="99">
        <v>9</v>
      </c>
      <c r="B150" s="100" t="s">
        <v>276</v>
      </c>
      <c r="C150" s="97">
        <v>7085285</v>
      </c>
      <c r="D150" s="97">
        <v>8298404</v>
      </c>
      <c r="E150" s="97">
        <f t="shared" si="20"/>
        <v>1213119</v>
      </c>
      <c r="F150" s="98">
        <f t="shared" si="21"/>
        <v>0.17121668359141518</v>
      </c>
    </row>
    <row r="151" spans="1:6" ht="18" customHeight="1">
      <c r="A151" s="99">
        <v>10</v>
      </c>
      <c r="B151" s="100" t="s">
        <v>277</v>
      </c>
      <c r="C151" s="97">
        <v>4732826</v>
      </c>
      <c r="D151" s="97">
        <v>6110223</v>
      </c>
      <c r="E151" s="97">
        <f t="shared" si="20"/>
        <v>1377397</v>
      </c>
      <c r="F151" s="98">
        <f t="shared" si="21"/>
        <v>0.29103055975436243</v>
      </c>
    </row>
    <row r="152" spans="1:6" ht="18" customHeight="1">
      <c r="A152" s="99">
        <v>11</v>
      </c>
      <c r="B152" s="100" t="s">
        <v>278</v>
      </c>
      <c r="C152" s="97">
        <v>593126</v>
      </c>
      <c r="D152" s="97">
        <v>681915</v>
      </c>
      <c r="E152" s="97">
        <f t="shared" si="20"/>
        <v>88789</v>
      </c>
      <c r="F152" s="98">
        <f t="shared" si="21"/>
        <v>0.14969669176532474</v>
      </c>
    </row>
    <row r="153" spans="1:6" ht="33.75" customHeight="1">
      <c r="A153" s="101"/>
      <c r="B153" s="102" t="s">
        <v>303</v>
      </c>
      <c r="C153" s="103">
        <f>SUM(C142:C152)</f>
        <v>73486093</v>
      </c>
      <c r="D153" s="103">
        <f>SUM(D142:D152)</f>
        <v>85901745</v>
      </c>
      <c r="E153" s="103">
        <f t="shared" si="20"/>
        <v>12415652</v>
      </c>
      <c r="F153" s="104">
        <f t="shared" si="21"/>
        <v>0.16895240300773645</v>
      </c>
    </row>
    <row r="154" spans="1:6" ht="18" customHeight="1">
      <c r="A154" s="94" t="s">
        <v>280</v>
      </c>
      <c r="B154" s="95" t="s">
        <v>304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268</v>
      </c>
      <c r="C155" s="97">
        <v>4162221</v>
      </c>
      <c r="D155" s="97">
        <v>4463680</v>
      </c>
      <c r="E155" s="97">
        <f aca="true" t="shared" si="22" ref="E155:E166">D155-C155</f>
        <v>301459</v>
      </c>
      <c r="F155" s="98">
        <f aca="true" t="shared" si="23" ref="F155:F166">IF(C155=0,0,E155/C155)</f>
        <v>0.07242743717837184</v>
      </c>
    </row>
    <row r="156" spans="1:6" ht="18" customHeight="1">
      <c r="A156" s="99">
        <v>2</v>
      </c>
      <c r="B156" s="100" t="s">
        <v>269</v>
      </c>
      <c r="C156" s="97">
        <v>284824</v>
      </c>
      <c r="D156" s="97">
        <v>456870</v>
      </c>
      <c r="E156" s="97">
        <f t="shared" si="22"/>
        <v>172046</v>
      </c>
      <c r="F156" s="98">
        <f t="shared" si="23"/>
        <v>0.604043198606859</v>
      </c>
    </row>
    <row r="157" spans="1:6" ht="18" customHeight="1">
      <c r="A157" s="99">
        <v>3</v>
      </c>
      <c r="B157" s="100" t="s">
        <v>270</v>
      </c>
      <c r="C157" s="97">
        <v>1278719</v>
      </c>
      <c r="D157" s="97">
        <v>1321314</v>
      </c>
      <c r="E157" s="97">
        <f t="shared" si="22"/>
        <v>42595</v>
      </c>
      <c r="F157" s="98">
        <f t="shared" si="23"/>
        <v>0.03331068045442353</v>
      </c>
    </row>
    <row r="158" spans="1:6" ht="18" customHeight="1">
      <c r="A158" s="99">
        <v>4</v>
      </c>
      <c r="B158" s="100" t="s">
        <v>271</v>
      </c>
      <c r="C158" s="97">
        <v>2249844</v>
      </c>
      <c r="D158" s="97">
        <v>3888659</v>
      </c>
      <c r="E158" s="97">
        <f t="shared" si="22"/>
        <v>1638815</v>
      </c>
      <c r="F158" s="98">
        <f t="shared" si="23"/>
        <v>0.7284127255045239</v>
      </c>
    </row>
    <row r="159" spans="1:6" ht="18" customHeight="1">
      <c r="A159" s="99">
        <v>5</v>
      </c>
      <c r="B159" s="100" t="s">
        <v>272</v>
      </c>
      <c r="C159" s="97">
        <v>922180</v>
      </c>
      <c r="D159" s="97">
        <v>1106584</v>
      </c>
      <c r="E159" s="97">
        <f t="shared" si="22"/>
        <v>184404</v>
      </c>
      <c r="F159" s="98">
        <f t="shared" si="23"/>
        <v>0.199965299616127</v>
      </c>
    </row>
    <row r="160" spans="1:6" ht="18" customHeight="1">
      <c r="A160" s="99">
        <v>6</v>
      </c>
      <c r="B160" s="100" t="s">
        <v>273</v>
      </c>
      <c r="C160" s="97">
        <v>2573697</v>
      </c>
      <c r="D160" s="97">
        <v>2324389</v>
      </c>
      <c r="E160" s="97">
        <f t="shared" si="22"/>
        <v>-249308</v>
      </c>
      <c r="F160" s="98">
        <f t="shared" si="23"/>
        <v>-0.09686765769241679</v>
      </c>
    </row>
    <row r="161" spans="1:6" ht="18" customHeight="1">
      <c r="A161" s="99">
        <v>7</v>
      </c>
      <c r="B161" s="100" t="s">
        <v>274</v>
      </c>
      <c r="C161" s="97">
        <v>18371668</v>
      </c>
      <c r="D161" s="97">
        <v>21652931</v>
      </c>
      <c r="E161" s="97">
        <f t="shared" si="22"/>
        <v>3281263</v>
      </c>
      <c r="F161" s="98">
        <f t="shared" si="23"/>
        <v>0.1786045230079272</v>
      </c>
    </row>
    <row r="162" spans="1:6" ht="18" customHeight="1">
      <c r="A162" s="99">
        <v>8</v>
      </c>
      <c r="B162" s="100" t="s">
        <v>275</v>
      </c>
      <c r="C162" s="97">
        <v>1324250</v>
      </c>
      <c r="D162" s="97">
        <v>1288481</v>
      </c>
      <c r="E162" s="97">
        <f t="shared" si="22"/>
        <v>-35769</v>
      </c>
      <c r="F162" s="98">
        <f t="shared" si="23"/>
        <v>-0.02701076080800453</v>
      </c>
    </row>
    <row r="163" spans="1:6" ht="18" customHeight="1">
      <c r="A163" s="99">
        <v>9</v>
      </c>
      <c r="B163" s="100" t="s">
        <v>276</v>
      </c>
      <c r="C163" s="97">
        <v>1476183</v>
      </c>
      <c r="D163" s="97">
        <v>1753202</v>
      </c>
      <c r="E163" s="97">
        <f t="shared" si="22"/>
        <v>277019</v>
      </c>
      <c r="F163" s="98">
        <f t="shared" si="23"/>
        <v>0.18765898266000897</v>
      </c>
    </row>
    <row r="164" spans="1:6" ht="18" customHeight="1">
      <c r="A164" s="99">
        <v>10</v>
      </c>
      <c r="B164" s="100" t="s">
        <v>277</v>
      </c>
      <c r="C164" s="97">
        <v>717547</v>
      </c>
      <c r="D164" s="97">
        <v>857416</v>
      </c>
      <c r="E164" s="97">
        <f t="shared" si="22"/>
        <v>139869</v>
      </c>
      <c r="F164" s="98">
        <f t="shared" si="23"/>
        <v>0.19492660411095022</v>
      </c>
    </row>
    <row r="165" spans="1:6" ht="18" customHeight="1">
      <c r="A165" s="99">
        <v>11</v>
      </c>
      <c r="B165" s="100" t="s">
        <v>278</v>
      </c>
      <c r="C165" s="97">
        <v>149809</v>
      </c>
      <c r="D165" s="97">
        <v>184387</v>
      </c>
      <c r="E165" s="97">
        <f t="shared" si="22"/>
        <v>34578</v>
      </c>
      <c r="F165" s="98">
        <f t="shared" si="23"/>
        <v>0.23081390303653318</v>
      </c>
    </row>
    <row r="166" spans="1:6" ht="33.75" customHeight="1">
      <c r="A166" s="101"/>
      <c r="B166" s="102" t="s">
        <v>305</v>
      </c>
      <c r="C166" s="103">
        <f>SUM(C155:C165)</f>
        <v>33510942</v>
      </c>
      <c r="D166" s="103">
        <f>SUM(D155:D165)</f>
        <v>39297913</v>
      </c>
      <c r="E166" s="103">
        <f t="shared" si="22"/>
        <v>5786971</v>
      </c>
      <c r="F166" s="104">
        <f t="shared" si="23"/>
        <v>0.17268899811888308</v>
      </c>
    </row>
    <row r="167" spans="1:6" ht="18" customHeight="1">
      <c r="A167" s="94" t="s">
        <v>297</v>
      </c>
      <c r="B167" s="95" t="s">
        <v>306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268</v>
      </c>
      <c r="C168" s="117">
        <v>8191</v>
      </c>
      <c r="D168" s="117">
        <v>7819</v>
      </c>
      <c r="E168" s="117">
        <f aca="true" t="shared" si="24" ref="E168:E179">D168-C168</f>
        <v>-372</v>
      </c>
      <c r="F168" s="98">
        <f aca="true" t="shared" si="25" ref="F168:F179">IF(C168=0,0,E168/C168)</f>
        <v>-0.04541570015871078</v>
      </c>
    </row>
    <row r="169" spans="1:6" ht="18" customHeight="1">
      <c r="A169" s="99">
        <v>2</v>
      </c>
      <c r="B169" s="100" t="s">
        <v>269</v>
      </c>
      <c r="C169" s="117">
        <v>434</v>
      </c>
      <c r="D169" s="117">
        <v>696</v>
      </c>
      <c r="E169" s="117">
        <f t="shared" si="24"/>
        <v>262</v>
      </c>
      <c r="F169" s="98">
        <f t="shared" si="25"/>
        <v>0.6036866359447005</v>
      </c>
    </row>
    <row r="170" spans="1:6" ht="18" customHeight="1">
      <c r="A170" s="99">
        <v>3</v>
      </c>
      <c r="B170" s="100" t="s">
        <v>270</v>
      </c>
      <c r="C170" s="117">
        <v>3795</v>
      </c>
      <c r="D170" s="117">
        <v>3508</v>
      </c>
      <c r="E170" s="117">
        <f t="shared" si="24"/>
        <v>-287</v>
      </c>
      <c r="F170" s="98">
        <f t="shared" si="25"/>
        <v>-0.0756258234519104</v>
      </c>
    </row>
    <row r="171" spans="1:6" ht="18" customHeight="1">
      <c r="A171" s="99">
        <v>4</v>
      </c>
      <c r="B171" s="100" t="s">
        <v>271</v>
      </c>
      <c r="C171" s="117">
        <v>8178</v>
      </c>
      <c r="D171" s="117">
        <v>11975</v>
      </c>
      <c r="E171" s="117">
        <f t="shared" si="24"/>
        <v>3797</v>
      </c>
      <c r="F171" s="98">
        <f t="shared" si="25"/>
        <v>0.4642944485204206</v>
      </c>
    </row>
    <row r="172" spans="1:6" ht="18" customHeight="1">
      <c r="A172" s="99">
        <v>5</v>
      </c>
      <c r="B172" s="100" t="s">
        <v>272</v>
      </c>
      <c r="C172" s="117">
        <v>1436</v>
      </c>
      <c r="D172" s="117">
        <v>1680</v>
      </c>
      <c r="E172" s="117">
        <f t="shared" si="24"/>
        <v>244</v>
      </c>
      <c r="F172" s="98">
        <f t="shared" si="25"/>
        <v>0.16991643454038996</v>
      </c>
    </row>
    <row r="173" spans="1:6" ht="18" customHeight="1">
      <c r="A173" s="99">
        <v>6</v>
      </c>
      <c r="B173" s="100" t="s">
        <v>273</v>
      </c>
      <c r="C173" s="117">
        <v>1909</v>
      </c>
      <c r="D173" s="117">
        <v>1484</v>
      </c>
      <c r="E173" s="117">
        <f t="shared" si="24"/>
        <v>-425</v>
      </c>
      <c r="F173" s="98">
        <f t="shared" si="25"/>
        <v>-0.22262964903090623</v>
      </c>
    </row>
    <row r="174" spans="1:6" ht="18" customHeight="1">
      <c r="A174" s="99">
        <v>7</v>
      </c>
      <c r="B174" s="100" t="s">
        <v>274</v>
      </c>
      <c r="C174" s="117">
        <v>17940</v>
      </c>
      <c r="D174" s="117">
        <v>19136</v>
      </c>
      <c r="E174" s="117">
        <f t="shared" si="24"/>
        <v>1196</v>
      </c>
      <c r="F174" s="98">
        <f t="shared" si="25"/>
        <v>0.06666666666666667</v>
      </c>
    </row>
    <row r="175" spans="1:6" ht="18" customHeight="1">
      <c r="A175" s="99">
        <v>8</v>
      </c>
      <c r="B175" s="100" t="s">
        <v>275</v>
      </c>
      <c r="C175" s="117">
        <v>1577</v>
      </c>
      <c r="D175" s="117">
        <v>1305</v>
      </c>
      <c r="E175" s="117">
        <f t="shared" si="24"/>
        <v>-272</v>
      </c>
      <c r="F175" s="98">
        <f t="shared" si="25"/>
        <v>-0.17247939124920736</v>
      </c>
    </row>
    <row r="176" spans="1:6" ht="18" customHeight="1">
      <c r="A176" s="99">
        <v>9</v>
      </c>
      <c r="B176" s="100" t="s">
        <v>276</v>
      </c>
      <c r="C176" s="117">
        <v>5279</v>
      </c>
      <c r="D176" s="117">
        <v>5494</v>
      </c>
      <c r="E176" s="117">
        <f t="shared" si="24"/>
        <v>215</v>
      </c>
      <c r="F176" s="98">
        <f t="shared" si="25"/>
        <v>0.04072741049441182</v>
      </c>
    </row>
    <row r="177" spans="1:6" ht="18" customHeight="1">
      <c r="A177" s="99">
        <v>10</v>
      </c>
      <c r="B177" s="100" t="s">
        <v>277</v>
      </c>
      <c r="C177" s="117">
        <v>3390</v>
      </c>
      <c r="D177" s="117">
        <v>3830</v>
      </c>
      <c r="E177" s="117">
        <f t="shared" si="24"/>
        <v>440</v>
      </c>
      <c r="F177" s="98">
        <f t="shared" si="25"/>
        <v>0.12979351032448377</v>
      </c>
    </row>
    <row r="178" spans="1:6" ht="18" customHeight="1">
      <c r="A178" s="99">
        <v>11</v>
      </c>
      <c r="B178" s="100" t="s">
        <v>278</v>
      </c>
      <c r="C178" s="117">
        <v>303</v>
      </c>
      <c r="D178" s="117">
        <v>378</v>
      </c>
      <c r="E178" s="117">
        <f t="shared" si="24"/>
        <v>75</v>
      </c>
      <c r="F178" s="98">
        <f t="shared" si="25"/>
        <v>0.24752475247524752</v>
      </c>
    </row>
    <row r="179" spans="1:6" ht="33.75" customHeight="1">
      <c r="A179" s="101"/>
      <c r="B179" s="102" t="s">
        <v>307</v>
      </c>
      <c r="C179" s="118">
        <f>SUM(C168:C178)</f>
        <v>52432</v>
      </c>
      <c r="D179" s="118">
        <f>SUM(D168:D178)</f>
        <v>57305</v>
      </c>
      <c r="E179" s="118">
        <f t="shared" si="24"/>
        <v>4873</v>
      </c>
      <c r="F179" s="104">
        <f t="shared" si="25"/>
        <v>0.09293942630454684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4" fitToWidth="1" horizontalDpi="1200" verticalDpi="1200" orientation="portrait" paperSize="9" scale="63" r:id="rId1"/>
  <headerFooter alignWithMargins="0">
    <oddHeader>&amp;LOFFICE OF HEALTH CARE ACCESS&amp;CTWELVE MONTHS ACTUAL FILING&amp;RWILLIAM W. BACKUS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156</v>
      </c>
      <c r="E2" s="123"/>
      <c r="F2" s="123"/>
      <c r="G2" s="124"/>
    </row>
    <row r="3" spans="1:7" ht="15.75" customHeight="1">
      <c r="A3" s="121"/>
      <c r="C3" s="123" t="s">
        <v>157</v>
      </c>
      <c r="E3" s="123"/>
      <c r="F3" s="123"/>
      <c r="G3" s="124"/>
    </row>
    <row r="4" spans="1:7" ht="15.75" customHeight="1">
      <c r="A4" s="121"/>
      <c r="C4" s="123" t="s">
        <v>158</v>
      </c>
      <c r="E4" s="123"/>
      <c r="F4" s="123"/>
      <c r="G4" s="124"/>
    </row>
    <row r="5" spans="1:7" ht="15.75" customHeight="1">
      <c r="A5" s="121"/>
      <c r="C5" s="123" t="s">
        <v>308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160</v>
      </c>
      <c r="D9" s="127" t="s">
        <v>161</v>
      </c>
      <c r="E9" s="129" t="s">
        <v>162</v>
      </c>
      <c r="F9" s="130" t="s">
        <v>309</v>
      </c>
      <c r="G9" s="124"/>
    </row>
    <row r="10" spans="1:7" ht="15.75" customHeight="1">
      <c r="A10" s="131" t="s">
        <v>310</v>
      </c>
      <c r="B10" s="132" t="s">
        <v>165</v>
      </c>
      <c r="C10" s="133" t="s">
        <v>166</v>
      </c>
      <c r="D10" s="133" t="s">
        <v>166</v>
      </c>
      <c r="E10" s="134" t="s">
        <v>167</v>
      </c>
      <c r="F10" s="133" t="s">
        <v>167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168</v>
      </c>
      <c r="B12" s="139" t="s">
        <v>311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266</v>
      </c>
      <c r="B14" s="145" t="s">
        <v>312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313</v>
      </c>
      <c r="C15" s="146">
        <v>38205041</v>
      </c>
      <c r="D15" s="146">
        <v>39916076</v>
      </c>
      <c r="E15" s="146">
        <f>+D15-C15</f>
        <v>1711035</v>
      </c>
      <c r="F15" s="150">
        <f>IF(C15=0,0,E15/C15)</f>
        <v>0.04478558209111724</v>
      </c>
    </row>
    <row r="16" spans="1:6" ht="15" customHeight="1">
      <c r="A16" s="141">
        <v>2</v>
      </c>
      <c r="B16" s="149" t="s">
        <v>314</v>
      </c>
      <c r="C16" s="146">
        <v>9040475</v>
      </c>
      <c r="D16" s="146">
        <v>9282412</v>
      </c>
      <c r="E16" s="146">
        <f>+D16-C16</f>
        <v>241937</v>
      </c>
      <c r="F16" s="150">
        <f>IF(C16=0,0,E16/C16)</f>
        <v>0.026761536313080894</v>
      </c>
    </row>
    <row r="17" spans="1:6" ht="15" customHeight="1">
      <c r="A17" s="141">
        <v>3</v>
      </c>
      <c r="B17" s="149" t="s">
        <v>315</v>
      </c>
      <c r="C17" s="146">
        <v>52710981</v>
      </c>
      <c r="D17" s="146">
        <v>60399069</v>
      </c>
      <c r="E17" s="146">
        <f>+D17-C17</f>
        <v>7688088</v>
      </c>
      <c r="F17" s="150">
        <f>IF(C17=0,0,E17/C17)</f>
        <v>0.14585363152319247</v>
      </c>
    </row>
    <row r="18" spans="1:7" ht="15.75" customHeight="1">
      <c r="A18" s="141"/>
      <c r="B18" s="151" t="s">
        <v>316</v>
      </c>
      <c r="C18" s="147">
        <f>SUM(C15:C17)</f>
        <v>99956497</v>
      </c>
      <c r="D18" s="147">
        <f>SUM(D15:D17)</f>
        <v>109597557</v>
      </c>
      <c r="E18" s="147">
        <f>+D18-C18</f>
        <v>9641060</v>
      </c>
      <c r="F18" s="148">
        <f>IF(C18=0,0,E18/C18)</f>
        <v>0.09645255975707112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280</v>
      </c>
      <c r="B20" s="145" t="s">
        <v>317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318</v>
      </c>
      <c r="C21" s="146">
        <v>7115330</v>
      </c>
      <c r="D21" s="146">
        <v>7644307</v>
      </c>
      <c r="E21" s="146">
        <f>+D21-C21</f>
        <v>528977</v>
      </c>
      <c r="F21" s="150">
        <f>IF(C21=0,0,E21/C21)</f>
        <v>0.0743432841484513</v>
      </c>
    </row>
    <row r="22" spans="1:6" ht="15" customHeight="1">
      <c r="A22" s="141">
        <v>2</v>
      </c>
      <c r="B22" s="149" t="s">
        <v>319</v>
      </c>
      <c r="C22" s="146">
        <v>1767737</v>
      </c>
      <c r="D22" s="146">
        <v>1600541</v>
      </c>
      <c r="E22" s="146">
        <f>+D22-C22</f>
        <v>-167196</v>
      </c>
      <c r="F22" s="150">
        <f>IF(C22=0,0,E22/C22)</f>
        <v>-0.09458194290213985</v>
      </c>
    </row>
    <row r="23" spans="1:6" ht="15" customHeight="1">
      <c r="A23" s="141">
        <v>3</v>
      </c>
      <c r="B23" s="149" t="s">
        <v>320</v>
      </c>
      <c r="C23" s="146">
        <v>14812729</v>
      </c>
      <c r="D23" s="146">
        <v>18181054</v>
      </c>
      <c r="E23" s="146">
        <f>+D23-C23</f>
        <v>3368325</v>
      </c>
      <c r="F23" s="150">
        <f>IF(C23=0,0,E23/C23)</f>
        <v>0.22739395286310848</v>
      </c>
    </row>
    <row r="24" spans="1:7" ht="15.75" customHeight="1">
      <c r="A24" s="141"/>
      <c r="B24" s="151" t="s">
        <v>321</v>
      </c>
      <c r="C24" s="147">
        <f>SUM(C21:C23)</f>
        <v>23695796</v>
      </c>
      <c r="D24" s="147">
        <f>SUM(D21:D23)</f>
        <v>27425902</v>
      </c>
      <c r="E24" s="147">
        <f>+D24-C24</f>
        <v>3730106</v>
      </c>
      <c r="F24" s="148">
        <f>IF(C24=0,0,E24/C24)</f>
        <v>0.15741636195720118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297</v>
      </c>
      <c r="B26" s="145" t="s">
        <v>322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323</v>
      </c>
      <c r="C27" s="146">
        <v>904173</v>
      </c>
      <c r="D27" s="146">
        <v>40515</v>
      </c>
      <c r="E27" s="146">
        <f>+D27-C27</f>
        <v>-863658</v>
      </c>
      <c r="F27" s="150">
        <f>IF(C27=0,0,E27/C27)</f>
        <v>-0.9551910972789499</v>
      </c>
    </row>
    <row r="28" spans="1:6" ht="15" customHeight="1">
      <c r="A28" s="141">
        <v>2</v>
      </c>
      <c r="B28" s="149" t="s">
        <v>324</v>
      </c>
      <c r="C28" s="146">
        <v>2299851</v>
      </c>
      <c r="D28" s="146">
        <v>2586476</v>
      </c>
      <c r="E28" s="146">
        <f>+D28-C28</f>
        <v>286625</v>
      </c>
      <c r="F28" s="150">
        <f>IF(C28=0,0,E28/C28)</f>
        <v>0.12462763892095619</v>
      </c>
    </row>
    <row r="29" spans="1:6" ht="15" customHeight="1">
      <c r="A29" s="141">
        <v>3</v>
      </c>
      <c r="B29" s="149" t="s">
        <v>325</v>
      </c>
      <c r="C29" s="146">
        <v>3766422</v>
      </c>
      <c r="D29" s="146">
        <v>3743789</v>
      </c>
      <c r="E29" s="146">
        <f>+D29-C29</f>
        <v>-22633</v>
      </c>
      <c r="F29" s="150">
        <f>IF(C29=0,0,E29/C29)</f>
        <v>-0.006009151390895656</v>
      </c>
    </row>
    <row r="30" spans="1:7" ht="15.75" customHeight="1">
      <c r="A30" s="141"/>
      <c r="B30" s="151" t="s">
        <v>326</v>
      </c>
      <c r="C30" s="147">
        <f>SUM(C27:C29)</f>
        <v>6970446</v>
      </c>
      <c r="D30" s="147">
        <f>SUM(D27:D29)</f>
        <v>6370780</v>
      </c>
      <c r="E30" s="147">
        <f>+D30-C30</f>
        <v>-599666</v>
      </c>
      <c r="F30" s="148">
        <f>IF(C30=0,0,E30/C30)</f>
        <v>-0.08602978919856778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327</v>
      </c>
      <c r="B32" s="145" t="s">
        <v>328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329</v>
      </c>
      <c r="C33" s="146">
        <v>30409963</v>
      </c>
      <c r="D33" s="146">
        <v>30623661</v>
      </c>
      <c r="E33" s="146">
        <f>+D33-C33</f>
        <v>213698</v>
      </c>
      <c r="F33" s="150">
        <f>IF(C33=0,0,E33/C33)</f>
        <v>0.007027236435637886</v>
      </c>
    </row>
    <row r="34" spans="1:6" ht="15" customHeight="1">
      <c r="A34" s="141">
        <v>2</v>
      </c>
      <c r="B34" s="149" t="s">
        <v>330</v>
      </c>
      <c r="C34" s="146">
        <v>9399593</v>
      </c>
      <c r="D34" s="146">
        <v>9916129</v>
      </c>
      <c r="E34" s="146">
        <f>+D34-C34</f>
        <v>516536</v>
      </c>
      <c r="F34" s="150">
        <f>IF(C34=0,0,E34/C34)</f>
        <v>0.05495301764661512</v>
      </c>
    </row>
    <row r="35" spans="1:7" ht="15.75" customHeight="1">
      <c r="A35" s="141"/>
      <c r="B35" s="151" t="s">
        <v>331</v>
      </c>
      <c r="C35" s="147">
        <f>SUM(C33:C34)</f>
        <v>39809556</v>
      </c>
      <c r="D35" s="147">
        <f>SUM(D33:D34)</f>
        <v>40539790</v>
      </c>
      <c r="E35" s="147">
        <f>+D35-C35</f>
        <v>730234</v>
      </c>
      <c r="F35" s="148">
        <f>IF(C35=0,0,E35/C35)</f>
        <v>0.018343183732066743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332</v>
      </c>
      <c r="B37" s="145" t="s">
        <v>333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334</v>
      </c>
      <c r="C38" s="146">
        <v>8460217</v>
      </c>
      <c r="D38" s="146">
        <v>8009297</v>
      </c>
      <c r="E38" s="146">
        <f>+D38-C38</f>
        <v>-450920</v>
      </c>
      <c r="F38" s="150">
        <f>IF(C38=0,0,E38/C38)</f>
        <v>-0.05329886928432214</v>
      </c>
    </row>
    <row r="39" spans="1:6" ht="15" customHeight="1">
      <c r="A39" s="141">
        <v>2</v>
      </c>
      <c r="B39" s="149" t="s">
        <v>335</v>
      </c>
      <c r="C39" s="146">
        <v>7553349</v>
      </c>
      <c r="D39" s="146">
        <v>7710400</v>
      </c>
      <c r="E39" s="146">
        <f>+D39-C39</f>
        <v>157051</v>
      </c>
      <c r="F39" s="150">
        <f>IF(C39=0,0,E39/C39)</f>
        <v>0.020792234014342513</v>
      </c>
    </row>
    <row r="40" spans="1:6" ht="15" customHeight="1">
      <c r="A40" s="141">
        <v>3</v>
      </c>
      <c r="B40" s="149" t="s">
        <v>336</v>
      </c>
      <c r="C40" s="146">
        <v>439571</v>
      </c>
      <c r="D40" s="146">
        <v>1219672</v>
      </c>
      <c r="E40" s="146">
        <f>+D40-C40</f>
        <v>780101</v>
      </c>
      <c r="F40" s="150">
        <f>IF(C40=0,0,E40/C40)</f>
        <v>1.7746871381415061</v>
      </c>
    </row>
    <row r="41" spans="1:7" ht="15.75" customHeight="1">
      <c r="A41" s="141"/>
      <c r="B41" s="151" t="s">
        <v>337</v>
      </c>
      <c r="C41" s="147">
        <f>SUM(C38:C40)</f>
        <v>16453137</v>
      </c>
      <c r="D41" s="147">
        <f>SUM(D38:D40)</f>
        <v>16939369</v>
      </c>
      <c r="E41" s="147">
        <f>+D41-C41</f>
        <v>486232</v>
      </c>
      <c r="F41" s="148">
        <f>IF(C41=0,0,E41/C41)</f>
        <v>0.02955254064923911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338</v>
      </c>
      <c r="B43" s="145" t="s">
        <v>339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241</v>
      </c>
      <c r="C44" s="146">
        <v>14162003</v>
      </c>
      <c r="D44" s="146">
        <v>16898318</v>
      </c>
      <c r="E44" s="146">
        <f>+D44-C44</f>
        <v>2736315</v>
      </c>
      <c r="F44" s="150">
        <f>IF(C44=0,0,E44/C44)</f>
        <v>0.1932152535202824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340</v>
      </c>
      <c r="B46" s="145" t="s">
        <v>341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342</v>
      </c>
      <c r="C47" s="146">
        <v>3003005</v>
      </c>
      <c r="D47" s="146">
        <v>3091298</v>
      </c>
      <c r="E47" s="146">
        <f>+D47-C47</f>
        <v>88293</v>
      </c>
      <c r="F47" s="150">
        <f>IF(C47=0,0,E47/C47)</f>
        <v>0.02940154944796962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343</v>
      </c>
      <c r="B49" s="145" t="s">
        <v>344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345</v>
      </c>
      <c r="C50" s="146">
        <v>5820329</v>
      </c>
      <c r="D50" s="146">
        <v>119872</v>
      </c>
      <c r="E50" s="146">
        <f>+D50-C50</f>
        <v>-5700457</v>
      </c>
      <c r="F50" s="150">
        <f>IF(C50=0,0,E50/C50)</f>
        <v>-0.9794046006677629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346</v>
      </c>
      <c r="B52" s="145" t="s">
        <v>347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348</v>
      </c>
      <c r="C53" s="146">
        <v>180240</v>
      </c>
      <c r="D53" s="146">
        <v>200940</v>
      </c>
      <c r="E53" s="146">
        <f aca="true" t="shared" si="0" ref="E53:E59">+D53-C53</f>
        <v>20700</v>
      </c>
      <c r="F53" s="150">
        <f aca="true" t="shared" si="1" ref="F53:F59">IF(C53=0,0,E53/C53)</f>
        <v>0.1148468708388815</v>
      </c>
    </row>
    <row r="54" spans="1:6" ht="15" customHeight="1">
      <c r="A54" s="141">
        <v>2</v>
      </c>
      <c r="B54" s="149" t="s">
        <v>349</v>
      </c>
      <c r="C54" s="146">
        <v>1769474</v>
      </c>
      <c r="D54" s="146">
        <v>1491198</v>
      </c>
      <c r="E54" s="146">
        <f t="shared" si="0"/>
        <v>-278276</v>
      </c>
      <c r="F54" s="150">
        <f t="shared" si="1"/>
        <v>-0.15726481428944422</v>
      </c>
    </row>
    <row r="55" spans="1:6" ht="15" customHeight="1">
      <c r="A55" s="141">
        <v>3</v>
      </c>
      <c r="B55" s="149" t="s">
        <v>350</v>
      </c>
      <c r="C55" s="146">
        <v>5806</v>
      </c>
      <c r="D55" s="146">
        <v>50987</v>
      </c>
      <c r="E55" s="146">
        <f t="shared" si="0"/>
        <v>45181</v>
      </c>
      <c r="F55" s="150">
        <f t="shared" si="1"/>
        <v>7.7817774715811225</v>
      </c>
    </row>
    <row r="56" spans="1:6" ht="15" customHeight="1">
      <c r="A56" s="141">
        <v>4</v>
      </c>
      <c r="B56" s="149" t="s">
        <v>351</v>
      </c>
      <c r="C56" s="146">
        <v>2054233</v>
      </c>
      <c r="D56" s="146">
        <v>2329898</v>
      </c>
      <c r="E56" s="146">
        <f t="shared" si="0"/>
        <v>275665</v>
      </c>
      <c r="F56" s="150">
        <f t="shared" si="1"/>
        <v>0.1341936382094923</v>
      </c>
    </row>
    <row r="57" spans="1:6" ht="15" customHeight="1">
      <c r="A57" s="141">
        <v>5</v>
      </c>
      <c r="B57" s="149" t="s">
        <v>352</v>
      </c>
      <c r="C57" s="146">
        <v>470516</v>
      </c>
      <c r="D57" s="146">
        <v>376799</v>
      </c>
      <c r="E57" s="146">
        <f t="shared" si="0"/>
        <v>-93717</v>
      </c>
      <c r="F57" s="150">
        <f t="shared" si="1"/>
        <v>-0.19917919900704759</v>
      </c>
    </row>
    <row r="58" spans="1:6" ht="15" customHeight="1">
      <c r="A58" s="141">
        <v>6</v>
      </c>
      <c r="B58" s="149" t="s">
        <v>353</v>
      </c>
      <c r="C58" s="146">
        <v>44587</v>
      </c>
      <c r="D58" s="146">
        <v>39603</v>
      </c>
      <c r="E58" s="146">
        <f t="shared" si="0"/>
        <v>-4984</v>
      </c>
      <c r="F58" s="150">
        <f t="shared" si="1"/>
        <v>-0.1117814609639581</v>
      </c>
    </row>
    <row r="59" spans="1:7" ht="15.75" customHeight="1">
      <c r="A59" s="141"/>
      <c r="B59" s="151" t="s">
        <v>354</v>
      </c>
      <c r="C59" s="147">
        <f>SUM(C53:C58)</f>
        <v>4524856</v>
      </c>
      <c r="D59" s="147">
        <f>SUM(D53:D58)</f>
        <v>4489425</v>
      </c>
      <c r="E59" s="147">
        <f t="shared" si="0"/>
        <v>-35431</v>
      </c>
      <c r="F59" s="148">
        <f t="shared" si="1"/>
        <v>-0.007830304433997457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355</v>
      </c>
      <c r="B61" s="145" t="s">
        <v>356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357</v>
      </c>
      <c r="C62" s="146">
        <v>166873</v>
      </c>
      <c r="D62" s="146">
        <v>237772</v>
      </c>
      <c r="E62" s="146">
        <f aca="true" t="shared" si="2" ref="E62:E78">+D62-C62</f>
        <v>70899</v>
      </c>
      <c r="F62" s="150">
        <f aca="true" t="shared" si="3" ref="F62:F78">IF(C62=0,0,E62/C62)</f>
        <v>0.42486801339941155</v>
      </c>
    </row>
    <row r="63" spans="1:6" ht="15" customHeight="1">
      <c r="A63" s="141">
        <v>2</v>
      </c>
      <c r="B63" s="149" t="s">
        <v>358</v>
      </c>
      <c r="C63" s="146">
        <v>459397</v>
      </c>
      <c r="D63" s="146">
        <v>1150211</v>
      </c>
      <c r="E63" s="146">
        <f t="shared" si="2"/>
        <v>690814</v>
      </c>
      <c r="F63" s="150">
        <f t="shared" si="3"/>
        <v>1.5037407732309962</v>
      </c>
    </row>
    <row r="64" spans="1:6" ht="15" customHeight="1">
      <c r="A64" s="141">
        <v>3</v>
      </c>
      <c r="B64" s="149" t="s">
        <v>359</v>
      </c>
      <c r="C64" s="146">
        <v>871432</v>
      </c>
      <c r="D64" s="146">
        <v>1342429</v>
      </c>
      <c r="E64" s="146">
        <f t="shared" si="2"/>
        <v>470997</v>
      </c>
      <c r="F64" s="150">
        <f t="shared" si="3"/>
        <v>0.5404862341525214</v>
      </c>
    </row>
    <row r="65" spans="1:6" ht="15" customHeight="1">
      <c r="A65" s="141">
        <v>4</v>
      </c>
      <c r="B65" s="149" t="s">
        <v>360</v>
      </c>
      <c r="C65" s="146">
        <v>823643</v>
      </c>
      <c r="D65" s="146">
        <v>1059445</v>
      </c>
      <c r="E65" s="146">
        <f t="shared" si="2"/>
        <v>235802</v>
      </c>
      <c r="F65" s="150">
        <f t="shared" si="3"/>
        <v>0.28629151222070726</v>
      </c>
    </row>
    <row r="66" spans="1:6" ht="15" customHeight="1">
      <c r="A66" s="141">
        <v>5</v>
      </c>
      <c r="B66" s="149" t="s">
        <v>361</v>
      </c>
      <c r="C66" s="146">
        <v>952740</v>
      </c>
      <c r="D66" s="146">
        <v>492701</v>
      </c>
      <c r="E66" s="146">
        <f t="shared" si="2"/>
        <v>-460039</v>
      </c>
      <c r="F66" s="150">
        <f t="shared" si="3"/>
        <v>-0.48285891219010435</v>
      </c>
    </row>
    <row r="67" spans="1:6" ht="15" customHeight="1">
      <c r="A67" s="141">
        <v>6</v>
      </c>
      <c r="B67" s="149" t="s">
        <v>362</v>
      </c>
      <c r="C67" s="146">
        <v>1489576</v>
      </c>
      <c r="D67" s="146">
        <v>1532397</v>
      </c>
      <c r="E67" s="146">
        <f t="shared" si="2"/>
        <v>42821</v>
      </c>
      <c r="F67" s="150">
        <f t="shared" si="3"/>
        <v>0.028747106559181942</v>
      </c>
    </row>
    <row r="68" spans="1:6" ht="15" customHeight="1">
      <c r="A68" s="141">
        <v>7</v>
      </c>
      <c r="B68" s="149" t="s">
        <v>363</v>
      </c>
      <c r="C68" s="146">
        <v>974989</v>
      </c>
      <c r="D68" s="146">
        <v>889450</v>
      </c>
      <c r="E68" s="146">
        <f t="shared" si="2"/>
        <v>-85539</v>
      </c>
      <c r="F68" s="150">
        <f t="shared" si="3"/>
        <v>-0.08773329750386927</v>
      </c>
    </row>
    <row r="69" spans="1:6" ht="15" customHeight="1">
      <c r="A69" s="141">
        <v>8</v>
      </c>
      <c r="B69" s="149" t="s">
        <v>364</v>
      </c>
      <c r="C69" s="146">
        <v>517579</v>
      </c>
      <c r="D69" s="146">
        <v>627910</v>
      </c>
      <c r="E69" s="146">
        <f t="shared" si="2"/>
        <v>110331</v>
      </c>
      <c r="F69" s="150">
        <f t="shared" si="3"/>
        <v>0.21316745849425886</v>
      </c>
    </row>
    <row r="70" spans="1:6" ht="15" customHeight="1">
      <c r="A70" s="141">
        <v>9</v>
      </c>
      <c r="B70" s="149" t="s">
        <v>365</v>
      </c>
      <c r="C70" s="146">
        <v>79626</v>
      </c>
      <c r="D70" s="146">
        <v>90821</v>
      </c>
      <c r="E70" s="146">
        <f t="shared" si="2"/>
        <v>11195</v>
      </c>
      <c r="F70" s="150">
        <f t="shared" si="3"/>
        <v>0.14059478059930172</v>
      </c>
    </row>
    <row r="71" spans="1:6" ht="15" customHeight="1">
      <c r="A71" s="141">
        <v>10</v>
      </c>
      <c r="B71" s="149" t="s">
        <v>366</v>
      </c>
      <c r="C71" s="146">
        <v>610973</v>
      </c>
      <c r="D71" s="146">
        <v>652953</v>
      </c>
      <c r="E71" s="146">
        <f t="shared" si="2"/>
        <v>41980</v>
      </c>
      <c r="F71" s="150">
        <f t="shared" si="3"/>
        <v>0.06871007393125392</v>
      </c>
    </row>
    <row r="72" spans="1:6" ht="15" customHeight="1">
      <c r="A72" s="141">
        <v>11</v>
      </c>
      <c r="B72" s="149" t="s">
        <v>367</v>
      </c>
      <c r="C72" s="146">
        <v>99074</v>
      </c>
      <c r="D72" s="146">
        <v>54419</v>
      </c>
      <c r="E72" s="146">
        <f t="shared" si="2"/>
        <v>-44655</v>
      </c>
      <c r="F72" s="150">
        <f t="shared" si="3"/>
        <v>-0.45072370147566465</v>
      </c>
    </row>
    <row r="73" spans="1:6" ht="15" customHeight="1">
      <c r="A73" s="141">
        <v>12</v>
      </c>
      <c r="B73" s="149" t="s">
        <v>368</v>
      </c>
      <c r="C73" s="146">
        <v>2254856</v>
      </c>
      <c r="D73" s="146">
        <v>2224916</v>
      </c>
      <c r="E73" s="146">
        <f t="shared" si="2"/>
        <v>-29940</v>
      </c>
      <c r="F73" s="150">
        <f t="shared" si="3"/>
        <v>-0.0132780097709122</v>
      </c>
    </row>
    <row r="74" spans="1:6" ht="15" customHeight="1">
      <c r="A74" s="141">
        <v>13</v>
      </c>
      <c r="B74" s="149" t="s">
        <v>369</v>
      </c>
      <c r="C74" s="146">
        <v>50663</v>
      </c>
      <c r="D74" s="146">
        <v>67994</v>
      </c>
      <c r="E74" s="146">
        <f t="shared" si="2"/>
        <v>17331</v>
      </c>
      <c r="F74" s="150">
        <f t="shared" si="3"/>
        <v>0.34208396660284623</v>
      </c>
    </row>
    <row r="75" spans="1:6" ht="15" customHeight="1">
      <c r="A75" s="141">
        <v>14</v>
      </c>
      <c r="B75" s="149" t="s">
        <v>370</v>
      </c>
      <c r="C75" s="146">
        <v>592036</v>
      </c>
      <c r="D75" s="146">
        <v>606425</v>
      </c>
      <c r="E75" s="146">
        <f t="shared" si="2"/>
        <v>14389</v>
      </c>
      <c r="F75" s="150">
        <f t="shared" si="3"/>
        <v>0.024304265281165336</v>
      </c>
    </row>
    <row r="76" spans="1:6" ht="15" customHeight="1">
      <c r="A76" s="141">
        <v>15</v>
      </c>
      <c r="B76" s="149" t="s">
        <v>371</v>
      </c>
      <c r="C76" s="146">
        <v>232085</v>
      </c>
      <c r="D76" s="146">
        <v>137509</v>
      </c>
      <c r="E76" s="146">
        <f t="shared" si="2"/>
        <v>-94576</v>
      </c>
      <c r="F76" s="150">
        <f t="shared" si="3"/>
        <v>-0.4075058706939268</v>
      </c>
    </row>
    <row r="77" spans="1:6" ht="15" customHeight="1">
      <c r="A77" s="141">
        <v>16</v>
      </c>
      <c r="B77" s="149" t="s">
        <v>372</v>
      </c>
      <c r="C77" s="146">
        <v>13361990</v>
      </c>
      <c r="D77" s="146">
        <v>14006908</v>
      </c>
      <c r="E77" s="146">
        <f t="shared" si="2"/>
        <v>644918</v>
      </c>
      <c r="F77" s="150">
        <f t="shared" si="3"/>
        <v>0.04826511619900928</v>
      </c>
    </row>
    <row r="78" spans="1:7" ht="15.75" customHeight="1">
      <c r="A78" s="141"/>
      <c r="B78" s="151" t="s">
        <v>373</v>
      </c>
      <c r="C78" s="147">
        <f>SUM(C62:C77)</f>
        <v>23537532</v>
      </c>
      <c r="D78" s="147">
        <f>SUM(D62:D77)</f>
        <v>25174260</v>
      </c>
      <c r="E78" s="147">
        <f t="shared" si="2"/>
        <v>1636728</v>
      </c>
      <c r="F78" s="148">
        <f t="shared" si="3"/>
        <v>0.06953694210590983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374</v>
      </c>
      <c r="B80" s="145" t="s">
        <v>375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376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377</v>
      </c>
      <c r="C83" s="147">
        <f>+C81+C78+C59+C50+C47+C44+C41+C35+C30+C24+C18</f>
        <v>237933157</v>
      </c>
      <c r="D83" s="147">
        <f>+D81+D78+D59+D50+D47+D44+D41+D35+D30+D24+D18</f>
        <v>250646571</v>
      </c>
      <c r="E83" s="147">
        <f>+D83-C83</f>
        <v>12713414</v>
      </c>
      <c r="F83" s="148">
        <f>IF(C83=0,0,E83/C83)</f>
        <v>0.05343271261684642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378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200</v>
      </c>
      <c r="B88" s="142" t="s">
        <v>379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266</v>
      </c>
      <c r="B90" s="145" t="s">
        <v>380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381</v>
      </c>
      <c r="C91" s="146">
        <v>49094645</v>
      </c>
      <c r="D91" s="146">
        <v>49810195</v>
      </c>
      <c r="E91" s="146">
        <f aca="true" t="shared" si="4" ref="E91:E109">D91-C91</f>
        <v>715550</v>
      </c>
      <c r="F91" s="150">
        <f aca="true" t="shared" si="5" ref="F91:F109">IF(C91=0,0,E91/C91)</f>
        <v>0.014574909340927101</v>
      </c>
      <c r="G91" s="155"/>
    </row>
    <row r="92" spans="1:7" ht="15" customHeight="1">
      <c r="A92" s="141">
        <v>2</v>
      </c>
      <c r="B92" s="161" t="s">
        <v>382</v>
      </c>
      <c r="C92" s="146">
        <v>1169892</v>
      </c>
      <c r="D92" s="146">
        <v>1257974</v>
      </c>
      <c r="E92" s="146">
        <f t="shared" si="4"/>
        <v>88082</v>
      </c>
      <c r="F92" s="150">
        <f t="shared" si="5"/>
        <v>0.07529071059550796</v>
      </c>
      <c r="G92" s="155"/>
    </row>
    <row r="93" spans="1:7" ht="15" customHeight="1">
      <c r="A93" s="141">
        <v>3</v>
      </c>
      <c r="B93" s="161" t="s">
        <v>383</v>
      </c>
      <c r="C93" s="146">
        <v>2455068</v>
      </c>
      <c r="D93" s="146">
        <v>2571477</v>
      </c>
      <c r="E93" s="146">
        <f t="shared" si="4"/>
        <v>116409</v>
      </c>
      <c r="F93" s="150">
        <f t="shared" si="5"/>
        <v>0.04741579459306219</v>
      </c>
      <c r="G93" s="155"/>
    </row>
    <row r="94" spans="1:7" ht="15" customHeight="1">
      <c r="A94" s="141">
        <v>4</v>
      </c>
      <c r="B94" s="161" t="s">
        <v>384</v>
      </c>
      <c r="C94" s="146">
        <v>2171812</v>
      </c>
      <c r="D94" s="146">
        <v>2379328</v>
      </c>
      <c r="E94" s="146">
        <f t="shared" si="4"/>
        <v>207516</v>
      </c>
      <c r="F94" s="150">
        <f t="shared" si="5"/>
        <v>0.09554970688070606</v>
      </c>
      <c r="G94" s="155"/>
    </row>
    <row r="95" spans="1:7" ht="15" customHeight="1">
      <c r="A95" s="141">
        <v>5</v>
      </c>
      <c r="B95" s="161" t="s">
        <v>385</v>
      </c>
      <c r="C95" s="146">
        <v>4594571</v>
      </c>
      <c r="D95" s="146">
        <v>7248520</v>
      </c>
      <c r="E95" s="146">
        <f t="shared" si="4"/>
        <v>2653949</v>
      </c>
      <c r="F95" s="150">
        <f t="shared" si="5"/>
        <v>0.5776271604030061</v>
      </c>
      <c r="G95" s="155"/>
    </row>
    <row r="96" spans="1:7" ht="15" customHeight="1">
      <c r="A96" s="141">
        <v>6</v>
      </c>
      <c r="B96" s="161" t="s">
        <v>386</v>
      </c>
      <c r="C96" s="146">
        <v>1231469</v>
      </c>
      <c r="D96" s="146">
        <v>768445</v>
      </c>
      <c r="E96" s="146">
        <f t="shared" si="4"/>
        <v>-463024</v>
      </c>
      <c r="F96" s="150">
        <f t="shared" si="5"/>
        <v>-0.37599322435237914</v>
      </c>
      <c r="G96" s="155"/>
    </row>
    <row r="97" spans="1:7" ht="15" customHeight="1">
      <c r="A97" s="141">
        <v>7</v>
      </c>
      <c r="B97" s="161" t="s">
        <v>387</v>
      </c>
      <c r="C97" s="146">
        <v>27330821</v>
      </c>
      <c r="D97" s="146">
        <v>30715019</v>
      </c>
      <c r="E97" s="146">
        <f t="shared" si="4"/>
        <v>3384198</v>
      </c>
      <c r="F97" s="150">
        <f t="shared" si="5"/>
        <v>0.12382350314320964</v>
      </c>
      <c r="G97" s="155"/>
    </row>
    <row r="98" spans="1:7" ht="15" customHeight="1">
      <c r="A98" s="141">
        <v>8</v>
      </c>
      <c r="B98" s="161" t="s">
        <v>388</v>
      </c>
      <c r="C98" s="146">
        <v>333499</v>
      </c>
      <c r="D98" s="146">
        <v>276992</v>
      </c>
      <c r="E98" s="146">
        <f t="shared" si="4"/>
        <v>-56507</v>
      </c>
      <c r="F98" s="150">
        <f t="shared" si="5"/>
        <v>-0.16943678991541203</v>
      </c>
      <c r="G98" s="155"/>
    </row>
    <row r="99" spans="1:7" ht="15" customHeight="1">
      <c r="A99" s="141">
        <v>9</v>
      </c>
      <c r="B99" s="161" t="s">
        <v>389</v>
      </c>
      <c r="C99" s="146">
        <v>1157472</v>
      </c>
      <c r="D99" s="146">
        <v>1295787</v>
      </c>
      <c r="E99" s="146">
        <f t="shared" si="4"/>
        <v>138315</v>
      </c>
      <c r="F99" s="150">
        <f t="shared" si="5"/>
        <v>0.11949749108401758</v>
      </c>
      <c r="G99" s="155"/>
    </row>
    <row r="100" spans="1:7" ht="15" customHeight="1">
      <c r="A100" s="141">
        <v>10</v>
      </c>
      <c r="B100" s="161" t="s">
        <v>390</v>
      </c>
      <c r="C100" s="146">
        <v>3170553</v>
      </c>
      <c r="D100" s="146">
        <v>3454217</v>
      </c>
      <c r="E100" s="146">
        <f t="shared" si="4"/>
        <v>283664</v>
      </c>
      <c r="F100" s="150">
        <f t="shared" si="5"/>
        <v>0.08946830410972471</v>
      </c>
      <c r="G100" s="155"/>
    </row>
    <row r="101" spans="1:7" ht="15" customHeight="1">
      <c r="A101" s="141">
        <v>11</v>
      </c>
      <c r="B101" s="161" t="s">
        <v>391</v>
      </c>
      <c r="C101" s="146">
        <v>2418150</v>
      </c>
      <c r="D101" s="146">
        <v>2599711</v>
      </c>
      <c r="E101" s="146">
        <f t="shared" si="4"/>
        <v>181561</v>
      </c>
      <c r="F101" s="150">
        <f t="shared" si="5"/>
        <v>0.07508260447035957</v>
      </c>
      <c r="G101" s="155"/>
    </row>
    <row r="102" spans="1:7" ht="15" customHeight="1">
      <c r="A102" s="141">
        <v>12</v>
      </c>
      <c r="B102" s="161" t="s">
        <v>392</v>
      </c>
      <c r="C102" s="146">
        <v>162670</v>
      </c>
      <c r="D102" s="146">
        <v>135725</v>
      </c>
      <c r="E102" s="146">
        <f t="shared" si="4"/>
        <v>-26945</v>
      </c>
      <c r="F102" s="150">
        <f t="shared" si="5"/>
        <v>-0.1656420974980021</v>
      </c>
      <c r="G102" s="155"/>
    </row>
    <row r="103" spans="1:7" ht="15" customHeight="1">
      <c r="A103" s="141">
        <v>13</v>
      </c>
      <c r="B103" s="161" t="s">
        <v>393</v>
      </c>
      <c r="C103" s="146">
        <v>5452204</v>
      </c>
      <c r="D103" s="146">
        <v>5455920</v>
      </c>
      <c r="E103" s="146">
        <f t="shared" si="4"/>
        <v>3716</v>
      </c>
      <c r="F103" s="150">
        <f t="shared" si="5"/>
        <v>0.0006815592373286106</v>
      </c>
      <c r="G103" s="155"/>
    </row>
    <row r="104" spans="1:7" ht="15" customHeight="1">
      <c r="A104" s="141">
        <v>14</v>
      </c>
      <c r="B104" s="161" t="s">
        <v>394</v>
      </c>
      <c r="C104" s="146">
        <v>1163434</v>
      </c>
      <c r="D104" s="146">
        <v>1161742</v>
      </c>
      <c r="E104" s="146">
        <f t="shared" si="4"/>
        <v>-1692</v>
      </c>
      <c r="F104" s="150">
        <f t="shared" si="5"/>
        <v>-0.00145431541454006</v>
      </c>
      <c r="G104" s="155"/>
    </row>
    <row r="105" spans="1:7" ht="15" customHeight="1">
      <c r="A105" s="141">
        <v>15</v>
      </c>
      <c r="B105" s="161" t="s">
        <v>363</v>
      </c>
      <c r="C105" s="146">
        <v>2484059</v>
      </c>
      <c r="D105" s="146">
        <v>2573335</v>
      </c>
      <c r="E105" s="146">
        <f t="shared" si="4"/>
        <v>89276</v>
      </c>
      <c r="F105" s="150">
        <f t="shared" si="5"/>
        <v>0.03593956504253724</v>
      </c>
      <c r="G105" s="155"/>
    </row>
    <row r="106" spans="1:7" ht="15" customHeight="1">
      <c r="A106" s="141">
        <v>16</v>
      </c>
      <c r="B106" s="161" t="s">
        <v>395</v>
      </c>
      <c r="C106" s="146">
        <v>1544140</v>
      </c>
      <c r="D106" s="146">
        <v>1646474</v>
      </c>
      <c r="E106" s="146">
        <f t="shared" si="4"/>
        <v>102334</v>
      </c>
      <c r="F106" s="150">
        <f t="shared" si="5"/>
        <v>0.06627248824588444</v>
      </c>
      <c r="G106" s="155"/>
    </row>
    <row r="107" spans="1:7" ht="15" customHeight="1">
      <c r="A107" s="141">
        <v>17</v>
      </c>
      <c r="B107" s="161" t="s">
        <v>396</v>
      </c>
      <c r="C107" s="146">
        <v>11294804</v>
      </c>
      <c r="D107" s="146">
        <v>12080252</v>
      </c>
      <c r="E107" s="146">
        <f t="shared" si="4"/>
        <v>785448</v>
      </c>
      <c r="F107" s="150">
        <f t="shared" si="5"/>
        <v>0.06954064895681235</v>
      </c>
      <c r="G107" s="155"/>
    </row>
    <row r="108" spans="1:7" ht="15" customHeight="1">
      <c r="A108" s="141">
        <v>18</v>
      </c>
      <c r="B108" s="161" t="s">
        <v>397</v>
      </c>
      <c r="C108" s="146">
        <v>0</v>
      </c>
      <c r="D108" s="146">
        <v>0</v>
      </c>
      <c r="E108" s="146">
        <f t="shared" si="4"/>
        <v>0</v>
      </c>
      <c r="F108" s="150">
        <f t="shared" si="5"/>
        <v>0</v>
      </c>
      <c r="G108" s="155"/>
    </row>
    <row r="109" spans="1:7" ht="15.75" customHeight="1">
      <c r="A109" s="141"/>
      <c r="B109" s="154" t="s">
        <v>398</v>
      </c>
      <c r="C109" s="147">
        <f>SUM(C91:C108)</f>
        <v>117229263</v>
      </c>
      <c r="D109" s="147">
        <f>SUM(D91:D108)</f>
        <v>125431113</v>
      </c>
      <c r="E109" s="147">
        <f t="shared" si="4"/>
        <v>8201850</v>
      </c>
      <c r="F109" s="148">
        <f t="shared" si="5"/>
        <v>0.06996418633118934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280</v>
      </c>
      <c r="B111" s="145" t="s">
        <v>399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400</v>
      </c>
      <c r="C112" s="146">
        <v>311429</v>
      </c>
      <c r="D112" s="146">
        <v>348882</v>
      </c>
      <c r="E112" s="146">
        <f aca="true" t="shared" si="6" ref="E112:E118">D112-C112</f>
        <v>37453</v>
      </c>
      <c r="F112" s="150">
        <f aca="true" t="shared" si="7" ref="F112:F118">IF(C112=0,0,E112/C112)</f>
        <v>0.1202617611076682</v>
      </c>
      <c r="G112" s="155"/>
    </row>
    <row r="113" spans="1:7" ht="15" customHeight="1">
      <c r="A113" s="141">
        <v>2</v>
      </c>
      <c r="B113" s="161" t="s">
        <v>401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402</v>
      </c>
      <c r="C114" s="146">
        <v>980557</v>
      </c>
      <c r="D114" s="146">
        <v>1322766</v>
      </c>
      <c r="E114" s="146">
        <f t="shared" si="6"/>
        <v>342209</v>
      </c>
      <c r="F114" s="150">
        <f t="shared" si="7"/>
        <v>0.34899450006475913</v>
      </c>
      <c r="G114" s="155"/>
    </row>
    <row r="115" spans="1:7" ht="15" customHeight="1">
      <c r="A115" s="141">
        <v>4</v>
      </c>
      <c r="B115" s="161" t="s">
        <v>403</v>
      </c>
      <c r="C115" s="146">
        <v>2461060</v>
      </c>
      <c r="D115" s="146">
        <v>2856372</v>
      </c>
      <c r="E115" s="146">
        <f t="shared" si="6"/>
        <v>395312</v>
      </c>
      <c r="F115" s="150">
        <f t="shared" si="7"/>
        <v>0.16062672181905358</v>
      </c>
      <c r="G115" s="155"/>
    </row>
    <row r="116" spans="1:7" ht="15" customHeight="1">
      <c r="A116" s="141">
        <v>5</v>
      </c>
      <c r="B116" s="161" t="s">
        <v>404</v>
      </c>
      <c r="C116" s="146">
        <v>1190430</v>
      </c>
      <c r="D116" s="146">
        <v>1246746</v>
      </c>
      <c r="E116" s="146">
        <f t="shared" si="6"/>
        <v>56316</v>
      </c>
      <c r="F116" s="150">
        <f t="shared" si="7"/>
        <v>0.04730727552229026</v>
      </c>
      <c r="G116" s="155"/>
    </row>
    <row r="117" spans="1:7" ht="15" customHeight="1">
      <c r="A117" s="141">
        <v>6</v>
      </c>
      <c r="B117" s="161" t="s">
        <v>405</v>
      </c>
      <c r="C117" s="146">
        <v>737235</v>
      </c>
      <c r="D117" s="146">
        <v>1375087</v>
      </c>
      <c r="E117" s="146">
        <f t="shared" si="6"/>
        <v>637852</v>
      </c>
      <c r="F117" s="150">
        <f t="shared" si="7"/>
        <v>0.865194951406268</v>
      </c>
      <c r="G117" s="155"/>
    </row>
    <row r="118" spans="1:7" ht="15.75" customHeight="1">
      <c r="A118" s="141"/>
      <c r="B118" s="154" t="s">
        <v>406</v>
      </c>
      <c r="C118" s="147">
        <f>SUM(C112:C117)</f>
        <v>5680711</v>
      </c>
      <c r="D118" s="147">
        <f>SUM(D112:D117)</f>
        <v>7149853</v>
      </c>
      <c r="E118" s="147">
        <f t="shared" si="6"/>
        <v>1469142</v>
      </c>
      <c r="F118" s="148">
        <f t="shared" si="7"/>
        <v>0.2586193876083469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297</v>
      </c>
      <c r="B120" s="145" t="s">
        <v>407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408</v>
      </c>
      <c r="C121" s="146">
        <v>9580156</v>
      </c>
      <c r="D121" s="146">
        <v>10342457</v>
      </c>
      <c r="E121" s="146">
        <f aca="true" t="shared" si="8" ref="E121:E155">D121-C121</f>
        <v>762301</v>
      </c>
      <c r="F121" s="150">
        <f aca="true" t="shared" si="9" ref="F121:F155">IF(C121=0,0,E121/C121)</f>
        <v>0.0795708337108498</v>
      </c>
      <c r="G121" s="155"/>
    </row>
    <row r="122" spans="1:7" ht="15" customHeight="1">
      <c r="A122" s="141">
        <v>2</v>
      </c>
      <c r="B122" s="161" t="s">
        <v>409</v>
      </c>
      <c r="C122" s="146">
        <v>2256341</v>
      </c>
      <c r="D122" s="146">
        <v>2220414</v>
      </c>
      <c r="E122" s="146">
        <f t="shared" si="8"/>
        <v>-35927</v>
      </c>
      <c r="F122" s="150">
        <f t="shared" si="9"/>
        <v>-0.01592268189958876</v>
      </c>
      <c r="G122" s="155"/>
    </row>
    <row r="123" spans="1:7" ht="15" customHeight="1">
      <c r="A123" s="141">
        <v>3</v>
      </c>
      <c r="B123" s="161" t="s">
        <v>410</v>
      </c>
      <c r="C123" s="146">
        <v>1604616</v>
      </c>
      <c r="D123" s="146">
        <v>1630321</v>
      </c>
      <c r="E123" s="146">
        <f t="shared" si="8"/>
        <v>25705</v>
      </c>
      <c r="F123" s="150">
        <f t="shared" si="9"/>
        <v>0.016019409005020517</v>
      </c>
      <c r="G123" s="155"/>
    </row>
    <row r="124" spans="1:7" ht="15" customHeight="1">
      <c r="A124" s="141">
        <v>4</v>
      </c>
      <c r="B124" s="161" t="s">
        <v>411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>
      <c r="A125" s="141">
        <v>5</v>
      </c>
      <c r="B125" s="161" t="s">
        <v>412</v>
      </c>
      <c r="C125" s="146">
        <v>7382924</v>
      </c>
      <c r="D125" s="146">
        <v>7288013</v>
      </c>
      <c r="E125" s="146">
        <f t="shared" si="8"/>
        <v>-94911</v>
      </c>
      <c r="F125" s="150">
        <f t="shared" si="9"/>
        <v>-0.012855475689577733</v>
      </c>
      <c r="G125" s="155"/>
    </row>
    <row r="126" spans="1:7" ht="15" customHeight="1">
      <c r="A126" s="141">
        <v>6</v>
      </c>
      <c r="B126" s="161" t="s">
        <v>413</v>
      </c>
      <c r="C126" s="146">
        <v>1300898</v>
      </c>
      <c r="D126" s="146">
        <v>1249134</v>
      </c>
      <c r="E126" s="146">
        <f t="shared" si="8"/>
        <v>-51764</v>
      </c>
      <c r="F126" s="150">
        <f t="shared" si="9"/>
        <v>-0.039790975157160666</v>
      </c>
      <c r="G126" s="155"/>
    </row>
    <row r="127" spans="1:7" ht="15" customHeight="1">
      <c r="A127" s="141">
        <v>7</v>
      </c>
      <c r="B127" s="161" t="s">
        <v>414</v>
      </c>
      <c r="C127" s="146">
        <v>2905320</v>
      </c>
      <c r="D127" s="146">
        <v>3058438</v>
      </c>
      <c r="E127" s="146">
        <f t="shared" si="8"/>
        <v>153118</v>
      </c>
      <c r="F127" s="150">
        <f t="shared" si="9"/>
        <v>0.05270262828191043</v>
      </c>
      <c r="G127" s="155"/>
    </row>
    <row r="128" spans="1:7" ht="15" customHeight="1">
      <c r="A128" s="141">
        <v>8</v>
      </c>
      <c r="B128" s="161" t="s">
        <v>415</v>
      </c>
      <c r="C128" s="146">
        <v>1232722</v>
      </c>
      <c r="D128" s="146">
        <v>1176242</v>
      </c>
      <c r="E128" s="146">
        <f t="shared" si="8"/>
        <v>-56480</v>
      </c>
      <c r="F128" s="150">
        <f t="shared" si="9"/>
        <v>-0.04581730511826673</v>
      </c>
      <c r="G128" s="155"/>
    </row>
    <row r="129" spans="1:7" ht="15" customHeight="1">
      <c r="A129" s="141">
        <v>9</v>
      </c>
      <c r="B129" s="161" t="s">
        <v>416</v>
      </c>
      <c r="C129" s="146">
        <v>2223910</v>
      </c>
      <c r="D129" s="146">
        <v>2110470</v>
      </c>
      <c r="E129" s="146">
        <f t="shared" si="8"/>
        <v>-113440</v>
      </c>
      <c r="F129" s="150">
        <f t="shared" si="9"/>
        <v>-0.05100925846819341</v>
      </c>
      <c r="G129" s="155"/>
    </row>
    <row r="130" spans="1:7" ht="15" customHeight="1">
      <c r="A130" s="141">
        <v>10</v>
      </c>
      <c r="B130" s="161" t="s">
        <v>417</v>
      </c>
      <c r="C130" s="146">
        <v>10306046</v>
      </c>
      <c r="D130" s="146">
        <v>11171388</v>
      </c>
      <c r="E130" s="146">
        <f t="shared" si="8"/>
        <v>865342</v>
      </c>
      <c r="F130" s="150">
        <f t="shared" si="9"/>
        <v>0.08396450006142026</v>
      </c>
      <c r="G130" s="155"/>
    </row>
    <row r="131" spans="1:7" ht="15" customHeight="1">
      <c r="A131" s="141">
        <v>11</v>
      </c>
      <c r="B131" s="161" t="s">
        <v>418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419</v>
      </c>
      <c r="C132" s="146">
        <v>1305775</v>
      </c>
      <c r="D132" s="146">
        <v>1342514</v>
      </c>
      <c r="E132" s="146">
        <f t="shared" si="8"/>
        <v>36739</v>
      </c>
      <c r="F132" s="150">
        <f t="shared" si="9"/>
        <v>0.028135781432482625</v>
      </c>
      <c r="G132" s="155"/>
    </row>
    <row r="133" spans="1:7" ht="15" customHeight="1">
      <c r="A133" s="141">
        <v>13</v>
      </c>
      <c r="B133" s="161" t="s">
        <v>420</v>
      </c>
      <c r="C133" s="146">
        <v>223035</v>
      </c>
      <c r="D133" s="146">
        <v>239542</v>
      </c>
      <c r="E133" s="146">
        <f t="shared" si="8"/>
        <v>16507</v>
      </c>
      <c r="F133" s="150">
        <f t="shared" si="9"/>
        <v>0.0740108054789607</v>
      </c>
      <c r="G133" s="155"/>
    </row>
    <row r="134" spans="1:7" ht="15" customHeight="1">
      <c r="A134" s="141">
        <v>14</v>
      </c>
      <c r="B134" s="161" t="s">
        <v>421</v>
      </c>
      <c r="C134" s="146">
        <v>212476</v>
      </c>
      <c r="D134" s="146">
        <v>184794</v>
      </c>
      <c r="E134" s="146">
        <f t="shared" si="8"/>
        <v>-27682</v>
      </c>
      <c r="F134" s="150">
        <f t="shared" si="9"/>
        <v>-0.13028294960371994</v>
      </c>
      <c r="G134" s="155"/>
    </row>
    <row r="135" spans="1:7" ht="15" customHeight="1">
      <c r="A135" s="141">
        <v>15</v>
      </c>
      <c r="B135" s="161" t="s">
        <v>422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423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424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425</v>
      </c>
      <c r="C138" s="146">
        <v>2042749</v>
      </c>
      <c r="D138" s="146">
        <v>2124335</v>
      </c>
      <c r="E138" s="146">
        <f t="shared" si="8"/>
        <v>81586</v>
      </c>
      <c r="F138" s="150">
        <f t="shared" si="9"/>
        <v>0.039939317067344056</v>
      </c>
      <c r="G138" s="155"/>
    </row>
    <row r="139" spans="1:7" ht="15" customHeight="1">
      <c r="A139" s="141">
        <v>19</v>
      </c>
      <c r="B139" s="161" t="s">
        <v>426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>
      <c r="A140" s="141">
        <v>20</v>
      </c>
      <c r="B140" s="161" t="s">
        <v>427</v>
      </c>
      <c r="C140" s="146">
        <v>1057698</v>
      </c>
      <c r="D140" s="146">
        <v>1090231</v>
      </c>
      <c r="E140" s="146">
        <f t="shared" si="8"/>
        <v>32533</v>
      </c>
      <c r="F140" s="150">
        <f t="shared" si="9"/>
        <v>0.030758307191655843</v>
      </c>
      <c r="G140" s="155"/>
    </row>
    <row r="141" spans="1:7" ht="15" customHeight="1">
      <c r="A141" s="141">
        <v>21</v>
      </c>
      <c r="B141" s="161" t="s">
        <v>428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429</v>
      </c>
      <c r="C142" s="146">
        <v>1494287</v>
      </c>
      <c r="D142" s="146">
        <v>1528362</v>
      </c>
      <c r="E142" s="146">
        <f t="shared" si="8"/>
        <v>34075</v>
      </c>
      <c r="F142" s="150">
        <f t="shared" si="9"/>
        <v>0.022803517664277344</v>
      </c>
      <c r="G142" s="155"/>
    </row>
    <row r="143" spans="1:7" ht="15" customHeight="1">
      <c r="A143" s="141">
        <v>23</v>
      </c>
      <c r="B143" s="161" t="s">
        <v>430</v>
      </c>
      <c r="C143" s="146">
        <v>557480</v>
      </c>
      <c r="D143" s="146">
        <v>633212</v>
      </c>
      <c r="E143" s="146">
        <f t="shared" si="8"/>
        <v>75732</v>
      </c>
      <c r="F143" s="150">
        <f t="shared" si="9"/>
        <v>0.13584702590227452</v>
      </c>
      <c r="G143" s="155"/>
    </row>
    <row r="144" spans="1:7" ht="15" customHeight="1">
      <c r="A144" s="141">
        <v>24</v>
      </c>
      <c r="B144" s="161" t="s">
        <v>431</v>
      </c>
      <c r="C144" s="146">
        <v>14545793</v>
      </c>
      <c r="D144" s="146">
        <v>15025144</v>
      </c>
      <c r="E144" s="146">
        <f t="shared" si="8"/>
        <v>479351</v>
      </c>
      <c r="F144" s="150">
        <f t="shared" si="9"/>
        <v>0.03295461443731531</v>
      </c>
      <c r="G144" s="155"/>
    </row>
    <row r="145" spans="1:7" ht="15" customHeight="1">
      <c r="A145" s="141">
        <v>25</v>
      </c>
      <c r="B145" s="161" t="s">
        <v>432</v>
      </c>
      <c r="C145" s="146">
        <v>2368848</v>
      </c>
      <c r="D145" s="146">
        <v>2524317</v>
      </c>
      <c r="E145" s="146">
        <f t="shared" si="8"/>
        <v>155469</v>
      </c>
      <c r="F145" s="150">
        <f t="shared" si="9"/>
        <v>0.06563063565074669</v>
      </c>
      <c r="G145" s="155"/>
    </row>
    <row r="146" spans="1:7" ht="15" customHeight="1">
      <c r="A146" s="141">
        <v>26</v>
      </c>
      <c r="B146" s="161" t="s">
        <v>433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>
      <c r="A147" s="141">
        <v>27</v>
      </c>
      <c r="B147" s="161" t="s">
        <v>434</v>
      </c>
      <c r="C147" s="146">
        <v>829250</v>
      </c>
      <c r="D147" s="146">
        <v>718596</v>
      </c>
      <c r="E147" s="146">
        <f t="shared" si="8"/>
        <v>-110654</v>
      </c>
      <c r="F147" s="150">
        <f t="shared" si="9"/>
        <v>-0.13343864938197167</v>
      </c>
      <c r="G147" s="155"/>
    </row>
    <row r="148" spans="1:7" ht="15" customHeight="1">
      <c r="A148" s="141">
        <v>28</v>
      </c>
      <c r="B148" s="161" t="s">
        <v>435</v>
      </c>
      <c r="C148" s="146">
        <v>1353922</v>
      </c>
      <c r="D148" s="146">
        <v>1444707</v>
      </c>
      <c r="E148" s="146">
        <f t="shared" si="8"/>
        <v>90785</v>
      </c>
      <c r="F148" s="150">
        <f t="shared" si="9"/>
        <v>0.06705334576142495</v>
      </c>
      <c r="G148" s="155"/>
    </row>
    <row r="149" spans="1:7" ht="15" customHeight="1">
      <c r="A149" s="141">
        <v>29</v>
      </c>
      <c r="B149" s="161" t="s">
        <v>436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437</v>
      </c>
      <c r="C150" s="146">
        <v>241700</v>
      </c>
      <c r="D150" s="146">
        <v>195950</v>
      </c>
      <c r="E150" s="146">
        <f t="shared" si="8"/>
        <v>-45750</v>
      </c>
      <c r="F150" s="150">
        <f t="shared" si="9"/>
        <v>-0.18928423665701283</v>
      </c>
      <c r="G150" s="155"/>
    </row>
    <row r="151" spans="1:7" ht="15" customHeight="1">
      <c r="A151" s="141">
        <v>31</v>
      </c>
      <c r="B151" s="161" t="s">
        <v>438</v>
      </c>
      <c r="C151" s="146">
        <v>1288304</v>
      </c>
      <c r="D151" s="146">
        <v>1233112</v>
      </c>
      <c r="E151" s="146">
        <f t="shared" si="8"/>
        <v>-55192</v>
      </c>
      <c r="F151" s="150">
        <f t="shared" si="9"/>
        <v>-0.04284082017908816</v>
      </c>
      <c r="G151" s="155"/>
    </row>
    <row r="152" spans="1:7" ht="15" customHeight="1">
      <c r="A152" s="141">
        <v>32</v>
      </c>
      <c r="B152" s="161" t="s">
        <v>439</v>
      </c>
      <c r="C152" s="146">
        <v>1566746</v>
      </c>
      <c r="D152" s="146">
        <v>1705291</v>
      </c>
      <c r="E152" s="146">
        <f t="shared" si="8"/>
        <v>138545</v>
      </c>
      <c r="F152" s="150">
        <f t="shared" si="9"/>
        <v>0.08842850085463758</v>
      </c>
      <c r="G152" s="155"/>
    </row>
    <row r="153" spans="1:7" ht="15" customHeight="1">
      <c r="A153" s="141">
        <v>33</v>
      </c>
      <c r="B153" s="161" t="s">
        <v>440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441</v>
      </c>
      <c r="C154" s="146">
        <v>15285661</v>
      </c>
      <c r="D154" s="146">
        <v>14942378</v>
      </c>
      <c r="E154" s="146">
        <f t="shared" si="8"/>
        <v>-343283</v>
      </c>
      <c r="F154" s="150">
        <f t="shared" si="9"/>
        <v>-0.022457844642766837</v>
      </c>
      <c r="G154" s="155"/>
    </row>
    <row r="155" spans="1:7" ht="15.75" customHeight="1">
      <c r="A155" s="141"/>
      <c r="B155" s="154" t="s">
        <v>442</v>
      </c>
      <c r="C155" s="147">
        <f>SUM(C121:C154)</f>
        <v>83166657</v>
      </c>
      <c r="D155" s="147">
        <f>SUM(D121:D154)</f>
        <v>85179362</v>
      </c>
      <c r="E155" s="147">
        <f t="shared" si="8"/>
        <v>2012705</v>
      </c>
      <c r="F155" s="148">
        <f t="shared" si="9"/>
        <v>0.024200864536373032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327</v>
      </c>
      <c r="B157" s="145" t="s">
        <v>443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444</v>
      </c>
      <c r="C158" s="146">
        <v>18480629</v>
      </c>
      <c r="D158" s="146">
        <v>18923009</v>
      </c>
      <c r="E158" s="146">
        <f aca="true" t="shared" si="10" ref="E158:E171">D158-C158</f>
        <v>442380</v>
      </c>
      <c r="F158" s="150">
        <f aca="true" t="shared" si="11" ref="F158:F171">IF(C158=0,0,E158/C158)</f>
        <v>0.023937496932598994</v>
      </c>
      <c r="G158" s="155"/>
    </row>
    <row r="159" spans="1:7" ht="15" customHeight="1">
      <c r="A159" s="141">
        <v>2</v>
      </c>
      <c r="B159" s="161" t="s">
        <v>445</v>
      </c>
      <c r="C159" s="146">
        <v>3067844</v>
      </c>
      <c r="D159" s="146">
        <v>3212840</v>
      </c>
      <c r="E159" s="146">
        <f t="shared" si="10"/>
        <v>144996</v>
      </c>
      <c r="F159" s="150">
        <f t="shared" si="11"/>
        <v>0.047263159404454726</v>
      </c>
      <c r="G159" s="155"/>
    </row>
    <row r="160" spans="1:7" ht="15" customHeight="1">
      <c r="A160" s="141">
        <v>3</v>
      </c>
      <c r="B160" s="161" t="s">
        <v>446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447</v>
      </c>
      <c r="C161" s="146">
        <v>2102739</v>
      </c>
      <c r="D161" s="146">
        <v>2337598</v>
      </c>
      <c r="E161" s="146">
        <f t="shared" si="10"/>
        <v>234859</v>
      </c>
      <c r="F161" s="150">
        <f t="shared" si="11"/>
        <v>0.11169194084477437</v>
      </c>
      <c r="G161" s="155"/>
    </row>
    <row r="162" spans="1:7" ht="15" customHeight="1">
      <c r="A162" s="141">
        <v>5</v>
      </c>
      <c r="B162" s="161" t="s">
        <v>448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449</v>
      </c>
      <c r="C163" s="146">
        <v>4164067</v>
      </c>
      <c r="D163" s="146">
        <v>4215408</v>
      </c>
      <c r="E163" s="146">
        <f t="shared" si="10"/>
        <v>51341</v>
      </c>
      <c r="F163" s="150">
        <f t="shared" si="11"/>
        <v>0.012329532642006001</v>
      </c>
      <c r="G163" s="155"/>
    </row>
    <row r="164" spans="1:7" ht="15" customHeight="1">
      <c r="A164" s="141">
        <v>7</v>
      </c>
      <c r="B164" s="161" t="s">
        <v>450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>
      <c r="A165" s="141">
        <v>8</v>
      </c>
      <c r="B165" s="161" t="s">
        <v>451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452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453</v>
      </c>
      <c r="C167" s="146">
        <v>0</v>
      </c>
      <c r="D167" s="146">
        <v>0</v>
      </c>
      <c r="E167" s="146">
        <f t="shared" si="10"/>
        <v>0</v>
      </c>
      <c r="F167" s="150">
        <f t="shared" si="11"/>
        <v>0</v>
      </c>
      <c r="G167" s="155"/>
    </row>
    <row r="168" spans="1:7" ht="15" customHeight="1">
      <c r="A168" s="141">
        <v>11</v>
      </c>
      <c r="B168" s="161" t="s">
        <v>454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455</v>
      </c>
      <c r="C169" s="146">
        <v>3600269</v>
      </c>
      <c r="D169" s="146">
        <v>3758441</v>
      </c>
      <c r="E169" s="146">
        <f t="shared" si="10"/>
        <v>158172</v>
      </c>
      <c r="F169" s="150">
        <f t="shared" si="11"/>
        <v>0.043933383866594414</v>
      </c>
      <c r="G169" s="155"/>
    </row>
    <row r="170" spans="1:7" ht="15" customHeight="1">
      <c r="A170" s="141">
        <v>13</v>
      </c>
      <c r="B170" s="161" t="s">
        <v>456</v>
      </c>
      <c r="C170" s="146">
        <v>440978</v>
      </c>
      <c r="D170" s="146">
        <v>438947</v>
      </c>
      <c r="E170" s="146">
        <f t="shared" si="10"/>
        <v>-2031</v>
      </c>
      <c r="F170" s="150">
        <f t="shared" si="11"/>
        <v>-0.004605671938282635</v>
      </c>
      <c r="G170" s="155"/>
    </row>
    <row r="171" spans="1:7" ht="15.75" customHeight="1">
      <c r="A171" s="141"/>
      <c r="B171" s="154" t="s">
        <v>457</v>
      </c>
      <c r="C171" s="147">
        <f>SUM(C158:C170)</f>
        <v>31856526</v>
      </c>
      <c r="D171" s="147">
        <f>SUM(D158:D170)</f>
        <v>32886243</v>
      </c>
      <c r="E171" s="147">
        <f t="shared" si="10"/>
        <v>1029717</v>
      </c>
      <c r="F171" s="148">
        <f t="shared" si="11"/>
        <v>0.032323581045842854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332</v>
      </c>
      <c r="B173" s="145" t="s">
        <v>458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459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460</v>
      </c>
      <c r="C176" s="147">
        <f>+C174+C171+C155+C118+C109</f>
        <v>237933157</v>
      </c>
      <c r="D176" s="147">
        <f>+D174+D171+D155+D118+D109</f>
        <v>250646571</v>
      </c>
      <c r="E176" s="147">
        <f>D176-C176</f>
        <v>12713414</v>
      </c>
      <c r="F176" s="148">
        <f>IF(C176=0,0,E176/C176)</f>
        <v>0.05343271261684642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461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FILING&amp;RWILLIAM W. BACKUS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156</v>
      </c>
      <c r="C1" s="3"/>
      <c r="D1" s="3"/>
      <c r="E1" s="4"/>
      <c r="F1" s="5"/>
    </row>
    <row r="2" spans="1:6" ht="24" customHeight="1">
      <c r="A2" s="35"/>
      <c r="B2" s="3" t="s">
        <v>157</v>
      </c>
      <c r="C2" s="3"/>
      <c r="D2" s="3"/>
      <c r="E2" s="4"/>
      <c r="F2" s="5"/>
    </row>
    <row r="3" spans="1:6" ht="24" customHeight="1">
      <c r="A3" s="35"/>
      <c r="B3" s="3" t="s">
        <v>158</v>
      </c>
      <c r="C3" s="3"/>
      <c r="D3" s="3"/>
      <c r="E3" s="4"/>
      <c r="F3" s="5"/>
    </row>
    <row r="4" spans="1:6" ht="24" customHeight="1">
      <c r="A4" s="35"/>
      <c r="B4" s="3" t="s">
        <v>462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166</v>
      </c>
      <c r="D7" s="11" t="s">
        <v>166</v>
      </c>
      <c r="E7" s="11" t="s">
        <v>166</v>
      </c>
      <c r="F7" s="11"/>
    </row>
    <row r="8" spans="1:6" ht="24" customHeight="1">
      <c r="A8" s="13" t="s">
        <v>164</v>
      </c>
      <c r="B8" s="16" t="s">
        <v>165</v>
      </c>
      <c r="C8" s="13" t="s">
        <v>463</v>
      </c>
      <c r="D8" s="13" t="s">
        <v>160</v>
      </c>
      <c r="E8" s="13" t="s">
        <v>161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170</v>
      </c>
      <c r="B10" s="30" t="s">
        <v>464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231</v>
      </c>
      <c r="C11" s="51">
        <v>217893336</v>
      </c>
      <c r="D11" s="164">
        <v>242131827</v>
      </c>
      <c r="E11" s="51">
        <v>259652271</v>
      </c>
      <c r="F11" s="13"/>
    </row>
    <row r="12" spans="1:6" ht="24" customHeight="1">
      <c r="A12" s="44">
        <v>2</v>
      </c>
      <c r="B12" s="165" t="s">
        <v>465</v>
      </c>
      <c r="C12" s="49">
        <v>4887481</v>
      </c>
      <c r="D12" s="49">
        <v>4421056</v>
      </c>
      <c r="E12" s="49">
        <v>3773294</v>
      </c>
      <c r="F12" s="13"/>
    </row>
    <row r="13" spans="1:6" ht="24" customHeight="1">
      <c r="A13" s="44">
        <v>3</v>
      </c>
      <c r="B13" s="48" t="s">
        <v>234</v>
      </c>
      <c r="C13" s="51">
        <f>+C11+C12</f>
        <v>222780817</v>
      </c>
      <c r="D13" s="51">
        <f>+D11+D12</f>
        <v>246552883</v>
      </c>
      <c r="E13" s="51">
        <f>+E11+E12</f>
        <v>263425565</v>
      </c>
      <c r="F13" s="13"/>
    </row>
    <row r="14" spans="1:6" ht="24" customHeight="1">
      <c r="A14" s="44">
        <v>4</v>
      </c>
      <c r="B14" s="166" t="s">
        <v>245</v>
      </c>
      <c r="C14" s="49">
        <v>213708355</v>
      </c>
      <c r="D14" s="49">
        <v>237933157</v>
      </c>
      <c r="E14" s="49">
        <v>250646571</v>
      </c>
      <c r="F14" s="13"/>
    </row>
    <row r="15" spans="1:6" ht="24" customHeight="1">
      <c r="A15" s="44">
        <v>5</v>
      </c>
      <c r="B15" s="48" t="s">
        <v>246</v>
      </c>
      <c r="C15" s="51">
        <f>+C13-C14</f>
        <v>9072462</v>
      </c>
      <c r="D15" s="51">
        <f>+D13-D14</f>
        <v>8619726</v>
      </c>
      <c r="E15" s="51">
        <f>+E13-E14</f>
        <v>12778994</v>
      </c>
      <c r="F15" s="13"/>
    </row>
    <row r="16" spans="1:6" ht="24" customHeight="1">
      <c r="A16" s="44">
        <v>6</v>
      </c>
      <c r="B16" s="166" t="s">
        <v>251</v>
      </c>
      <c r="C16" s="49">
        <v>10953916</v>
      </c>
      <c r="D16" s="49">
        <v>-5612420</v>
      </c>
      <c r="E16" s="49">
        <v>-1302635</v>
      </c>
      <c r="F16" s="13"/>
    </row>
    <row r="17" spans="1:6" ht="24" customHeight="1">
      <c r="A17" s="44">
        <v>7</v>
      </c>
      <c r="B17" s="45" t="s">
        <v>466</v>
      </c>
      <c r="C17" s="51">
        <f>C15+C16</f>
        <v>20026378</v>
      </c>
      <c r="D17" s="51">
        <f>D15+D16</f>
        <v>3007306</v>
      </c>
      <c r="E17" s="51">
        <f>E15+E16</f>
        <v>11476359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182</v>
      </c>
      <c r="B19" s="30" t="s">
        <v>467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468</v>
      </c>
      <c r="C20" s="169">
        <f>IF(+C27=0,0,+C24/+C27)</f>
        <v>0.03881520680967856</v>
      </c>
      <c r="D20" s="169">
        <f>IF(+D27=0,0,+D24/+D27)</f>
        <v>0.035775335917736656</v>
      </c>
      <c r="E20" s="169">
        <f>IF(+E27=0,0,+E24/+E27)</f>
        <v>0.048751911936891594</v>
      </c>
      <c r="F20" s="13"/>
    </row>
    <row r="21" spans="1:6" ht="24" customHeight="1">
      <c r="A21" s="25">
        <v>2</v>
      </c>
      <c r="B21" s="48" t="s">
        <v>469</v>
      </c>
      <c r="C21" s="169">
        <f>IF(C27=0,0,+C26/C27)</f>
        <v>0.04686473362091204</v>
      </c>
      <c r="D21" s="169">
        <f>IF(D27=0,0,+D26/D27)</f>
        <v>-0.023293804328748217</v>
      </c>
      <c r="E21" s="169">
        <f>IF(E27=0,0,+E26/E27)</f>
        <v>-0.004969557604136349</v>
      </c>
      <c r="F21" s="13"/>
    </row>
    <row r="22" spans="1:6" ht="24" customHeight="1">
      <c r="A22" s="25">
        <v>3</v>
      </c>
      <c r="B22" s="48" t="s">
        <v>470</v>
      </c>
      <c r="C22" s="169">
        <f>IF(C27=0,0,+C28/C27)</f>
        <v>0.0856799404305906</v>
      </c>
      <c r="D22" s="169">
        <f>IF(D27=0,0,+D28/D27)</f>
        <v>0.012481531588988438</v>
      </c>
      <c r="E22" s="169">
        <f>IF(E27=0,0,+E28/E27)</f>
        <v>0.04378235433275524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246</v>
      </c>
      <c r="C24" s="51">
        <f>+C15</f>
        <v>9072462</v>
      </c>
      <c r="D24" s="51">
        <f>+D15</f>
        <v>8619726</v>
      </c>
      <c r="E24" s="51">
        <f>+E15</f>
        <v>12778994</v>
      </c>
      <c r="F24" s="13"/>
    </row>
    <row r="25" spans="1:6" ht="24" customHeight="1">
      <c r="A25" s="21">
        <v>5</v>
      </c>
      <c r="B25" s="48" t="s">
        <v>234</v>
      </c>
      <c r="C25" s="51">
        <f>+C13</f>
        <v>222780817</v>
      </c>
      <c r="D25" s="51">
        <f>+D13</f>
        <v>246552883</v>
      </c>
      <c r="E25" s="51">
        <f>+E13</f>
        <v>263425565</v>
      </c>
      <c r="F25" s="13"/>
    </row>
    <row r="26" spans="1:6" ht="24" customHeight="1">
      <c r="A26" s="21">
        <v>6</v>
      </c>
      <c r="B26" s="48" t="s">
        <v>251</v>
      </c>
      <c r="C26" s="51">
        <f>+C16</f>
        <v>10953916</v>
      </c>
      <c r="D26" s="51">
        <f>+D16</f>
        <v>-5612420</v>
      </c>
      <c r="E26" s="51">
        <f>+E16</f>
        <v>-1302635</v>
      </c>
      <c r="F26" s="13"/>
    </row>
    <row r="27" spans="1:6" ht="24" customHeight="1">
      <c r="A27" s="21">
        <v>7</v>
      </c>
      <c r="B27" s="48" t="s">
        <v>471</v>
      </c>
      <c r="C27" s="51">
        <f>+C25+C26</f>
        <v>233734733</v>
      </c>
      <c r="D27" s="51">
        <f>+D25+D26</f>
        <v>240940463</v>
      </c>
      <c r="E27" s="51">
        <f>+E25+E26</f>
        <v>262122930</v>
      </c>
      <c r="F27" s="13"/>
    </row>
    <row r="28" spans="1:6" ht="24" customHeight="1">
      <c r="A28" s="21">
        <v>8</v>
      </c>
      <c r="B28" s="45" t="s">
        <v>466</v>
      </c>
      <c r="C28" s="51">
        <f>+C17</f>
        <v>20026378</v>
      </c>
      <c r="D28" s="51">
        <f>+D17</f>
        <v>3007306</v>
      </c>
      <c r="E28" s="51">
        <f>+E17</f>
        <v>11476359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192</v>
      </c>
      <c r="B30" s="41" t="s">
        <v>472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473</v>
      </c>
      <c r="C31" s="51">
        <v>154440321</v>
      </c>
      <c r="D31" s="51">
        <v>132391851</v>
      </c>
      <c r="E31" s="51">
        <v>102294307</v>
      </c>
      <c r="F31" s="13"/>
    </row>
    <row r="32" spans="1:6" ht="24" customHeight="1">
      <c r="A32" s="25">
        <v>2</v>
      </c>
      <c r="B32" s="48" t="s">
        <v>474</v>
      </c>
      <c r="C32" s="51">
        <v>163714994</v>
      </c>
      <c r="D32" s="51">
        <v>140788086</v>
      </c>
      <c r="E32" s="51">
        <v>112603569</v>
      </c>
      <c r="F32" s="13"/>
    </row>
    <row r="33" spans="1:6" ht="24" customHeight="1">
      <c r="A33" s="25">
        <v>3</v>
      </c>
      <c r="B33" s="48" t="s">
        <v>475</v>
      </c>
      <c r="C33" s="51">
        <v>163714994</v>
      </c>
      <c r="D33" s="51">
        <f>+D32-C32</f>
        <v>-22926908</v>
      </c>
      <c r="E33" s="51">
        <f>+E32-D32</f>
        <v>-28184517</v>
      </c>
      <c r="F33" s="5"/>
    </row>
    <row r="34" spans="1:6" ht="24" customHeight="1">
      <c r="A34" s="25">
        <v>4</v>
      </c>
      <c r="B34" s="48" t="s">
        <v>476</v>
      </c>
      <c r="C34" s="171">
        <v>0</v>
      </c>
      <c r="D34" s="171">
        <f>IF(C32=0,0,+D33/C32)</f>
        <v>-0.14004158959319266</v>
      </c>
      <c r="E34" s="171">
        <f>IF(D32=0,0,+E33/D32)</f>
        <v>-0.20019106588323105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477</v>
      </c>
      <c r="B36" s="41" t="s">
        <v>478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479</v>
      </c>
      <c r="C38" s="172">
        <f>IF((C40+C41)=0,0,+C39/(C40+C41))</f>
        <v>0.4568630761693936</v>
      </c>
      <c r="D38" s="172">
        <f>IF((D40+D41)=0,0,+D39/(D40+D41))</f>
        <v>0.43885791696277315</v>
      </c>
      <c r="E38" s="172">
        <f>IF((E40+E41)=0,0,+E39/(E40+E41))</f>
        <v>0.4440825643220537</v>
      </c>
      <c r="F38" s="5"/>
    </row>
    <row r="39" spans="1:6" ht="24" customHeight="1">
      <c r="A39" s="21">
        <v>2</v>
      </c>
      <c r="B39" s="48" t="s">
        <v>480</v>
      </c>
      <c r="C39" s="51">
        <v>202287655</v>
      </c>
      <c r="D39" s="51">
        <v>225599529</v>
      </c>
      <c r="E39" s="23">
        <v>250646571</v>
      </c>
      <c r="F39" s="5"/>
    </row>
    <row r="40" spans="1:6" ht="24" customHeight="1">
      <c r="A40" s="21">
        <v>3</v>
      </c>
      <c r="B40" s="48" t="s">
        <v>481</v>
      </c>
      <c r="C40" s="51">
        <v>440691519</v>
      </c>
      <c r="D40" s="51">
        <v>512314358</v>
      </c>
      <c r="E40" s="23">
        <v>560641054</v>
      </c>
      <c r="F40" s="5"/>
    </row>
    <row r="41" spans="1:6" ht="24" customHeight="1">
      <c r="A41" s="21">
        <v>4</v>
      </c>
      <c r="B41" s="48" t="s">
        <v>482</v>
      </c>
      <c r="C41" s="51">
        <v>2083714</v>
      </c>
      <c r="D41" s="51">
        <v>1746162</v>
      </c>
      <c r="E41" s="23">
        <v>3773294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483</v>
      </c>
      <c r="C43" s="173">
        <f>IF(C38=0,0,IF((C46-C47)=0,0,((+C44-C45)/(C46-C47)/C38)))</f>
        <v>1.3996613549906234</v>
      </c>
      <c r="D43" s="173">
        <f>IF(D38=0,0,IF((D46-D47)=0,0,((+D44-D45)/(D46-D47)/D38)))</f>
        <v>1.4188083358694397</v>
      </c>
      <c r="E43" s="173">
        <f>IF(E38=0,0,IF((E46-E47)=0,0,((+E44-E45)/(E46-E47)/E38)))</f>
        <v>1.408937910808686</v>
      </c>
      <c r="F43" s="5"/>
    </row>
    <row r="44" spans="1:6" ht="24" customHeight="1">
      <c r="A44" s="21">
        <v>6</v>
      </c>
      <c r="B44" s="48" t="s">
        <v>484</v>
      </c>
      <c r="C44" s="51">
        <v>125964094</v>
      </c>
      <c r="D44" s="51">
        <v>138717900</v>
      </c>
      <c r="E44" s="23">
        <v>150719597</v>
      </c>
      <c r="F44" s="5"/>
    </row>
    <row r="45" spans="1:6" ht="24" customHeight="1">
      <c r="A45" s="21">
        <v>7</v>
      </c>
      <c r="B45" s="48" t="s">
        <v>485</v>
      </c>
      <c r="C45" s="51">
        <v>2308540</v>
      </c>
      <c r="D45" s="51">
        <v>3253424</v>
      </c>
      <c r="E45" s="23">
        <v>3277704</v>
      </c>
      <c r="F45" s="5"/>
    </row>
    <row r="46" spans="1:6" ht="24" customHeight="1">
      <c r="A46" s="21">
        <v>8</v>
      </c>
      <c r="B46" s="48" t="s">
        <v>486</v>
      </c>
      <c r="C46" s="51">
        <v>204878105</v>
      </c>
      <c r="D46" s="51">
        <v>232714541</v>
      </c>
      <c r="E46" s="23">
        <v>251836372</v>
      </c>
      <c r="F46" s="5"/>
    </row>
    <row r="47" spans="1:6" ht="24" customHeight="1">
      <c r="A47" s="21">
        <v>9</v>
      </c>
      <c r="B47" s="48" t="s">
        <v>487</v>
      </c>
      <c r="C47" s="51">
        <v>11501204</v>
      </c>
      <c r="D47" s="51">
        <v>15155191</v>
      </c>
      <c r="E47" s="174">
        <v>16187524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488</v>
      </c>
      <c r="C49" s="175">
        <f>IF(C38=0,0,IF(C51=0,0,(C50/C51)/C38))</f>
        <v>0.8365028707996829</v>
      </c>
      <c r="D49" s="175">
        <f>IF(D38=0,0,IF(D51=0,0,(D50/D51)/D38))</f>
        <v>0.8141499853507211</v>
      </c>
      <c r="E49" s="175">
        <f>IF(E38=0,0,IF(E51=0,0,(E50/E51)/E38))</f>
        <v>0.7336082694536548</v>
      </c>
      <c r="F49" s="7"/>
    </row>
    <row r="50" spans="1:6" ht="24" customHeight="1">
      <c r="A50" s="21">
        <v>11</v>
      </c>
      <c r="B50" s="48" t="s">
        <v>489</v>
      </c>
      <c r="C50" s="176">
        <v>64879759</v>
      </c>
      <c r="D50" s="176">
        <v>72052748</v>
      </c>
      <c r="E50" s="176">
        <v>71175892</v>
      </c>
      <c r="F50" s="11"/>
    </row>
    <row r="51" spans="1:6" ht="24" customHeight="1">
      <c r="A51" s="21">
        <v>12</v>
      </c>
      <c r="B51" s="48" t="s">
        <v>490</v>
      </c>
      <c r="C51" s="176">
        <v>169767961</v>
      </c>
      <c r="D51" s="176">
        <v>201661128</v>
      </c>
      <c r="E51" s="176">
        <v>218476625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491</v>
      </c>
      <c r="C53" s="175">
        <f>IF(C38=0,0,IF(C55=0,0,(C54/C55)/C38))</f>
        <v>0.5581530056360353</v>
      </c>
      <c r="D53" s="175">
        <f>IF(D38=0,0,IF(D55=0,0,(D54/D55)/D38))</f>
        <v>0.5990576406145788</v>
      </c>
      <c r="E53" s="175">
        <f>IF(E38=0,0,IF(E55=0,0,(E54/E55)/E38))</f>
        <v>0.6225149420001371</v>
      </c>
      <c r="F53" s="13"/>
    </row>
    <row r="54" spans="1:6" ht="24" customHeight="1">
      <c r="A54" s="21">
        <v>14</v>
      </c>
      <c r="B54" s="48" t="s">
        <v>492</v>
      </c>
      <c r="C54" s="176">
        <v>10426597</v>
      </c>
      <c r="D54" s="176">
        <v>13094763</v>
      </c>
      <c r="E54" s="176">
        <v>16337157</v>
      </c>
      <c r="F54" s="13"/>
    </row>
    <row r="55" spans="1:6" ht="24" customHeight="1">
      <c r="A55" s="21">
        <v>15</v>
      </c>
      <c r="B55" s="48" t="s">
        <v>493</v>
      </c>
      <c r="C55" s="176">
        <v>40888696</v>
      </c>
      <c r="D55" s="176">
        <v>49808687</v>
      </c>
      <c r="E55" s="176">
        <v>59096666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494</v>
      </c>
      <c r="C57" s="53">
        <f>+C60*C38</f>
        <v>7260956.393112428</v>
      </c>
      <c r="D57" s="53">
        <f>+D60*D38</f>
        <v>9061214.392304622</v>
      </c>
      <c r="E57" s="53">
        <f>+E60*E38</f>
        <v>10540404.911751688</v>
      </c>
      <c r="F57" s="13"/>
    </row>
    <row r="58" spans="1:6" ht="24" customHeight="1">
      <c r="A58" s="21">
        <v>17</v>
      </c>
      <c r="B58" s="48" t="s">
        <v>495</v>
      </c>
      <c r="C58" s="51">
        <v>3473395</v>
      </c>
      <c r="D58" s="51">
        <v>6296582</v>
      </c>
      <c r="E58" s="52">
        <v>6641717</v>
      </c>
      <c r="F58" s="28"/>
    </row>
    <row r="59" spans="1:6" ht="24" customHeight="1">
      <c r="A59" s="21">
        <v>18</v>
      </c>
      <c r="B59" s="48" t="s">
        <v>241</v>
      </c>
      <c r="C59" s="51">
        <v>12419674</v>
      </c>
      <c r="D59" s="51">
        <v>14350680</v>
      </c>
      <c r="E59" s="52">
        <v>17093520</v>
      </c>
      <c r="F59" s="28"/>
    </row>
    <row r="60" spans="1:6" ht="24" customHeight="1">
      <c r="A60" s="21">
        <v>19</v>
      </c>
      <c r="B60" s="48" t="s">
        <v>496</v>
      </c>
      <c r="C60" s="51">
        <v>15893069</v>
      </c>
      <c r="D60" s="51">
        <v>20647262</v>
      </c>
      <c r="E60" s="52">
        <v>23735237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497</v>
      </c>
      <c r="C62" s="178">
        <f>IF(C63=0,0,+C57/C63)</f>
        <v>0.03589421407407401</v>
      </c>
      <c r="D62" s="178">
        <f>IF(D63=0,0,+D57/D63)</f>
        <v>0.04016504126790363</v>
      </c>
      <c r="E62" s="178">
        <f>IF(E63=0,0,+E57/E63)</f>
        <v>0.0420528590105934</v>
      </c>
      <c r="F62" s="13"/>
    </row>
    <row r="63" spans="1:6" ht="24" customHeight="1">
      <c r="A63" s="21">
        <v>21</v>
      </c>
      <c r="B63" s="45" t="s">
        <v>480</v>
      </c>
      <c r="C63" s="176">
        <v>202287655</v>
      </c>
      <c r="D63" s="176">
        <v>225599529</v>
      </c>
      <c r="E63" s="176">
        <v>250646571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498</v>
      </c>
      <c r="B65" s="41" t="s">
        <v>499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500</v>
      </c>
      <c r="C67" s="179">
        <f>IF(C69=0,0,C68/C69)</f>
        <v>3.0881035037316096</v>
      </c>
      <c r="D67" s="179">
        <f>IF(D69=0,0,D68/D69)</f>
        <v>3.547680003431568</v>
      </c>
      <c r="E67" s="179">
        <f>IF(E69=0,0,E68/E69)</f>
        <v>3.6870409403598376</v>
      </c>
      <c r="F67" s="28"/>
    </row>
    <row r="68" spans="1:6" ht="24" customHeight="1">
      <c r="A68" s="21">
        <v>2</v>
      </c>
      <c r="B68" s="48" t="s">
        <v>181</v>
      </c>
      <c r="C68" s="180">
        <v>85247440</v>
      </c>
      <c r="D68" s="180">
        <v>94120472</v>
      </c>
      <c r="E68" s="180">
        <v>108982983</v>
      </c>
      <c r="F68" s="28"/>
    </row>
    <row r="69" spans="1:6" ht="24" customHeight="1">
      <c r="A69" s="21">
        <v>3</v>
      </c>
      <c r="B69" s="48" t="s">
        <v>210</v>
      </c>
      <c r="C69" s="180">
        <v>27605111</v>
      </c>
      <c r="D69" s="180">
        <v>26530147</v>
      </c>
      <c r="E69" s="180">
        <v>29558387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501</v>
      </c>
      <c r="C71" s="181">
        <f>IF((C77/365)=0,0,+C74/(C77/365))</f>
        <v>82.12066894143524</v>
      </c>
      <c r="D71" s="181">
        <f>IF((D77/365)=0,0,+D74/(D77/365))</f>
        <v>76.9904971112067</v>
      </c>
      <c r="E71" s="181">
        <f>IF((E77/365)=0,0,+E74/(E77/365))</f>
        <v>89.91301121734367</v>
      </c>
      <c r="F71" s="28"/>
    </row>
    <row r="72" spans="1:6" ht="24" customHeight="1">
      <c r="A72" s="21">
        <v>5</v>
      </c>
      <c r="B72" s="22" t="s">
        <v>172</v>
      </c>
      <c r="C72" s="182">
        <v>45270042</v>
      </c>
      <c r="D72" s="182">
        <v>46717416</v>
      </c>
      <c r="E72" s="182">
        <v>57570735</v>
      </c>
      <c r="F72" s="28"/>
    </row>
    <row r="73" spans="1:6" ht="24" customHeight="1">
      <c r="A73" s="21">
        <v>6</v>
      </c>
      <c r="B73" s="183" t="s">
        <v>173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502</v>
      </c>
      <c r="C74" s="180">
        <f>+C72+C73</f>
        <v>45270042</v>
      </c>
      <c r="D74" s="180">
        <f>+D72+D73</f>
        <v>46717416</v>
      </c>
      <c r="E74" s="180">
        <f>+E72+E73</f>
        <v>57570735</v>
      </c>
      <c r="F74" s="28"/>
    </row>
    <row r="75" spans="1:6" ht="24" customHeight="1">
      <c r="A75" s="21">
        <v>8</v>
      </c>
      <c r="B75" s="48" t="s">
        <v>480</v>
      </c>
      <c r="C75" s="180">
        <f>+C14</f>
        <v>213708355</v>
      </c>
      <c r="D75" s="180">
        <f>+D14</f>
        <v>237933157</v>
      </c>
      <c r="E75" s="180">
        <f>+E14</f>
        <v>250646571</v>
      </c>
      <c r="F75" s="28"/>
    </row>
    <row r="76" spans="1:6" ht="24" customHeight="1">
      <c r="A76" s="21">
        <v>9</v>
      </c>
      <c r="B76" s="45" t="s">
        <v>503</v>
      </c>
      <c r="C76" s="180">
        <v>12497557</v>
      </c>
      <c r="D76" s="180">
        <v>16453137</v>
      </c>
      <c r="E76" s="180">
        <v>16939369</v>
      </c>
      <c r="F76" s="28"/>
    </row>
    <row r="77" spans="1:6" ht="24" customHeight="1">
      <c r="A77" s="21">
        <v>10</v>
      </c>
      <c r="B77" s="45" t="s">
        <v>504</v>
      </c>
      <c r="C77" s="180">
        <f>+C75-C76</f>
        <v>201210798</v>
      </c>
      <c r="D77" s="180">
        <f>+D75-D76</f>
        <v>221480020</v>
      </c>
      <c r="E77" s="180">
        <f>+E75-E76</f>
        <v>233707202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505</v>
      </c>
      <c r="C79" s="179">
        <f>IF((C84/365)=0,0,+C83/(C84/365))</f>
        <v>49.271354310716504</v>
      </c>
      <c r="D79" s="179">
        <f>IF((D84/365)=0,0,+D83/(D84/365))</f>
        <v>48.86017173611795</v>
      </c>
      <c r="E79" s="179">
        <f>IF((E84/365)=0,0,+E83/(E84/365))</f>
        <v>48.188690519868395</v>
      </c>
      <c r="F79" s="28"/>
    </row>
    <row r="80" spans="1:6" ht="24" customHeight="1">
      <c r="A80" s="21">
        <v>12</v>
      </c>
      <c r="B80" s="188" t="s">
        <v>506</v>
      </c>
      <c r="C80" s="189">
        <v>30841964</v>
      </c>
      <c r="D80" s="189">
        <v>33683248</v>
      </c>
      <c r="E80" s="189">
        <v>36111295</v>
      </c>
      <c r="F80" s="28"/>
    </row>
    <row r="81" spans="1:6" ht="24" customHeight="1">
      <c r="A81" s="21">
        <v>13</v>
      </c>
      <c r="B81" s="188" t="s">
        <v>177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205</v>
      </c>
      <c r="C82" s="190">
        <v>1428540</v>
      </c>
      <c r="D82" s="190">
        <v>1270638</v>
      </c>
      <c r="E82" s="190">
        <v>1831013</v>
      </c>
      <c r="F82" s="28"/>
    </row>
    <row r="83" spans="1:6" ht="33.75" customHeight="1">
      <c r="A83" s="21">
        <v>15</v>
      </c>
      <c r="B83" s="45" t="s">
        <v>507</v>
      </c>
      <c r="C83" s="191">
        <f>+C80+C81-C82</f>
        <v>29413424</v>
      </c>
      <c r="D83" s="191">
        <f>+D80+D81-D82</f>
        <v>32412610</v>
      </c>
      <c r="E83" s="191">
        <f>+E80+E81-E82</f>
        <v>34280282</v>
      </c>
      <c r="F83" s="28"/>
    </row>
    <row r="84" spans="1:6" ht="24" customHeight="1">
      <c r="A84" s="21">
        <v>16</v>
      </c>
      <c r="B84" s="48" t="s">
        <v>231</v>
      </c>
      <c r="C84" s="180">
        <f>+C11</f>
        <v>217893336</v>
      </c>
      <c r="D84" s="191">
        <f>+D11</f>
        <v>242131827</v>
      </c>
      <c r="E84" s="191">
        <f>+E11</f>
        <v>259652271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508</v>
      </c>
      <c r="C86" s="179">
        <f>IF((C90/365)=0,0,+C87/(C90/365))</f>
        <v>50.0761669609799</v>
      </c>
      <c r="D86" s="179">
        <f>IF((D90/365)=0,0,+D87/(D90/365))</f>
        <v>43.72179330216784</v>
      </c>
      <c r="E86" s="179">
        <f>IF((E90/365)=0,0,+E87/(E90/365))</f>
        <v>46.16379453723468</v>
      </c>
      <c r="F86" s="13"/>
    </row>
    <row r="87" spans="1:6" ht="24" customHeight="1">
      <c r="A87" s="21">
        <v>18</v>
      </c>
      <c r="B87" s="48" t="s">
        <v>210</v>
      </c>
      <c r="C87" s="51">
        <f>+C69</f>
        <v>27605111</v>
      </c>
      <c r="D87" s="51">
        <f>+D69</f>
        <v>26530147</v>
      </c>
      <c r="E87" s="51">
        <f>+E69</f>
        <v>29558387</v>
      </c>
      <c r="F87" s="28"/>
    </row>
    <row r="88" spans="1:6" ht="24" customHeight="1">
      <c r="A88" s="21">
        <v>19</v>
      </c>
      <c r="B88" s="48" t="s">
        <v>480</v>
      </c>
      <c r="C88" s="51">
        <f aca="true" t="shared" si="0" ref="C88:E89">+C75</f>
        <v>213708355</v>
      </c>
      <c r="D88" s="51">
        <f t="shared" si="0"/>
        <v>237933157</v>
      </c>
      <c r="E88" s="51">
        <f t="shared" si="0"/>
        <v>250646571</v>
      </c>
      <c r="F88" s="28"/>
    </row>
    <row r="89" spans="1:6" ht="24" customHeight="1">
      <c r="A89" s="21">
        <v>20</v>
      </c>
      <c r="B89" s="48" t="s">
        <v>503</v>
      </c>
      <c r="C89" s="52">
        <f t="shared" si="0"/>
        <v>12497557</v>
      </c>
      <c r="D89" s="52">
        <f t="shared" si="0"/>
        <v>16453137</v>
      </c>
      <c r="E89" s="52">
        <f t="shared" si="0"/>
        <v>16939369</v>
      </c>
      <c r="F89" s="28"/>
    </row>
    <row r="90" spans="1:6" ht="24" customHeight="1">
      <c r="A90" s="21">
        <v>21</v>
      </c>
      <c r="B90" s="48" t="s">
        <v>509</v>
      </c>
      <c r="C90" s="51">
        <f>+C88-C89</f>
        <v>201210798</v>
      </c>
      <c r="D90" s="51">
        <f>+D88-D89</f>
        <v>221480020</v>
      </c>
      <c r="E90" s="51">
        <f>+E88-E89</f>
        <v>233707202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510</v>
      </c>
      <c r="B92" s="41" t="s">
        <v>511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512</v>
      </c>
      <c r="C94" s="192">
        <f>IF(C96=0,0,(C95/C96)*100)</f>
        <v>55.14106527577418</v>
      </c>
      <c r="D94" s="192">
        <f>IF(D96=0,0,(D95/D96)*100)</f>
        <v>48.765885575894075</v>
      </c>
      <c r="E94" s="192">
        <f>IF(E96=0,0,(E95/E96)*100)</f>
        <v>36.08026926178328</v>
      </c>
      <c r="F94" s="28"/>
    </row>
    <row r="95" spans="1:6" ht="24" customHeight="1">
      <c r="A95" s="21">
        <v>2</v>
      </c>
      <c r="B95" s="48" t="s">
        <v>223</v>
      </c>
      <c r="C95" s="51">
        <f>+C32</f>
        <v>163714994</v>
      </c>
      <c r="D95" s="51">
        <f>+D32</f>
        <v>140788086</v>
      </c>
      <c r="E95" s="51">
        <f>+E32</f>
        <v>112603569</v>
      </c>
      <c r="F95" s="28"/>
    </row>
    <row r="96" spans="1:6" ht="24" customHeight="1">
      <c r="A96" s="21">
        <v>3</v>
      </c>
      <c r="B96" s="48" t="s">
        <v>199</v>
      </c>
      <c r="C96" s="51">
        <v>296902124</v>
      </c>
      <c r="D96" s="51">
        <v>288701998</v>
      </c>
      <c r="E96" s="51">
        <v>312091820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513</v>
      </c>
      <c r="C98" s="192">
        <f>IF(C104=0,0,(C101/C104)*100)</f>
        <v>34.18174843166586</v>
      </c>
      <c r="D98" s="192">
        <f>IF(D104=0,0,(D101/D104)*100)</f>
        <v>21.07515476024059</v>
      </c>
      <c r="E98" s="192">
        <f>IF(E104=0,0,(E101/E104)*100)</f>
        <v>30.394428712921282</v>
      </c>
      <c r="F98" s="28"/>
    </row>
    <row r="99" spans="1:6" ht="24" customHeight="1">
      <c r="A99" s="21">
        <v>5</v>
      </c>
      <c r="B99" s="48" t="s">
        <v>514</v>
      </c>
      <c r="C99" s="51">
        <f>+C28</f>
        <v>20026378</v>
      </c>
      <c r="D99" s="51">
        <f>+D28</f>
        <v>3007306</v>
      </c>
      <c r="E99" s="51">
        <f>+E28</f>
        <v>11476359</v>
      </c>
      <c r="F99" s="28"/>
    </row>
    <row r="100" spans="1:6" ht="24" customHeight="1">
      <c r="A100" s="21">
        <v>6</v>
      </c>
      <c r="B100" s="48" t="s">
        <v>503</v>
      </c>
      <c r="C100" s="52">
        <f>+C76</f>
        <v>12497557</v>
      </c>
      <c r="D100" s="52">
        <f>+D76</f>
        <v>16453137</v>
      </c>
      <c r="E100" s="52">
        <f>+E76</f>
        <v>16939369</v>
      </c>
      <c r="F100" s="28"/>
    </row>
    <row r="101" spans="1:6" ht="24" customHeight="1">
      <c r="A101" s="21">
        <v>7</v>
      </c>
      <c r="B101" s="48" t="s">
        <v>515</v>
      </c>
      <c r="C101" s="51">
        <f>+C99+C100</f>
        <v>32523935</v>
      </c>
      <c r="D101" s="51">
        <f>+D99+D100</f>
        <v>19460443</v>
      </c>
      <c r="E101" s="51">
        <f>+E99+E100</f>
        <v>28415728</v>
      </c>
      <c r="F101" s="28"/>
    </row>
    <row r="102" spans="1:6" ht="24" customHeight="1">
      <c r="A102" s="21">
        <v>8</v>
      </c>
      <c r="B102" s="48" t="s">
        <v>210</v>
      </c>
      <c r="C102" s="180">
        <f>+C69</f>
        <v>27605111</v>
      </c>
      <c r="D102" s="180">
        <f>+D69</f>
        <v>26530147</v>
      </c>
      <c r="E102" s="180">
        <f>+E69</f>
        <v>29558387</v>
      </c>
      <c r="F102" s="28"/>
    </row>
    <row r="103" spans="1:6" ht="24" customHeight="1">
      <c r="A103" s="21">
        <v>9</v>
      </c>
      <c r="B103" s="48" t="s">
        <v>214</v>
      </c>
      <c r="C103" s="194">
        <v>67544893</v>
      </c>
      <c r="D103" s="194">
        <v>65808169</v>
      </c>
      <c r="E103" s="194">
        <v>63931536</v>
      </c>
      <c r="F103" s="28"/>
    </row>
    <row r="104" spans="1:6" ht="24" customHeight="1">
      <c r="A104" s="21">
        <v>10</v>
      </c>
      <c r="B104" s="195" t="s">
        <v>516</v>
      </c>
      <c r="C104" s="180">
        <f>+C102+C103</f>
        <v>95150004</v>
      </c>
      <c r="D104" s="180">
        <f>+D102+D103</f>
        <v>92338316</v>
      </c>
      <c r="E104" s="180">
        <f>+E102+E103</f>
        <v>93489923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517</v>
      </c>
      <c r="C106" s="197">
        <f>IF(C109=0,0,(C107/C109)*100)</f>
        <v>29.207353629814754</v>
      </c>
      <c r="D106" s="197">
        <f>IF(D109=0,0,(D107/D109)*100)</f>
        <v>31.853514963279466</v>
      </c>
      <c r="E106" s="197">
        <f>IF(E109=0,0,(E107/E109)*100)</f>
        <v>36.21463051215791</v>
      </c>
      <c r="F106" s="28"/>
    </row>
    <row r="107" spans="1:6" ht="24" customHeight="1">
      <c r="A107" s="17">
        <v>12</v>
      </c>
      <c r="B107" s="48" t="s">
        <v>214</v>
      </c>
      <c r="C107" s="180">
        <f>+C103</f>
        <v>67544893</v>
      </c>
      <c r="D107" s="180">
        <f>+D103</f>
        <v>65808169</v>
      </c>
      <c r="E107" s="180">
        <f>+E103</f>
        <v>63931536</v>
      </c>
      <c r="F107" s="28"/>
    </row>
    <row r="108" spans="1:6" ht="24" customHeight="1">
      <c r="A108" s="17">
        <v>13</v>
      </c>
      <c r="B108" s="48" t="s">
        <v>223</v>
      </c>
      <c r="C108" s="180">
        <f>+C32</f>
        <v>163714994</v>
      </c>
      <c r="D108" s="180">
        <f>+D32</f>
        <v>140788086</v>
      </c>
      <c r="E108" s="180">
        <f>+E32</f>
        <v>112603569</v>
      </c>
      <c r="F108" s="28"/>
    </row>
    <row r="109" spans="1:6" ht="24" customHeight="1">
      <c r="A109" s="17">
        <v>14</v>
      </c>
      <c r="B109" s="48" t="s">
        <v>518</v>
      </c>
      <c r="C109" s="180">
        <f>+C107+C108</f>
        <v>231259887</v>
      </c>
      <c r="D109" s="180">
        <f>+D107+D108</f>
        <v>206596255</v>
      </c>
      <c r="E109" s="180">
        <f>+E107+E108</f>
        <v>176535105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519</v>
      </c>
      <c r="C111" s="197">
        <f>IF((+C113+C115)=0,0,((+C112+C113+C114)/(+C113+C115)))</f>
        <v>25.66821772453364</v>
      </c>
      <c r="D111" s="197">
        <f>IF((+D113+D115)=0,0,((+D112+D113+D114)/(+D113+D115)))</f>
        <v>7.480323209585066</v>
      </c>
      <c r="E111" s="197">
        <f>IF((+E113+E115)=0,0,((+E112+E113+E114)/(+E113+E115)))</f>
        <v>6.501256422943864</v>
      </c>
    </row>
    <row r="112" spans="1:6" ht="24" customHeight="1">
      <c r="A112" s="17">
        <v>16</v>
      </c>
      <c r="B112" s="48" t="s">
        <v>520</v>
      </c>
      <c r="C112" s="180">
        <f>+C17</f>
        <v>20026378</v>
      </c>
      <c r="D112" s="180">
        <f>+D17</f>
        <v>3007306</v>
      </c>
      <c r="E112" s="180">
        <f>+E17</f>
        <v>11476359</v>
      </c>
      <c r="F112" s="28"/>
    </row>
    <row r="113" spans="1:6" ht="24" customHeight="1">
      <c r="A113" s="17">
        <v>17</v>
      </c>
      <c r="B113" s="48" t="s">
        <v>342</v>
      </c>
      <c r="C113" s="180">
        <v>1318455</v>
      </c>
      <c r="D113" s="180">
        <v>3003005</v>
      </c>
      <c r="E113" s="180">
        <v>3091298</v>
      </c>
      <c r="F113" s="28"/>
    </row>
    <row r="114" spans="1:6" ht="24" customHeight="1">
      <c r="A114" s="17">
        <v>18</v>
      </c>
      <c r="B114" s="48" t="s">
        <v>521</v>
      </c>
      <c r="C114" s="180">
        <v>12497557</v>
      </c>
      <c r="D114" s="180">
        <v>16453137</v>
      </c>
      <c r="E114" s="180">
        <v>16939369</v>
      </c>
      <c r="F114" s="28"/>
    </row>
    <row r="115" spans="1:6" ht="24" customHeight="1">
      <c r="A115" s="17">
        <v>19</v>
      </c>
      <c r="B115" s="48" t="s">
        <v>258</v>
      </c>
      <c r="C115" s="180">
        <v>0</v>
      </c>
      <c r="D115" s="180">
        <v>0</v>
      </c>
      <c r="E115" s="180">
        <v>1755000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522</v>
      </c>
      <c r="B117" s="30" t="s">
        <v>523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524</v>
      </c>
      <c r="C119" s="197">
        <f>IF(+C121=0,0,(+C120)/(+C121))</f>
        <v>6.983685211437724</v>
      </c>
      <c r="D119" s="197">
        <f>IF(+D121=0,0,(+D120)/(+D121))</f>
        <v>6.096460936294398</v>
      </c>
      <c r="E119" s="197">
        <f>IF(+E121=0,0,(+E120)/(+E121))</f>
        <v>6.753410000100948</v>
      </c>
    </row>
    <row r="120" spans="1:6" ht="24" customHeight="1">
      <c r="A120" s="17">
        <v>21</v>
      </c>
      <c r="B120" s="48" t="s">
        <v>525</v>
      </c>
      <c r="C120" s="180">
        <v>87279004</v>
      </c>
      <c r="D120" s="180">
        <v>100305907</v>
      </c>
      <c r="E120" s="180">
        <v>114398504</v>
      </c>
      <c r="F120" s="28"/>
    </row>
    <row r="121" spans="1:6" ht="24" customHeight="1">
      <c r="A121" s="17">
        <v>22</v>
      </c>
      <c r="B121" s="48" t="s">
        <v>521</v>
      </c>
      <c r="C121" s="180">
        <v>12497557</v>
      </c>
      <c r="D121" s="180">
        <v>16453137</v>
      </c>
      <c r="E121" s="180">
        <v>16939369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526</v>
      </c>
      <c r="B123" s="30" t="s">
        <v>527</v>
      </c>
      <c r="C123" s="27"/>
      <c r="D123" s="27"/>
      <c r="E123" s="53"/>
    </row>
    <row r="124" spans="1:5" ht="24" customHeight="1">
      <c r="A124" s="44">
        <v>1</v>
      </c>
      <c r="B124" s="48" t="s">
        <v>528</v>
      </c>
      <c r="C124" s="198">
        <v>50286</v>
      </c>
      <c r="D124" s="198">
        <v>50512</v>
      </c>
      <c r="E124" s="198">
        <v>50032</v>
      </c>
    </row>
    <row r="125" spans="1:5" ht="24" customHeight="1">
      <c r="A125" s="44">
        <v>2</v>
      </c>
      <c r="B125" s="48" t="s">
        <v>529</v>
      </c>
      <c r="C125" s="198">
        <v>12076</v>
      </c>
      <c r="D125" s="198">
        <v>11940</v>
      </c>
      <c r="E125" s="198">
        <v>11885</v>
      </c>
    </row>
    <row r="126" spans="1:5" ht="24" customHeight="1">
      <c r="A126" s="44">
        <v>3</v>
      </c>
      <c r="B126" s="48" t="s">
        <v>530</v>
      </c>
      <c r="C126" s="199">
        <f>IF(C125=0,0,C124/C125)</f>
        <v>4.164127194435244</v>
      </c>
      <c r="D126" s="199">
        <f>IF(D125=0,0,D124/D125)</f>
        <v>4.2304857621440535</v>
      </c>
      <c r="E126" s="199">
        <f>IF(E125=0,0,E124/E125)</f>
        <v>4.209676062263357</v>
      </c>
    </row>
    <row r="127" spans="1:5" ht="24" customHeight="1">
      <c r="A127" s="44">
        <v>4</v>
      </c>
      <c r="B127" s="48" t="s">
        <v>531</v>
      </c>
      <c r="C127" s="198">
        <v>199</v>
      </c>
      <c r="D127" s="198">
        <v>202</v>
      </c>
      <c r="E127" s="198">
        <v>202</v>
      </c>
    </row>
    <row r="128" spans="1:8" ht="24" customHeight="1">
      <c r="A128" s="44">
        <v>5</v>
      </c>
      <c r="B128" s="48" t="s">
        <v>532</v>
      </c>
      <c r="C128" s="198">
        <v>0</v>
      </c>
      <c r="D128" s="198">
        <v>0</v>
      </c>
      <c r="E128" s="198">
        <v>233</v>
      </c>
      <c r="G128" s="6"/>
      <c r="H128" s="12"/>
    </row>
    <row r="129" spans="1:8" ht="24" customHeight="1">
      <c r="A129" s="44">
        <v>6</v>
      </c>
      <c r="B129" s="48" t="s">
        <v>533</v>
      </c>
      <c r="C129" s="198">
        <v>233</v>
      </c>
      <c r="D129" s="198">
        <v>233</v>
      </c>
      <c r="E129" s="198">
        <v>233</v>
      </c>
      <c r="G129" s="6"/>
      <c r="H129" s="12"/>
    </row>
    <row r="130" spans="1:5" ht="24" customHeight="1">
      <c r="A130" s="44">
        <v>6</v>
      </c>
      <c r="B130" s="48" t="s">
        <v>534</v>
      </c>
      <c r="C130" s="171">
        <v>0.6923</v>
      </c>
      <c r="D130" s="171">
        <v>0.685</v>
      </c>
      <c r="E130" s="171">
        <v>0.6785</v>
      </c>
    </row>
    <row r="131" spans="1:5" ht="24" customHeight="1">
      <c r="A131" s="44">
        <v>7</v>
      </c>
      <c r="B131" s="48" t="s">
        <v>535</v>
      </c>
      <c r="C131" s="171">
        <v>0.5912</v>
      </c>
      <c r="D131" s="171">
        <v>0.5939</v>
      </c>
      <c r="E131" s="171">
        <v>0.5883</v>
      </c>
    </row>
    <row r="132" spans="1:5" ht="24" customHeight="1">
      <c r="A132" s="44">
        <v>8</v>
      </c>
      <c r="B132" s="48" t="s">
        <v>536</v>
      </c>
      <c r="C132" s="199">
        <v>1429.8</v>
      </c>
      <c r="D132" s="199">
        <v>1503.2</v>
      </c>
      <c r="E132" s="199">
        <v>1583.5</v>
      </c>
    </row>
    <row r="133" ht="24" customHeight="1">
      <c r="B133" s="55"/>
    </row>
    <row r="134" spans="1:6" ht="19.5" customHeight="1">
      <c r="A134" s="200" t="s">
        <v>168</v>
      </c>
      <c r="B134" s="30" t="s">
        <v>537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538</v>
      </c>
      <c r="C135" s="203">
        <f>IF(C149=0,0,C143/C149)</f>
        <v>0.43880331856352334</v>
      </c>
      <c r="D135" s="203">
        <f>IF(D149=0,0,D143/D149)</f>
        <v>0.42465987260111104</v>
      </c>
      <c r="E135" s="203">
        <f>IF(E149=0,0,E143/E149)</f>
        <v>0.4203203570604018</v>
      </c>
      <c r="G135" s="6"/>
    </row>
    <row r="136" spans="1:5" ht="19.5" customHeight="1">
      <c r="A136" s="202">
        <v>2</v>
      </c>
      <c r="B136" s="195" t="s">
        <v>539</v>
      </c>
      <c r="C136" s="203">
        <f>IF(C149=0,0,C144/C149)</f>
        <v>0.3852308330898467</v>
      </c>
      <c r="D136" s="203">
        <f>IF(D149=0,0,D144/D149)</f>
        <v>0.39362771089854953</v>
      </c>
      <c r="E136" s="203">
        <f>IF(E149=0,0,E144/E149)</f>
        <v>0.38969073606229343</v>
      </c>
    </row>
    <row r="137" spans="1:7" ht="19.5" customHeight="1">
      <c r="A137" s="202">
        <v>3</v>
      </c>
      <c r="B137" s="195" t="s">
        <v>540</v>
      </c>
      <c r="C137" s="203">
        <f>IF(C149=0,0,C145/C149)</f>
        <v>0.09278303356684293</v>
      </c>
      <c r="D137" s="203">
        <f>IF(D149=0,0,D145/D149)</f>
        <v>0.09722289883587451</v>
      </c>
      <c r="E137" s="203">
        <f>IF(E149=0,0,E145/E149)</f>
        <v>0.1054090947824167</v>
      </c>
      <c r="G137" s="6"/>
    </row>
    <row r="138" spans="1:7" ht="19.5" customHeight="1">
      <c r="A138" s="202">
        <v>4</v>
      </c>
      <c r="B138" s="195" t="s">
        <v>541</v>
      </c>
      <c r="C138" s="203">
        <f>IF(C149=0,0,C146/C149)</f>
        <v>0.036328813489147266</v>
      </c>
      <c r="D138" s="203">
        <f>IF(D149=0,0,D146/D149)</f>
        <v>0.03518428425541023</v>
      </c>
      <c r="E138" s="203">
        <f>IF(E149=0,0,E146/E149)</f>
        <v>0.0389900469186832</v>
      </c>
      <c r="G138" s="6"/>
    </row>
    <row r="139" spans="1:5" ht="19.5" customHeight="1">
      <c r="A139" s="202">
        <v>5</v>
      </c>
      <c r="B139" s="195" t="s">
        <v>542</v>
      </c>
      <c r="C139" s="203">
        <f>IF(C149=0,0,C147/C149)</f>
        <v>0.026098083362480137</v>
      </c>
      <c r="D139" s="203">
        <f>IF(D149=0,0,D147/D149)</f>
        <v>0.02958181976231086</v>
      </c>
      <c r="E139" s="203">
        <f>IF(E149=0,0,E147/E149)</f>
        <v>0.028873240524408688</v>
      </c>
    </row>
    <row r="140" spans="1:5" ht="19.5" customHeight="1">
      <c r="A140" s="202">
        <v>6</v>
      </c>
      <c r="B140" s="195" t="s">
        <v>543</v>
      </c>
      <c r="C140" s="203">
        <f>IF(C149=0,0,C148/C149)</f>
        <v>0.02075591792815963</v>
      </c>
      <c r="D140" s="203">
        <f>IF(D149=0,0,D148/D149)</f>
        <v>0.01972341364674382</v>
      </c>
      <c r="E140" s="203">
        <f>IF(E149=0,0,E148/E149)</f>
        <v>0.016716524651796193</v>
      </c>
    </row>
    <row r="141" spans="1:5" ht="19.5" customHeight="1">
      <c r="A141" s="202">
        <v>7</v>
      </c>
      <c r="B141" s="195" t="s">
        <v>544</v>
      </c>
      <c r="C141" s="203">
        <f>SUM(C135:C140)</f>
        <v>1</v>
      </c>
      <c r="D141" s="203">
        <f>SUM(D135:D140)</f>
        <v>1</v>
      </c>
      <c r="E141" s="203">
        <f>SUM(E135:E140)</f>
        <v>0.9999999999999999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545</v>
      </c>
      <c r="C143" s="204">
        <f>+C46-C147</f>
        <v>193376901</v>
      </c>
      <c r="D143" s="205">
        <f>+D46-D147</f>
        <v>217559350</v>
      </c>
      <c r="E143" s="205">
        <f>+E46-E147</f>
        <v>235648848</v>
      </c>
    </row>
    <row r="144" spans="1:5" ht="19.5" customHeight="1">
      <c r="A144" s="202">
        <v>9</v>
      </c>
      <c r="B144" s="201" t="s">
        <v>546</v>
      </c>
      <c r="C144" s="206">
        <f>+C51</f>
        <v>169767961</v>
      </c>
      <c r="D144" s="205">
        <f>+D51</f>
        <v>201661128</v>
      </c>
      <c r="E144" s="205">
        <f>+E51</f>
        <v>218476625</v>
      </c>
    </row>
    <row r="145" spans="1:5" ht="19.5" customHeight="1">
      <c r="A145" s="202">
        <v>10</v>
      </c>
      <c r="B145" s="201" t="s">
        <v>547</v>
      </c>
      <c r="C145" s="206">
        <f>+C55</f>
        <v>40888696</v>
      </c>
      <c r="D145" s="205">
        <f>+D55</f>
        <v>49808687</v>
      </c>
      <c r="E145" s="205">
        <f>+E55</f>
        <v>59096666</v>
      </c>
    </row>
    <row r="146" spans="1:5" ht="19.5" customHeight="1">
      <c r="A146" s="202">
        <v>11</v>
      </c>
      <c r="B146" s="201" t="s">
        <v>548</v>
      </c>
      <c r="C146" s="204">
        <v>16009800</v>
      </c>
      <c r="D146" s="205">
        <v>18025414</v>
      </c>
      <c r="E146" s="205">
        <v>21859421</v>
      </c>
    </row>
    <row r="147" spans="1:5" ht="19.5" customHeight="1">
      <c r="A147" s="202">
        <v>12</v>
      </c>
      <c r="B147" s="201" t="s">
        <v>549</v>
      </c>
      <c r="C147" s="206">
        <f>+C47</f>
        <v>11501204</v>
      </c>
      <c r="D147" s="205">
        <f>+D47</f>
        <v>15155191</v>
      </c>
      <c r="E147" s="205">
        <f>+E47</f>
        <v>16187524</v>
      </c>
    </row>
    <row r="148" spans="1:5" ht="19.5" customHeight="1">
      <c r="A148" s="202">
        <v>13</v>
      </c>
      <c r="B148" s="201" t="s">
        <v>550</v>
      </c>
      <c r="C148" s="206">
        <v>9146957</v>
      </c>
      <c r="D148" s="205">
        <v>10104588</v>
      </c>
      <c r="E148" s="205">
        <v>9371970</v>
      </c>
    </row>
    <row r="149" spans="1:5" ht="19.5" customHeight="1">
      <c r="A149" s="202">
        <v>14</v>
      </c>
      <c r="B149" s="201" t="s">
        <v>551</v>
      </c>
      <c r="C149" s="204">
        <f>SUM(C143:C148)</f>
        <v>440691519</v>
      </c>
      <c r="D149" s="205">
        <f>SUM(D143:D148)</f>
        <v>512314358</v>
      </c>
      <c r="E149" s="205">
        <f>SUM(E143:E148)</f>
        <v>560641054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552</v>
      </c>
      <c r="B151" s="30" t="s">
        <v>553</v>
      </c>
      <c r="C151" s="201"/>
      <c r="D151" s="201"/>
      <c r="E151" s="201"/>
    </row>
    <row r="152" spans="1:5" ht="19.5" customHeight="1">
      <c r="A152" s="202">
        <v>1</v>
      </c>
      <c r="B152" s="195" t="s">
        <v>554</v>
      </c>
      <c r="C152" s="203">
        <f>IF(C166=0,0,C160/C166)</f>
        <v>0.5943650009039085</v>
      </c>
      <c r="D152" s="203">
        <f>IF(D166=0,0,D160/D166)</f>
        <v>0.5876194528822483</v>
      </c>
      <c r="E152" s="203">
        <f>IF(E166=0,0,E160/E166)</f>
        <v>0.6002596423456815</v>
      </c>
    </row>
    <row r="153" spans="1:5" ht="19.5" customHeight="1">
      <c r="A153" s="202">
        <v>2</v>
      </c>
      <c r="B153" s="195" t="s">
        <v>555</v>
      </c>
      <c r="C153" s="203">
        <f>IF(C166=0,0,C161/C166)</f>
        <v>0.3118522118034453</v>
      </c>
      <c r="D153" s="203">
        <f>IF(D166=0,0,D161/D166)</f>
        <v>0.31255128730887727</v>
      </c>
      <c r="E153" s="203">
        <f>IF(E166=0,0,E161/E166)</f>
        <v>0.2897684952780337</v>
      </c>
    </row>
    <row r="154" spans="1:5" ht="19.5" customHeight="1">
      <c r="A154" s="202">
        <v>3</v>
      </c>
      <c r="B154" s="195" t="s">
        <v>556</v>
      </c>
      <c r="C154" s="203">
        <f>IF(C166=0,0,C162/C166)</f>
        <v>0.050116667912301696</v>
      </c>
      <c r="D154" s="203">
        <f>IF(D166=0,0,D162/D166)</f>
        <v>0.05680262233238704</v>
      </c>
      <c r="E154" s="203">
        <f>IF(E166=0,0,E162/E166)</f>
        <v>0.06651119175311489</v>
      </c>
    </row>
    <row r="155" spans="1:7" ht="19.5" customHeight="1">
      <c r="A155" s="202">
        <v>4</v>
      </c>
      <c r="B155" s="195" t="s">
        <v>557</v>
      </c>
      <c r="C155" s="203">
        <f>IF(C166=0,0,C163/C166)</f>
        <v>0.015225231410173302</v>
      </c>
      <c r="D155" s="203">
        <f>IF(D166=0,0,D163/D166)</f>
        <v>0.012977298203145027</v>
      </c>
      <c r="E155" s="203">
        <f>IF(E166=0,0,E163/E166)</f>
        <v>0.01507248325068504</v>
      </c>
      <c r="G155" s="6"/>
    </row>
    <row r="156" spans="1:5" ht="19.5" customHeight="1">
      <c r="A156" s="202">
        <v>5</v>
      </c>
      <c r="B156" s="195" t="s">
        <v>558</v>
      </c>
      <c r="C156" s="203">
        <f>IF(C166=0,0,C164/C166)</f>
        <v>0.011096269716981001</v>
      </c>
      <c r="D156" s="203">
        <f>IF(D166=0,0,D164/D166)</f>
        <v>0.014112742228257508</v>
      </c>
      <c r="E156" s="203">
        <f>IF(E166=0,0,E164/E166)</f>
        <v>0.013344059756171265</v>
      </c>
    </row>
    <row r="157" spans="1:5" ht="19.5" customHeight="1">
      <c r="A157" s="202">
        <v>6</v>
      </c>
      <c r="B157" s="195" t="s">
        <v>559</v>
      </c>
      <c r="C157" s="203">
        <f>IF(C166=0,0,C165/C166)</f>
        <v>0.017344618253190166</v>
      </c>
      <c r="D157" s="203">
        <f>IF(D166=0,0,D165/D166)</f>
        <v>0.01593659704508495</v>
      </c>
      <c r="E157" s="203">
        <f>IF(E166=0,0,E165/E166)</f>
        <v>0.01504412761631362</v>
      </c>
    </row>
    <row r="158" spans="1:5" ht="19.5" customHeight="1">
      <c r="A158" s="202">
        <v>7</v>
      </c>
      <c r="B158" s="195" t="s">
        <v>560</v>
      </c>
      <c r="C158" s="203">
        <f>SUM(C152:C157)</f>
        <v>0.9999999999999999</v>
      </c>
      <c r="D158" s="203">
        <f>SUM(D152:D157)</f>
        <v>1.0000000000000002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561</v>
      </c>
      <c r="C160" s="207">
        <f>+C44-C164</f>
        <v>123655554</v>
      </c>
      <c r="D160" s="208">
        <f>+D44-D164</f>
        <v>135464476</v>
      </c>
      <c r="E160" s="208">
        <f>+E44-E164</f>
        <v>147441893</v>
      </c>
    </row>
    <row r="161" spans="1:5" ht="19.5" customHeight="1">
      <c r="A161" s="202">
        <v>9</v>
      </c>
      <c r="B161" s="201" t="s">
        <v>562</v>
      </c>
      <c r="C161" s="209">
        <f>+C50</f>
        <v>64879759</v>
      </c>
      <c r="D161" s="208">
        <f>+D50</f>
        <v>72052748</v>
      </c>
      <c r="E161" s="208">
        <f>+E50</f>
        <v>71175892</v>
      </c>
    </row>
    <row r="162" spans="1:5" ht="19.5" customHeight="1">
      <c r="A162" s="202">
        <v>10</v>
      </c>
      <c r="B162" s="201" t="s">
        <v>563</v>
      </c>
      <c r="C162" s="209">
        <f>+C54</f>
        <v>10426597</v>
      </c>
      <c r="D162" s="208">
        <f>+D54</f>
        <v>13094763</v>
      </c>
      <c r="E162" s="208">
        <f>+E54</f>
        <v>16337157</v>
      </c>
    </row>
    <row r="163" spans="1:5" ht="19.5" customHeight="1">
      <c r="A163" s="202">
        <v>11</v>
      </c>
      <c r="B163" s="201" t="s">
        <v>564</v>
      </c>
      <c r="C163" s="207">
        <v>3167556</v>
      </c>
      <c r="D163" s="208">
        <v>2991669</v>
      </c>
      <c r="E163" s="208">
        <v>3702257</v>
      </c>
    </row>
    <row r="164" spans="1:5" ht="19.5" customHeight="1">
      <c r="A164" s="202">
        <v>12</v>
      </c>
      <c r="B164" s="201" t="s">
        <v>565</v>
      </c>
      <c r="C164" s="209">
        <f>+C45</f>
        <v>2308540</v>
      </c>
      <c r="D164" s="208">
        <f>+D45</f>
        <v>3253424</v>
      </c>
      <c r="E164" s="208">
        <f>+E45</f>
        <v>3277704</v>
      </c>
    </row>
    <row r="165" spans="1:5" ht="19.5" customHeight="1">
      <c r="A165" s="202">
        <v>13</v>
      </c>
      <c r="B165" s="201" t="s">
        <v>566</v>
      </c>
      <c r="C165" s="209">
        <v>3608487</v>
      </c>
      <c r="D165" s="208">
        <v>3673879</v>
      </c>
      <c r="E165" s="208">
        <v>3695292</v>
      </c>
    </row>
    <row r="166" spans="1:5" ht="19.5" customHeight="1">
      <c r="A166" s="202">
        <v>14</v>
      </c>
      <c r="B166" s="201" t="s">
        <v>567</v>
      </c>
      <c r="C166" s="207">
        <f>SUM(C160:C165)</f>
        <v>208046493</v>
      </c>
      <c r="D166" s="208">
        <f>SUM(D160:D165)</f>
        <v>230530959</v>
      </c>
      <c r="E166" s="208">
        <f>SUM(E160:E165)</f>
        <v>245630195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568</v>
      </c>
      <c r="B168" s="30" t="s">
        <v>529</v>
      </c>
      <c r="C168" s="201"/>
      <c r="D168" s="201"/>
      <c r="E168" s="201"/>
    </row>
    <row r="169" spans="1:5" ht="19.5" customHeight="1">
      <c r="A169" s="202">
        <v>1</v>
      </c>
      <c r="B169" s="201" t="s">
        <v>569</v>
      </c>
      <c r="C169" s="198">
        <v>4948</v>
      </c>
      <c r="D169" s="198">
        <v>4720</v>
      </c>
      <c r="E169" s="198">
        <v>4461</v>
      </c>
    </row>
    <row r="170" spans="1:5" ht="19.5" customHeight="1">
      <c r="A170" s="202">
        <v>2</v>
      </c>
      <c r="B170" s="201" t="s">
        <v>570</v>
      </c>
      <c r="C170" s="198">
        <v>5033</v>
      </c>
      <c r="D170" s="198">
        <v>5048</v>
      </c>
      <c r="E170" s="198">
        <v>5039</v>
      </c>
    </row>
    <row r="171" spans="1:5" ht="19.5" customHeight="1">
      <c r="A171" s="202">
        <v>3</v>
      </c>
      <c r="B171" s="201" t="s">
        <v>571</v>
      </c>
      <c r="C171" s="198">
        <v>1830</v>
      </c>
      <c r="D171" s="198">
        <v>1908</v>
      </c>
      <c r="E171" s="198">
        <v>2148</v>
      </c>
    </row>
    <row r="172" spans="1:5" ht="19.5" customHeight="1">
      <c r="A172" s="202">
        <v>4</v>
      </c>
      <c r="B172" s="201" t="s">
        <v>572</v>
      </c>
      <c r="C172" s="198">
        <v>1497</v>
      </c>
      <c r="D172" s="198">
        <v>1459</v>
      </c>
      <c r="E172" s="198">
        <v>1764</v>
      </c>
    </row>
    <row r="173" spans="1:5" ht="19.5" customHeight="1">
      <c r="A173" s="202">
        <v>5</v>
      </c>
      <c r="B173" s="201" t="s">
        <v>573</v>
      </c>
      <c r="C173" s="198">
        <v>333</v>
      </c>
      <c r="D173" s="198">
        <v>449</v>
      </c>
      <c r="E173" s="198">
        <v>384</v>
      </c>
    </row>
    <row r="174" spans="1:5" ht="19.5" customHeight="1">
      <c r="A174" s="202">
        <v>6</v>
      </c>
      <c r="B174" s="201" t="s">
        <v>574</v>
      </c>
      <c r="C174" s="198">
        <v>265</v>
      </c>
      <c r="D174" s="198">
        <v>264</v>
      </c>
      <c r="E174" s="198">
        <v>237</v>
      </c>
    </row>
    <row r="175" spans="1:5" ht="19.5" customHeight="1">
      <c r="A175" s="202">
        <v>7</v>
      </c>
      <c r="B175" s="201" t="s">
        <v>575</v>
      </c>
      <c r="C175" s="198">
        <v>351</v>
      </c>
      <c r="D175" s="198">
        <v>350</v>
      </c>
      <c r="E175" s="198">
        <v>265</v>
      </c>
    </row>
    <row r="176" spans="1:5" ht="19.5" customHeight="1">
      <c r="A176" s="202">
        <v>8</v>
      </c>
      <c r="B176" s="201" t="s">
        <v>576</v>
      </c>
      <c r="C176" s="198">
        <f>+C169+C170+C171+C174</f>
        <v>12076</v>
      </c>
      <c r="D176" s="198">
        <f>+D169+D170+D171+D174</f>
        <v>11940</v>
      </c>
      <c r="E176" s="198">
        <f>+E169+E170+E171+E174</f>
        <v>11885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577</v>
      </c>
      <c r="B178" s="30" t="s">
        <v>578</v>
      </c>
      <c r="C178" s="201"/>
      <c r="D178" s="201"/>
      <c r="E178" s="201"/>
    </row>
    <row r="179" spans="1:5" ht="19.5" customHeight="1">
      <c r="A179" s="202">
        <v>1</v>
      </c>
      <c r="B179" s="201" t="s">
        <v>569</v>
      </c>
      <c r="C179" s="210">
        <v>1.1638</v>
      </c>
      <c r="D179" s="210">
        <v>1.3637</v>
      </c>
      <c r="E179" s="210">
        <v>1.3151</v>
      </c>
    </row>
    <row r="180" spans="1:5" ht="19.5" customHeight="1">
      <c r="A180" s="202">
        <v>2</v>
      </c>
      <c r="B180" s="201" t="s">
        <v>570</v>
      </c>
      <c r="C180" s="210">
        <v>1.3131</v>
      </c>
      <c r="D180" s="210">
        <v>1.4054</v>
      </c>
      <c r="E180" s="210">
        <v>1.459</v>
      </c>
    </row>
    <row r="181" spans="1:5" ht="19.5" customHeight="1">
      <c r="A181" s="202">
        <v>3</v>
      </c>
      <c r="B181" s="201" t="s">
        <v>571</v>
      </c>
      <c r="C181" s="210">
        <v>0.843486</v>
      </c>
      <c r="D181" s="210">
        <v>1.055628</v>
      </c>
      <c r="E181" s="210">
        <v>0.961921</v>
      </c>
    </row>
    <row r="182" spans="1:5" ht="19.5" customHeight="1">
      <c r="A182" s="202">
        <v>4</v>
      </c>
      <c r="B182" s="201" t="s">
        <v>572</v>
      </c>
      <c r="C182" s="210">
        <v>0.7933</v>
      </c>
      <c r="D182" s="210">
        <v>1.0184</v>
      </c>
      <c r="E182" s="210">
        <v>0.8944</v>
      </c>
    </row>
    <row r="183" spans="1:5" ht="19.5" customHeight="1">
      <c r="A183" s="202">
        <v>5</v>
      </c>
      <c r="B183" s="201" t="s">
        <v>573</v>
      </c>
      <c r="C183" s="210">
        <v>1.0691</v>
      </c>
      <c r="D183" s="210">
        <v>1.1766</v>
      </c>
      <c r="E183" s="210">
        <v>1.2721</v>
      </c>
    </row>
    <row r="184" spans="1:5" ht="19.5" customHeight="1">
      <c r="A184" s="202">
        <v>6</v>
      </c>
      <c r="B184" s="201" t="s">
        <v>574</v>
      </c>
      <c r="C184" s="210">
        <v>0.7365</v>
      </c>
      <c r="D184" s="210">
        <v>1.044</v>
      </c>
      <c r="E184" s="210">
        <v>0.9408</v>
      </c>
    </row>
    <row r="185" spans="1:5" ht="19.5" customHeight="1">
      <c r="A185" s="202">
        <v>7</v>
      </c>
      <c r="B185" s="201" t="s">
        <v>575</v>
      </c>
      <c r="C185" s="210">
        <v>1.125</v>
      </c>
      <c r="D185" s="210">
        <v>1.135</v>
      </c>
      <c r="E185" s="210">
        <v>1.1848</v>
      </c>
    </row>
    <row r="186" spans="1:5" ht="19.5" customHeight="1">
      <c r="A186" s="202">
        <v>8</v>
      </c>
      <c r="B186" s="201" t="s">
        <v>579</v>
      </c>
      <c r="C186" s="210">
        <v>1.168107</v>
      </c>
      <c r="D186" s="210">
        <v>1.325031</v>
      </c>
      <c r="E186" s="210">
        <v>1.304816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580</v>
      </c>
      <c r="B188" s="30" t="s">
        <v>581</v>
      </c>
      <c r="C188" s="201"/>
      <c r="D188" s="201"/>
      <c r="E188" s="201"/>
    </row>
    <row r="189" spans="1:5" ht="19.5" customHeight="1">
      <c r="A189" s="202">
        <v>1</v>
      </c>
      <c r="B189" s="201" t="s">
        <v>582</v>
      </c>
      <c r="C189" s="198">
        <v>7031</v>
      </c>
      <c r="D189" s="198">
        <v>6561</v>
      </c>
      <c r="E189" s="198">
        <v>6343</v>
      </c>
    </row>
    <row r="190" spans="1:5" ht="19.5" customHeight="1">
      <c r="A190" s="202">
        <v>2</v>
      </c>
      <c r="B190" s="201" t="s">
        <v>583</v>
      </c>
      <c r="C190" s="198">
        <v>47967</v>
      </c>
      <c r="D190" s="198">
        <v>52432</v>
      </c>
      <c r="E190" s="198">
        <v>57305</v>
      </c>
    </row>
    <row r="191" spans="1:5" ht="19.5" customHeight="1">
      <c r="A191" s="202">
        <v>3</v>
      </c>
      <c r="B191" s="201" t="s">
        <v>584</v>
      </c>
      <c r="C191" s="198">
        <f>+C190+C189</f>
        <v>54998</v>
      </c>
      <c r="D191" s="198">
        <f>+D190+D189</f>
        <v>58993</v>
      </c>
      <c r="E191" s="198">
        <f>+E190+E189</f>
        <v>63648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FILING&amp;RWILLIAM W. BACKUS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1" sqref="A1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4" width="21.140625" style="211" customWidth="1"/>
    <col min="5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156</v>
      </c>
      <c r="B2" s="660"/>
      <c r="C2" s="660"/>
      <c r="D2" s="660"/>
      <c r="E2" s="660"/>
      <c r="F2" s="660"/>
    </row>
    <row r="3" spans="1:6" ht="20.25" customHeight="1">
      <c r="A3" s="660" t="s">
        <v>157</v>
      </c>
      <c r="B3" s="660"/>
      <c r="C3" s="660"/>
      <c r="D3" s="660"/>
      <c r="E3" s="660"/>
      <c r="F3" s="660"/>
    </row>
    <row r="4" spans="1:6" ht="20.25" customHeight="1">
      <c r="A4" s="660" t="s">
        <v>158</v>
      </c>
      <c r="B4" s="660"/>
      <c r="C4" s="660"/>
      <c r="D4" s="660"/>
      <c r="E4" s="660"/>
      <c r="F4" s="660"/>
    </row>
    <row r="5" spans="1:6" ht="20.25" customHeight="1">
      <c r="A5" s="660" t="s">
        <v>585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310</v>
      </c>
      <c r="B8" s="221" t="s">
        <v>165</v>
      </c>
      <c r="C8" s="222" t="s">
        <v>586</v>
      </c>
      <c r="D8" s="223" t="s">
        <v>587</v>
      </c>
      <c r="E8" s="223" t="s">
        <v>588</v>
      </c>
      <c r="F8" s="224" t="s">
        <v>264</v>
      </c>
      <c r="G8" s="212"/>
    </row>
    <row r="9" spans="1:7" ht="20.25" customHeight="1">
      <c r="A9" s="225"/>
      <c r="B9" s="226"/>
      <c r="C9" s="661"/>
      <c r="D9" s="687"/>
      <c r="E9" s="687"/>
      <c r="F9" s="688"/>
      <c r="G9" s="212"/>
    </row>
    <row r="10" spans="1:6" ht="20.25" customHeight="1">
      <c r="A10" s="689" t="s">
        <v>168</v>
      </c>
      <c r="B10" s="690" t="s">
        <v>269</v>
      </c>
      <c r="C10" s="692"/>
      <c r="D10" s="693"/>
      <c r="E10" s="693"/>
      <c r="F10" s="694"/>
    </row>
    <row r="11" spans="1:6" ht="20.25" customHeight="1">
      <c r="A11" s="677"/>
      <c r="B11" s="691"/>
      <c r="C11" s="683"/>
      <c r="D11" s="684"/>
      <c r="E11" s="684"/>
      <c r="F11" s="685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266</v>
      </c>
      <c r="B13" s="231" t="s">
        <v>589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590</v>
      </c>
      <c r="C14" s="237">
        <v>607657</v>
      </c>
      <c r="D14" s="237">
        <v>1079457</v>
      </c>
      <c r="E14" s="237">
        <f aca="true" t="shared" si="0" ref="E14:E24">D14-C14</f>
        <v>471800</v>
      </c>
      <c r="F14" s="238">
        <f aca="true" t="shared" si="1" ref="F14:F24">IF(C14=0,0,E14/C14)</f>
        <v>0.776424858102515</v>
      </c>
    </row>
    <row r="15" spans="1:6" ht="20.25" customHeight="1">
      <c r="A15" s="235">
        <v>2</v>
      </c>
      <c r="B15" s="236" t="s">
        <v>591</v>
      </c>
      <c r="C15" s="237">
        <v>231669</v>
      </c>
      <c r="D15" s="237">
        <v>474576</v>
      </c>
      <c r="E15" s="237">
        <f t="shared" si="0"/>
        <v>242907</v>
      </c>
      <c r="F15" s="238">
        <f t="shared" si="1"/>
        <v>1.0485088639395</v>
      </c>
    </row>
    <row r="16" spans="1:6" ht="20.25" customHeight="1">
      <c r="A16" s="235">
        <v>3</v>
      </c>
      <c r="B16" s="236" t="s">
        <v>592</v>
      </c>
      <c r="C16" s="237">
        <v>524396</v>
      </c>
      <c r="D16" s="237">
        <v>725182</v>
      </c>
      <c r="E16" s="237">
        <f t="shared" si="0"/>
        <v>200786</v>
      </c>
      <c r="F16" s="238">
        <f t="shared" si="1"/>
        <v>0.38289002967223246</v>
      </c>
    </row>
    <row r="17" spans="1:6" ht="20.25" customHeight="1">
      <c r="A17" s="235">
        <v>4</v>
      </c>
      <c r="B17" s="236" t="s">
        <v>593</v>
      </c>
      <c r="C17" s="237">
        <v>128242</v>
      </c>
      <c r="D17" s="237">
        <v>180461</v>
      </c>
      <c r="E17" s="237">
        <f t="shared" si="0"/>
        <v>52219</v>
      </c>
      <c r="F17" s="238">
        <f t="shared" si="1"/>
        <v>0.40719109184198626</v>
      </c>
    </row>
    <row r="18" spans="1:6" ht="20.25" customHeight="1">
      <c r="A18" s="235">
        <v>5</v>
      </c>
      <c r="B18" s="236" t="s">
        <v>529</v>
      </c>
      <c r="C18" s="239">
        <v>24</v>
      </c>
      <c r="D18" s="239">
        <v>33</v>
      </c>
      <c r="E18" s="239">
        <f t="shared" si="0"/>
        <v>9</v>
      </c>
      <c r="F18" s="238">
        <f t="shared" si="1"/>
        <v>0.375</v>
      </c>
    </row>
    <row r="19" spans="1:6" ht="20.25" customHeight="1">
      <c r="A19" s="235">
        <v>6</v>
      </c>
      <c r="B19" s="236" t="s">
        <v>528</v>
      </c>
      <c r="C19" s="239">
        <v>124</v>
      </c>
      <c r="D19" s="239">
        <v>208</v>
      </c>
      <c r="E19" s="239">
        <f t="shared" si="0"/>
        <v>84</v>
      </c>
      <c r="F19" s="238">
        <f t="shared" si="1"/>
        <v>0.6774193548387096</v>
      </c>
    </row>
    <row r="20" spans="1:6" ht="20.25" customHeight="1">
      <c r="A20" s="235">
        <v>7</v>
      </c>
      <c r="B20" s="236" t="s">
        <v>594</v>
      </c>
      <c r="C20" s="239">
        <v>408</v>
      </c>
      <c r="D20" s="239">
        <v>577</v>
      </c>
      <c r="E20" s="239">
        <f t="shared" si="0"/>
        <v>169</v>
      </c>
      <c r="F20" s="238">
        <f t="shared" si="1"/>
        <v>0.41421568627450983</v>
      </c>
    </row>
    <row r="21" spans="1:6" ht="20.25" customHeight="1">
      <c r="A21" s="235">
        <v>8</v>
      </c>
      <c r="B21" s="236" t="s">
        <v>595</v>
      </c>
      <c r="C21" s="239">
        <v>22</v>
      </c>
      <c r="D21" s="239">
        <v>55</v>
      </c>
      <c r="E21" s="239">
        <f t="shared" si="0"/>
        <v>33</v>
      </c>
      <c r="F21" s="238">
        <f t="shared" si="1"/>
        <v>1.5</v>
      </c>
    </row>
    <row r="22" spans="1:6" ht="20.25" customHeight="1">
      <c r="A22" s="235">
        <v>9</v>
      </c>
      <c r="B22" s="236" t="s">
        <v>596</v>
      </c>
      <c r="C22" s="239">
        <v>16</v>
      </c>
      <c r="D22" s="239">
        <v>23</v>
      </c>
      <c r="E22" s="239">
        <f t="shared" si="0"/>
        <v>7</v>
      </c>
      <c r="F22" s="238">
        <f t="shared" si="1"/>
        <v>0.4375</v>
      </c>
    </row>
    <row r="23" spans="1:6" s="240" customFormat="1" ht="20.25" customHeight="1">
      <c r="A23" s="241"/>
      <c r="B23" s="242" t="s">
        <v>597</v>
      </c>
      <c r="C23" s="243">
        <f>+C14+C16</f>
        <v>1132053</v>
      </c>
      <c r="D23" s="243">
        <f>+D14+D16</f>
        <v>1804639</v>
      </c>
      <c r="E23" s="243">
        <f t="shared" si="0"/>
        <v>672586</v>
      </c>
      <c r="F23" s="244">
        <f t="shared" si="1"/>
        <v>0.5941294268024554</v>
      </c>
    </row>
    <row r="24" spans="1:6" s="240" customFormat="1" ht="20.25" customHeight="1">
      <c r="A24" s="241"/>
      <c r="B24" s="242" t="s">
        <v>598</v>
      </c>
      <c r="C24" s="243">
        <f>+C15+C17</f>
        <v>359911</v>
      </c>
      <c r="D24" s="243">
        <f>+D15+D17</f>
        <v>655037</v>
      </c>
      <c r="E24" s="243">
        <f t="shared" si="0"/>
        <v>295126</v>
      </c>
      <c r="F24" s="244">
        <f t="shared" si="1"/>
        <v>0.8199971659660305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280</v>
      </c>
      <c r="B26" s="231" t="s">
        <v>599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590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591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592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593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529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528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594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595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596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597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>
      <c r="A37" s="241"/>
      <c r="B37" s="242" t="s">
        <v>598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297</v>
      </c>
      <c r="B39" s="231" t="s">
        <v>600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590</v>
      </c>
      <c r="C40" s="237">
        <v>221020</v>
      </c>
      <c r="D40" s="237">
        <v>2583465</v>
      </c>
      <c r="E40" s="237">
        <f aca="true" t="shared" si="4" ref="E40:E50">D40-C40</f>
        <v>2362445</v>
      </c>
      <c r="F40" s="238">
        <f aca="true" t="shared" si="5" ref="F40:F50">IF(C40=0,0,E40/C40)</f>
        <v>10.688829065242965</v>
      </c>
    </row>
    <row r="41" spans="1:6" ht="20.25" customHeight="1">
      <c r="A41" s="235">
        <v>2</v>
      </c>
      <c r="B41" s="236" t="s">
        <v>591</v>
      </c>
      <c r="C41" s="237">
        <v>81412</v>
      </c>
      <c r="D41" s="237">
        <v>985800</v>
      </c>
      <c r="E41" s="237">
        <f t="shared" si="4"/>
        <v>904388</v>
      </c>
      <c r="F41" s="238">
        <f t="shared" si="5"/>
        <v>11.108780032427651</v>
      </c>
    </row>
    <row r="42" spans="1:6" ht="20.25" customHeight="1">
      <c r="A42" s="235">
        <v>3</v>
      </c>
      <c r="B42" s="236" t="s">
        <v>592</v>
      </c>
      <c r="C42" s="237">
        <v>211805</v>
      </c>
      <c r="D42" s="237">
        <v>2333755</v>
      </c>
      <c r="E42" s="237">
        <f t="shared" si="4"/>
        <v>2121950</v>
      </c>
      <c r="F42" s="238">
        <f t="shared" si="5"/>
        <v>10.01841316305092</v>
      </c>
    </row>
    <row r="43" spans="1:6" ht="20.25" customHeight="1">
      <c r="A43" s="235">
        <v>4</v>
      </c>
      <c r="B43" s="236" t="s">
        <v>593</v>
      </c>
      <c r="C43" s="237">
        <v>75110</v>
      </c>
      <c r="D43" s="237">
        <v>559534</v>
      </c>
      <c r="E43" s="237">
        <f t="shared" si="4"/>
        <v>484424</v>
      </c>
      <c r="F43" s="238">
        <f t="shared" si="5"/>
        <v>6.449527359872188</v>
      </c>
    </row>
    <row r="44" spans="1:6" ht="20.25" customHeight="1">
      <c r="A44" s="235">
        <v>5</v>
      </c>
      <c r="B44" s="236" t="s">
        <v>529</v>
      </c>
      <c r="C44" s="239">
        <v>10</v>
      </c>
      <c r="D44" s="239">
        <v>88</v>
      </c>
      <c r="E44" s="239">
        <f t="shared" si="4"/>
        <v>78</v>
      </c>
      <c r="F44" s="238">
        <f t="shared" si="5"/>
        <v>7.8</v>
      </c>
    </row>
    <row r="45" spans="1:6" ht="20.25" customHeight="1">
      <c r="A45" s="235">
        <v>6</v>
      </c>
      <c r="B45" s="236" t="s">
        <v>528</v>
      </c>
      <c r="C45" s="239">
        <v>46</v>
      </c>
      <c r="D45" s="239">
        <v>558</v>
      </c>
      <c r="E45" s="239">
        <f t="shared" si="4"/>
        <v>512</v>
      </c>
      <c r="F45" s="238">
        <f t="shared" si="5"/>
        <v>11.130434782608695</v>
      </c>
    </row>
    <row r="46" spans="1:6" ht="20.25" customHeight="1">
      <c r="A46" s="235">
        <v>7</v>
      </c>
      <c r="B46" s="236" t="s">
        <v>594</v>
      </c>
      <c r="C46" s="239">
        <v>184</v>
      </c>
      <c r="D46" s="239">
        <v>1773</v>
      </c>
      <c r="E46" s="239">
        <f t="shared" si="4"/>
        <v>1589</v>
      </c>
      <c r="F46" s="238">
        <f t="shared" si="5"/>
        <v>8.63586956521739</v>
      </c>
    </row>
    <row r="47" spans="1:6" ht="20.25" customHeight="1">
      <c r="A47" s="235">
        <v>8</v>
      </c>
      <c r="B47" s="236" t="s">
        <v>595</v>
      </c>
      <c r="C47" s="239">
        <v>17</v>
      </c>
      <c r="D47" s="239">
        <v>112</v>
      </c>
      <c r="E47" s="239">
        <f t="shared" si="4"/>
        <v>95</v>
      </c>
      <c r="F47" s="238">
        <f t="shared" si="5"/>
        <v>5.588235294117647</v>
      </c>
    </row>
    <row r="48" spans="1:6" ht="20.25" customHeight="1">
      <c r="A48" s="235">
        <v>9</v>
      </c>
      <c r="B48" s="236" t="s">
        <v>596</v>
      </c>
      <c r="C48" s="239">
        <v>6</v>
      </c>
      <c r="D48" s="239">
        <v>59</v>
      </c>
      <c r="E48" s="239">
        <f t="shared" si="4"/>
        <v>53</v>
      </c>
      <c r="F48" s="238">
        <f t="shared" si="5"/>
        <v>8.833333333333334</v>
      </c>
    </row>
    <row r="49" spans="1:6" s="240" customFormat="1" ht="20.25" customHeight="1">
      <c r="A49" s="241"/>
      <c r="B49" s="242" t="s">
        <v>597</v>
      </c>
      <c r="C49" s="243">
        <f>+C40+C42</f>
        <v>432825</v>
      </c>
      <c r="D49" s="243">
        <f>+D40+D42</f>
        <v>4917220</v>
      </c>
      <c r="E49" s="243">
        <f t="shared" si="4"/>
        <v>4484395</v>
      </c>
      <c r="F49" s="244">
        <f t="shared" si="5"/>
        <v>10.36075781204875</v>
      </c>
    </row>
    <row r="50" spans="1:6" s="240" customFormat="1" ht="20.25" customHeight="1">
      <c r="A50" s="241"/>
      <c r="B50" s="242" t="s">
        <v>598</v>
      </c>
      <c r="C50" s="243">
        <f>+C41+C43</f>
        <v>156522</v>
      </c>
      <c r="D50" s="243">
        <f>+D41+D43</f>
        <v>1545334</v>
      </c>
      <c r="E50" s="243">
        <f t="shared" si="4"/>
        <v>1388812</v>
      </c>
      <c r="F50" s="244">
        <f t="shared" si="5"/>
        <v>8.872950767304276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327</v>
      </c>
      <c r="B52" s="231" t="s">
        <v>601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590</v>
      </c>
      <c r="C53" s="237">
        <v>4875378</v>
      </c>
      <c r="D53" s="237">
        <v>6333429</v>
      </c>
      <c r="E53" s="237">
        <f aca="true" t="shared" si="6" ref="E53:E63">D53-C53</f>
        <v>1458051</v>
      </c>
      <c r="F53" s="238">
        <f aca="true" t="shared" si="7" ref="F53:F63">IF(C53=0,0,E53/C53)</f>
        <v>0.2990641956377536</v>
      </c>
    </row>
    <row r="54" spans="1:6" ht="20.25" customHeight="1">
      <c r="A54" s="235">
        <v>2</v>
      </c>
      <c r="B54" s="236" t="s">
        <v>591</v>
      </c>
      <c r="C54" s="237">
        <v>2237909</v>
      </c>
      <c r="D54" s="237">
        <v>2820362</v>
      </c>
      <c r="E54" s="237">
        <f t="shared" si="6"/>
        <v>582453</v>
      </c>
      <c r="F54" s="238">
        <f t="shared" si="7"/>
        <v>0.26026661495172504</v>
      </c>
    </row>
    <row r="55" spans="1:6" ht="20.25" customHeight="1">
      <c r="A55" s="235">
        <v>3</v>
      </c>
      <c r="B55" s="236" t="s">
        <v>592</v>
      </c>
      <c r="C55" s="237">
        <v>4901592</v>
      </c>
      <c r="D55" s="237">
        <v>6817225</v>
      </c>
      <c r="E55" s="237">
        <f t="shared" si="6"/>
        <v>1915633</v>
      </c>
      <c r="F55" s="238">
        <f t="shared" si="7"/>
        <v>0.3908185340599544</v>
      </c>
    </row>
    <row r="56" spans="1:6" ht="20.25" customHeight="1">
      <c r="A56" s="235">
        <v>4</v>
      </c>
      <c r="B56" s="236" t="s">
        <v>593</v>
      </c>
      <c r="C56" s="237">
        <v>1203161</v>
      </c>
      <c r="D56" s="237">
        <v>1596001</v>
      </c>
      <c r="E56" s="237">
        <f t="shared" si="6"/>
        <v>392840</v>
      </c>
      <c r="F56" s="238">
        <f t="shared" si="7"/>
        <v>0.3265065938806195</v>
      </c>
    </row>
    <row r="57" spans="1:6" ht="20.25" customHeight="1">
      <c r="A57" s="235">
        <v>5</v>
      </c>
      <c r="B57" s="236" t="s">
        <v>529</v>
      </c>
      <c r="C57" s="239">
        <v>234</v>
      </c>
      <c r="D57" s="239">
        <v>297</v>
      </c>
      <c r="E57" s="239">
        <f t="shared" si="6"/>
        <v>63</v>
      </c>
      <c r="F57" s="238">
        <f t="shared" si="7"/>
        <v>0.2692307692307692</v>
      </c>
    </row>
    <row r="58" spans="1:6" ht="20.25" customHeight="1">
      <c r="A58" s="235">
        <v>6</v>
      </c>
      <c r="B58" s="236" t="s">
        <v>528</v>
      </c>
      <c r="C58" s="239">
        <v>1099</v>
      </c>
      <c r="D58" s="239">
        <v>1356</v>
      </c>
      <c r="E58" s="239">
        <f t="shared" si="6"/>
        <v>257</v>
      </c>
      <c r="F58" s="238">
        <f t="shared" si="7"/>
        <v>0.2338489535941765</v>
      </c>
    </row>
    <row r="59" spans="1:6" ht="20.25" customHeight="1">
      <c r="A59" s="235">
        <v>7</v>
      </c>
      <c r="B59" s="236" t="s">
        <v>594</v>
      </c>
      <c r="C59" s="239">
        <v>4845</v>
      </c>
      <c r="D59" s="239">
        <v>5924</v>
      </c>
      <c r="E59" s="239">
        <f t="shared" si="6"/>
        <v>1079</v>
      </c>
      <c r="F59" s="238">
        <f t="shared" si="7"/>
        <v>0.22270381836945305</v>
      </c>
    </row>
    <row r="60" spans="1:6" ht="20.25" customHeight="1">
      <c r="A60" s="235">
        <v>8</v>
      </c>
      <c r="B60" s="236" t="s">
        <v>595</v>
      </c>
      <c r="C60" s="239">
        <v>286</v>
      </c>
      <c r="D60" s="239">
        <v>374</v>
      </c>
      <c r="E60" s="239">
        <f t="shared" si="6"/>
        <v>88</v>
      </c>
      <c r="F60" s="238">
        <f t="shared" si="7"/>
        <v>0.3076923076923077</v>
      </c>
    </row>
    <row r="61" spans="1:6" ht="20.25" customHeight="1">
      <c r="A61" s="235">
        <v>9</v>
      </c>
      <c r="B61" s="236" t="s">
        <v>596</v>
      </c>
      <c r="C61" s="239">
        <v>164</v>
      </c>
      <c r="D61" s="239">
        <v>213</v>
      </c>
      <c r="E61" s="239">
        <f t="shared" si="6"/>
        <v>49</v>
      </c>
      <c r="F61" s="238">
        <f t="shared" si="7"/>
        <v>0.29878048780487804</v>
      </c>
    </row>
    <row r="62" spans="1:6" s="240" customFormat="1" ht="20.25" customHeight="1">
      <c r="A62" s="241"/>
      <c r="B62" s="242" t="s">
        <v>597</v>
      </c>
      <c r="C62" s="243">
        <f>+C53+C55</f>
        <v>9776970</v>
      </c>
      <c r="D62" s="243">
        <f>+D53+D55</f>
        <v>13150654</v>
      </c>
      <c r="E62" s="243">
        <f t="shared" si="6"/>
        <v>3373684</v>
      </c>
      <c r="F62" s="244">
        <f t="shared" si="7"/>
        <v>0.3450643706588033</v>
      </c>
    </row>
    <row r="63" spans="1:6" s="240" customFormat="1" ht="20.25" customHeight="1">
      <c r="A63" s="241"/>
      <c r="B63" s="242" t="s">
        <v>598</v>
      </c>
      <c r="C63" s="243">
        <f>+C54+C56</f>
        <v>3441070</v>
      </c>
      <c r="D63" s="243">
        <f>+D54+D56</f>
        <v>4416363</v>
      </c>
      <c r="E63" s="243">
        <f t="shared" si="6"/>
        <v>975293</v>
      </c>
      <c r="F63" s="244">
        <f t="shared" si="7"/>
        <v>0.28342724791997836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332</v>
      </c>
      <c r="B65" s="231" t="s">
        <v>602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590</v>
      </c>
      <c r="C66" s="237">
        <v>981866</v>
      </c>
      <c r="D66" s="237">
        <v>2020462</v>
      </c>
      <c r="E66" s="237">
        <f aca="true" t="shared" si="8" ref="E66:E76">D66-C66</f>
        <v>1038596</v>
      </c>
      <c r="F66" s="238">
        <f aca="true" t="shared" si="9" ref="F66:F76">IF(C66=0,0,E66/C66)</f>
        <v>1.0577777415655496</v>
      </c>
    </row>
    <row r="67" spans="1:6" ht="20.25" customHeight="1">
      <c r="A67" s="235">
        <v>2</v>
      </c>
      <c r="B67" s="236" t="s">
        <v>591</v>
      </c>
      <c r="C67" s="237">
        <v>422443</v>
      </c>
      <c r="D67" s="237">
        <v>806330</v>
      </c>
      <c r="E67" s="237">
        <f t="shared" si="8"/>
        <v>383887</v>
      </c>
      <c r="F67" s="238">
        <f t="shared" si="9"/>
        <v>0.9087308820361564</v>
      </c>
    </row>
    <row r="68" spans="1:6" ht="20.25" customHeight="1">
      <c r="A68" s="235">
        <v>3</v>
      </c>
      <c r="B68" s="236" t="s">
        <v>592</v>
      </c>
      <c r="C68" s="237">
        <v>522213</v>
      </c>
      <c r="D68" s="237">
        <v>1188857</v>
      </c>
      <c r="E68" s="237">
        <f t="shared" si="8"/>
        <v>666644</v>
      </c>
      <c r="F68" s="238">
        <f t="shared" si="9"/>
        <v>1.2765748841947635</v>
      </c>
    </row>
    <row r="69" spans="1:6" ht="20.25" customHeight="1">
      <c r="A69" s="235">
        <v>4</v>
      </c>
      <c r="B69" s="236" t="s">
        <v>593</v>
      </c>
      <c r="C69" s="237">
        <v>146438</v>
      </c>
      <c r="D69" s="237">
        <v>318050</v>
      </c>
      <c r="E69" s="237">
        <f t="shared" si="8"/>
        <v>171612</v>
      </c>
      <c r="F69" s="238">
        <f t="shared" si="9"/>
        <v>1.1719089307420205</v>
      </c>
    </row>
    <row r="70" spans="1:6" ht="20.25" customHeight="1">
      <c r="A70" s="235">
        <v>5</v>
      </c>
      <c r="B70" s="236" t="s">
        <v>529</v>
      </c>
      <c r="C70" s="239">
        <v>46</v>
      </c>
      <c r="D70" s="239">
        <v>76</v>
      </c>
      <c r="E70" s="239">
        <f t="shared" si="8"/>
        <v>30</v>
      </c>
      <c r="F70" s="238">
        <f t="shared" si="9"/>
        <v>0.6521739130434783</v>
      </c>
    </row>
    <row r="71" spans="1:6" ht="20.25" customHeight="1">
      <c r="A71" s="235">
        <v>6</v>
      </c>
      <c r="B71" s="236" t="s">
        <v>528</v>
      </c>
      <c r="C71" s="239">
        <v>218</v>
      </c>
      <c r="D71" s="239">
        <v>570</v>
      </c>
      <c r="E71" s="239">
        <f t="shared" si="8"/>
        <v>352</v>
      </c>
      <c r="F71" s="238">
        <f t="shared" si="9"/>
        <v>1.614678899082569</v>
      </c>
    </row>
    <row r="72" spans="1:6" ht="20.25" customHeight="1">
      <c r="A72" s="235">
        <v>7</v>
      </c>
      <c r="B72" s="236" t="s">
        <v>594</v>
      </c>
      <c r="C72" s="239">
        <v>324</v>
      </c>
      <c r="D72" s="239">
        <v>1835</v>
      </c>
      <c r="E72" s="239">
        <f t="shared" si="8"/>
        <v>1511</v>
      </c>
      <c r="F72" s="238">
        <f t="shared" si="9"/>
        <v>4.66358024691358</v>
      </c>
    </row>
    <row r="73" spans="1:6" ht="20.25" customHeight="1">
      <c r="A73" s="235">
        <v>8</v>
      </c>
      <c r="B73" s="236" t="s">
        <v>595</v>
      </c>
      <c r="C73" s="239">
        <v>96</v>
      </c>
      <c r="D73" s="239">
        <v>134</v>
      </c>
      <c r="E73" s="239">
        <f t="shared" si="8"/>
        <v>38</v>
      </c>
      <c r="F73" s="238">
        <f t="shared" si="9"/>
        <v>0.3958333333333333</v>
      </c>
    </row>
    <row r="74" spans="1:6" ht="20.25" customHeight="1">
      <c r="A74" s="235">
        <v>9</v>
      </c>
      <c r="B74" s="236" t="s">
        <v>596</v>
      </c>
      <c r="C74" s="239">
        <v>31</v>
      </c>
      <c r="D74" s="239">
        <v>70</v>
      </c>
      <c r="E74" s="239">
        <f t="shared" si="8"/>
        <v>39</v>
      </c>
      <c r="F74" s="238">
        <f t="shared" si="9"/>
        <v>1.2580645161290323</v>
      </c>
    </row>
    <row r="75" spans="1:6" s="240" customFormat="1" ht="20.25" customHeight="1">
      <c r="A75" s="241"/>
      <c r="B75" s="242" t="s">
        <v>597</v>
      </c>
      <c r="C75" s="243">
        <f>+C66+C68</f>
        <v>1504079</v>
      </c>
      <c r="D75" s="243">
        <f>+D66+D68</f>
        <v>3209319</v>
      </c>
      <c r="E75" s="243">
        <f t="shared" si="8"/>
        <v>1705240</v>
      </c>
      <c r="F75" s="244">
        <f t="shared" si="9"/>
        <v>1.133743639795516</v>
      </c>
    </row>
    <row r="76" spans="1:6" s="240" customFormat="1" ht="20.25" customHeight="1">
      <c r="A76" s="241"/>
      <c r="B76" s="242" t="s">
        <v>598</v>
      </c>
      <c r="C76" s="243">
        <f>+C67+C69</f>
        <v>568881</v>
      </c>
      <c r="D76" s="243">
        <f>+D67+D69</f>
        <v>1124380</v>
      </c>
      <c r="E76" s="243">
        <f t="shared" si="8"/>
        <v>555499</v>
      </c>
      <c r="F76" s="244">
        <f t="shared" si="9"/>
        <v>0.9764766269219749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338</v>
      </c>
      <c r="B78" s="231" t="s">
        <v>603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590</v>
      </c>
      <c r="C79" s="237">
        <v>359570</v>
      </c>
      <c r="D79" s="237">
        <v>29093</v>
      </c>
      <c r="E79" s="237">
        <f aca="true" t="shared" si="10" ref="E79:E89">D79-C79</f>
        <v>-330477</v>
      </c>
      <c r="F79" s="238">
        <f aca="true" t="shared" si="11" ref="F79:F89">IF(C79=0,0,E79/C79)</f>
        <v>-0.9190894679756376</v>
      </c>
    </row>
    <row r="80" spans="1:6" ht="20.25" customHeight="1">
      <c r="A80" s="235">
        <v>2</v>
      </c>
      <c r="B80" s="236" t="s">
        <v>591</v>
      </c>
      <c r="C80" s="237">
        <v>159396</v>
      </c>
      <c r="D80" s="237">
        <v>5589</v>
      </c>
      <c r="E80" s="237">
        <f t="shared" si="10"/>
        <v>-153807</v>
      </c>
      <c r="F80" s="238">
        <f t="shared" si="11"/>
        <v>-0.9649363848528194</v>
      </c>
    </row>
    <row r="81" spans="1:6" ht="20.25" customHeight="1">
      <c r="A81" s="235">
        <v>3</v>
      </c>
      <c r="B81" s="236" t="s">
        <v>592</v>
      </c>
      <c r="C81" s="237">
        <v>28361</v>
      </c>
      <c r="D81" s="237">
        <v>33334</v>
      </c>
      <c r="E81" s="237">
        <f t="shared" si="10"/>
        <v>4973</v>
      </c>
      <c r="F81" s="238">
        <f t="shared" si="11"/>
        <v>0.1753464264306618</v>
      </c>
    </row>
    <row r="82" spans="1:6" ht="20.25" customHeight="1">
      <c r="A82" s="235">
        <v>4</v>
      </c>
      <c r="B82" s="236" t="s">
        <v>593</v>
      </c>
      <c r="C82" s="237">
        <v>6404</v>
      </c>
      <c r="D82" s="237">
        <v>6990</v>
      </c>
      <c r="E82" s="237">
        <f t="shared" si="10"/>
        <v>586</v>
      </c>
      <c r="F82" s="238">
        <f t="shared" si="11"/>
        <v>0.0915053091817614</v>
      </c>
    </row>
    <row r="83" spans="1:6" ht="20.25" customHeight="1">
      <c r="A83" s="235">
        <v>5</v>
      </c>
      <c r="B83" s="236" t="s">
        <v>529</v>
      </c>
      <c r="C83" s="239">
        <v>3</v>
      </c>
      <c r="D83" s="239">
        <v>1</v>
      </c>
      <c r="E83" s="239">
        <f t="shared" si="10"/>
        <v>-2</v>
      </c>
      <c r="F83" s="238">
        <f t="shared" si="11"/>
        <v>-0.6666666666666666</v>
      </c>
    </row>
    <row r="84" spans="1:6" ht="20.25" customHeight="1">
      <c r="A84" s="235">
        <v>6</v>
      </c>
      <c r="B84" s="236" t="s">
        <v>528</v>
      </c>
      <c r="C84" s="239">
        <v>81</v>
      </c>
      <c r="D84" s="239">
        <v>14</v>
      </c>
      <c r="E84" s="239">
        <f t="shared" si="10"/>
        <v>-67</v>
      </c>
      <c r="F84" s="238">
        <f t="shared" si="11"/>
        <v>-0.8271604938271605</v>
      </c>
    </row>
    <row r="85" spans="1:6" ht="20.25" customHeight="1">
      <c r="A85" s="235">
        <v>7</v>
      </c>
      <c r="B85" s="236" t="s">
        <v>594</v>
      </c>
      <c r="C85" s="239">
        <v>1</v>
      </c>
      <c r="D85" s="239">
        <v>3</v>
      </c>
      <c r="E85" s="239">
        <f t="shared" si="10"/>
        <v>2</v>
      </c>
      <c r="F85" s="238">
        <f t="shared" si="11"/>
        <v>2</v>
      </c>
    </row>
    <row r="86" spans="1:6" ht="20.25" customHeight="1">
      <c r="A86" s="235">
        <v>8</v>
      </c>
      <c r="B86" s="236" t="s">
        <v>595</v>
      </c>
      <c r="C86" s="239">
        <v>7</v>
      </c>
      <c r="D86" s="239">
        <v>5</v>
      </c>
      <c r="E86" s="239">
        <f t="shared" si="10"/>
        <v>-2</v>
      </c>
      <c r="F86" s="238">
        <f t="shared" si="11"/>
        <v>-0.2857142857142857</v>
      </c>
    </row>
    <row r="87" spans="1:6" ht="20.25" customHeight="1">
      <c r="A87" s="235">
        <v>9</v>
      </c>
      <c r="B87" s="236" t="s">
        <v>596</v>
      </c>
      <c r="C87" s="239">
        <v>3</v>
      </c>
      <c r="D87" s="239">
        <v>1</v>
      </c>
      <c r="E87" s="239">
        <f t="shared" si="10"/>
        <v>-2</v>
      </c>
      <c r="F87" s="238">
        <f t="shared" si="11"/>
        <v>-0.6666666666666666</v>
      </c>
    </row>
    <row r="88" spans="1:6" s="240" customFormat="1" ht="20.25" customHeight="1">
      <c r="A88" s="241"/>
      <c r="B88" s="242" t="s">
        <v>597</v>
      </c>
      <c r="C88" s="243">
        <f>+C79+C81</f>
        <v>387931</v>
      </c>
      <c r="D88" s="243">
        <f>+D79+D81</f>
        <v>62427</v>
      </c>
      <c r="E88" s="243">
        <f t="shared" si="10"/>
        <v>-325504</v>
      </c>
      <c r="F88" s="244">
        <f t="shared" si="11"/>
        <v>-0.8390770523624047</v>
      </c>
    </row>
    <row r="89" spans="1:6" s="240" customFormat="1" ht="20.25" customHeight="1">
      <c r="A89" s="241"/>
      <c r="B89" s="242" t="s">
        <v>598</v>
      </c>
      <c r="C89" s="243">
        <f>+C80+C82</f>
        <v>165800</v>
      </c>
      <c r="D89" s="243">
        <f>+D80+D82</f>
        <v>12579</v>
      </c>
      <c r="E89" s="243">
        <f t="shared" si="10"/>
        <v>-153221</v>
      </c>
      <c r="F89" s="244">
        <f t="shared" si="11"/>
        <v>-0.9241314837153196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340</v>
      </c>
      <c r="B91" s="231" t="s">
        <v>604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590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591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592</v>
      </c>
      <c r="C94" s="237">
        <v>0</v>
      </c>
      <c r="D94" s="237">
        <v>39142</v>
      </c>
      <c r="E94" s="237">
        <f t="shared" si="12"/>
        <v>39142</v>
      </c>
      <c r="F94" s="238">
        <f t="shared" si="13"/>
        <v>0</v>
      </c>
    </row>
    <row r="95" spans="1:6" ht="20.25" customHeight="1">
      <c r="A95" s="235">
        <v>4</v>
      </c>
      <c r="B95" s="236" t="s">
        <v>593</v>
      </c>
      <c r="C95" s="237">
        <v>0</v>
      </c>
      <c r="D95" s="237">
        <v>12472</v>
      </c>
      <c r="E95" s="237">
        <f t="shared" si="12"/>
        <v>12472</v>
      </c>
      <c r="F95" s="238">
        <f t="shared" si="13"/>
        <v>0</v>
      </c>
    </row>
    <row r="96" spans="1:6" ht="20.25" customHeight="1">
      <c r="A96" s="235">
        <v>5</v>
      </c>
      <c r="B96" s="236" t="s">
        <v>529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528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594</v>
      </c>
      <c r="C98" s="239">
        <v>0</v>
      </c>
      <c r="D98" s="239">
        <v>21</v>
      </c>
      <c r="E98" s="239">
        <f t="shared" si="12"/>
        <v>21</v>
      </c>
      <c r="F98" s="238">
        <f t="shared" si="13"/>
        <v>0</v>
      </c>
    </row>
    <row r="99" spans="1:6" ht="20.25" customHeight="1">
      <c r="A99" s="235">
        <v>8</v>
      </c>
      <c r="B99" s="236" t="s">
        <v>595</v>
      </c>
      <c r="C99" s="239">
        <v>0</v>
      </c>
      <c r="D99" s="239">
        <v>6</v>
      </c>
      <c r="E99" s="239">
        <f t="shared" si="12"/>
        <v>6</v>
      </c>
      <c r="F99" s="238">
        <f t="shared" si="13"/>
        <v>0</v>
      </c>
    </row>
    <row r="100" spans="1:6" ht="20.25" customHeight="1">
      <c r="A100" s="235">
        <v>9</v>
      </c>
      <c r="B100" s="236" t="s">
        <v>596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597</v>
      </c>
      <c r="C101" s="243">
        <f>+C92+C94</f>
        <v>0</v>
      </c>
      <c r="D101" s="243">
        <f>+D92+D94</f>
        <v>39142</v>
      </c>
      <c r="E101" s="243">
        <f t="shared" si="12"/>
        <v>39142</v>
      </c>
      <c r="F101" s="244">
        <f t="shared" si="13"/>
        <v>0</v>
      </c>
    </row>
    <row r="102" spans="1:6" s="240" customFormat="1" ht="20.25" customHeight="1">
      <c r="A102" s="241"/>
      <c r="B102" s="242" t="s">
        <v>598</v>
      </c>
      <c r="C102" s="243">
        <f>+C93+C95</f>
        <v>0</v>
      </c>
      <c r="D102" s="243">
        <f>+D93+D95</f>
        <v>12472</v>
      </c>
      <c r="E102" s="243">
        <f t="shared" si="12"/>
        <v>12472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343</v>
      </c>
      <c r="B104" s="231" t="s">
        <v>605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590</v>
      </c>
      <c r="C105" s="237">
        <v>0</v>
      </c>
      <c r="D105" s="237">
        <v>0</v>
      </c>
      <c r="E105" s="237">
        <f aca="true" t="shared" si="14" ref="E105:E115">D105-C105</f>
        <v>0</v>
      </c>
      <c r="F105" s="238">
        <f aca="true" t="shared" si="15" ref="F105:F115">IF(C105=0,0,E105/C105)</f>
        <v>0</v>
      </c>
    </row>
    <row r="106" spans="1:6" ht="20.25" customHeight="1">
      <c r="A106" s="235">
        <v>2</v>
      </c>
      <c r="B106" s="236" t="s">
        <v>591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>
      <c r="A107" s="235">
        <v>3</v>
      </c>
      <c r="B107" s="236" t="s">
        <v>592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>
      <c r="A108" s="235">
        <v>4</v>
      </c>
      <c r="B108" s="236" t="s">
        <v>593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>
      <c r="A109" s="235">
        <v>5</v>
      </c>
      <c r="B109" s="236" t="s">
        <v>529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528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>
      <c r="A111" s="235">
        <v>7</v>
      </c>
      <c r="B111" s="236" t="s">
        <v>594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>
      <c r="A112" s="235">
        <v>8</v>
      </c>
      <c r="B112" s="236" t="s">
        <v>595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>
      <c r="A113" s="235">
        <v>9</v>
      </c>
      <c r="B113" s="236" t="s">
        <v>596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597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>
      <c r="A115" s="241"/>
      <c r="B115" s="242" t="s">
        <v>598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346</v>
      </c>
      <c r="B117" s="231" t="s">
        <v>606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590</v>
      </c>
      <c r="C118" s="237">
        <v>87547</v>
      </c>
      <c r="D118" s="237">
        <v>76791</v>
      </c>
      <c r="E118" s="237">
        <f aca="true" t="shared" si="16" ref="E118:E128">D118-C118</f>
        <v>-10756</v>
      </c>
      <c r="F118" s="238">
        <f aca="true" t="shared" si="17" ref="F118:F128">IF(C118=0,0,E118/C118)</f>
        <v>-0.12285972106411414</v>
      </c>
    </row>
    <row r="119" spans="1:6" ht="20.25" customHeight="1">
      <c r="A119" s="235">
        <v>2</v>
      </c>
      <c r="B119" s="236" t="s">
        <v>591</v>
      </c>
      <c r="C119" s="237">
        <v>77191</v>
      </c>
      <c r="D119" s="237">
        <v>31095</v>
      </c>
      <c r="E119" s="237">
        <f t="shared" si="16"/>
        <v>-46096</v>
      </c>
      <c r="F119" s="238">
        <f t="shared" si="17"/>
        <v>-0.5971680636343615</v>
      </c>
    </row>
    <row r="120" spans="1:6" ht="20.25" customHeight="1">
      <c r="A120" s="235">
        <v>3</v>
      </c>
      <c r="B120" s="236" t="s">
        <v>592</v>
      </c>
      <c r="C120" s="237">
        <v>48418</v>
      </c>
      <c r="D120" s="237">
        <v>114223</v>
      </c>
      <c r="E120" s="237">
        <f t="shared" si="16"/>
        <v>65805</v>
      </c>
      <c r="F120" s="238">
        <f t="shared" si="17"/>
        <v>1.3591019868643892</v>
      </c>
    </row>
    <row r="121" spans="1:6" ht="20.25" customHeight="1">
      <c r="A121" s="235">
        <v>4</v>
      </c>
      <c r="B121" s="236" t="s">
        <v>593</v>
      </c>
      <c r="C121" s="237">
        <v>11756</v>
      </c>
      <c r="D121" s="237">
        <v>26989</v>
      </c>
      <c r="E121" s="237">
        <f t="shared" si="16"/>
        <v>15233</v>
      </c>
      <c r="F121" s="238">
        <f t="shared" si="17"/>
        <v>1.2957638652602925</v>
      </c>
    </row>
    <row r="122" spans="1:6" ht="20.25" customHeight="1">
      <c r="A122" s="235">
        <v>5</v>
      </c>
      <c r="B122" s="236" t="s">
        <v>529</v>
      </c>
      <c r="C122" s="239">
        <v>4</v>
      </c>
      <c r="D122" s="239">
        <v>4</v>
      </c>
      <c r="E122" s="239">
        <f t="shared" si="16"/>
        <v>0</v>
      </c>
      <c r="F122" s="238">
        <f t="shared" si="17"/>
        <v>0</v>
      </c>
    </row>
    <row r="123" spans="1:6" ht="20.25" customHeight="1">
      <c r="A123" s="235">
        <v>6</v>
      </c>
      <c r="B123" s="236" t="s">
        <v>528</v>
      </c>
      <c r="C123" s="239">
        <v>18</v>
      </c>
      <c r="D123" s="239">
        <v>14</v>
      </c>
      <c r="E123" s="239">
        <f t="shared" si="16"/>
        <v>-4</v>
      </c>
      <c r="F123" s="238">
        <f t="shared" si="17"/>
        <v>-0.2222222222222222</v>
      </c>
    </row>
    <row r="124" spans="1:6" ht="20.25" customHeight="1">
      <c r="A124" s="235">
        <v>7</v>
      </c>
      <c r="B124" s="236" t="s">
        <v>594</v>
      </c>
      <c r="C124" s="239">
        <v>104</v>
      </c>
      <c r="D124" s="239">
        <v>102</v>
      </c>
      <c r="E124" s="239">
        <f t="shared" si="16"/>
        <v>-2</v>
      </c>
      <c r="F124" s="238">
        <f t="shared" si="17"/>
        <v>-0.019230769230769232</v>
      </c>
    </row>
    <row r="125" spans="1:6" ht="20.25" customHeight="1">
      <c r="A125" s="235">
        <v>8</v>
      </c>
      <c r="B125" s="236" t="s">
        <v>595</v>
      </c>
      <c r="C125" s="239">
        <v>6</v>
      </c>
      <c r="D125" s="239">
        <v>8</v>
      </c>
      <c r="E125" s="239">
        <f t="shared" si="16"/>
        <v>2</v>
      </c>
      <c r="F125" s="238">
        <f t="shared" si="17"/>
        <v>0.3333333333333333</v>
      </c>
    </row>
    <row r="126" spans="1:6" ht="20.25" customHeight="1">
      <c r="A126" s="235">
        <v>9</v>
      </c>
      <c r="B126" s="236" t="s">
        <v>596</v>
      </c>
      <c r="C126" s="239">
        <v>4</v>
      </c>
      <c r="D126" s="239">
        <v>4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>
      <c r="A127" s="241"/>
      <c r="B127" s="242" t="s">
        <v>597</v>
      </c>
      <c r="C127" s="243">
        <f>+C118+C120</f>
        <v>135965</v>
      </c>
      <c r="D127" s="243">
        <f>+D118+D120</f>
        <v>191014</v>
      </c>
      <c r="E127" s="243">
        <f t="shared" si="16"/>
        <v>55049</v>
      </c>
      <c r="F127" s="244">
        <f t="shared" si="17"/>
        <v>0.40487625491854523</v>
      </c>
    </row>
    <row r="128" spans="1:6" s="240" customFormat="1" ht="20.25" customHeight="1">
      <c r="A128" s="241"/>
      <c r="B128" s="242" t="s">
        <v>598</v>
      </c>
      <c r="C128" s="243">
        <f>+C119+C121</f>
        <v>88947</v>
      </c>
      <c r="D128" s="243">
        <f>+D119+D121</f>
        <v>58084</v>
      </c>
      <c r="E128" s="243">
        <f t="shared" si="16"/>
        <v>-30863</v>
      </c>
      <c r="F128" s="244">
        <f t="shared" si="17"/>
        <v>-0.34698191057596095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355</v>
      </c>
      <c r="B130" s="231" t="s">
        <v>607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590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591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592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593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529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528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594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595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596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597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598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374</v>
      </c>
      <c r="B143" s="231" t="s">
        <v>608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590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591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592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593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529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528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594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595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596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597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598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609</v>
      </c>
      <c r="B156" s="231" t="s">
        <v>610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590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591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592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593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529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528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594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595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596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597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598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611</v>
      </c>
      <c r="B169" s="231" t="s">
        <v>612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590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591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592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593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529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528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594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595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596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597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598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613</v>
      </c>
      <c r="B182" s="231" t="s">
        <v>614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590</v>
      </c>
      <c r="C183" s="237">
        <v>0</v>
      </c>
      <c r="D183" s="237">
        <v>51396</v>
      </c>
      <c r="E183" s="237">
        <f aca="true" t="shared" si="26" ref="E183:E193">D183-C183</f>
        <v>51396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591</v>
      </c>
      <c r="C184" s="237">
        <v>0</v>
      </c>
      <c r="D184" s="237">
        <v>38507</v>
      </c>
      <c r="E184" s="237">
        <f t="shared" si="26"/>
        <v>38507</v>
      </c>
      <c r="F184" s="238">
        <f t="shared" si="27"/>
        <v>0</v>
      </c>
    </row>
    <row r="185" spans="1:6" ht="20.25" customHeight="1">
      <c r="A185" s="235">
        <v>3</v>
      </c>
      <c r="B185" s="236" t="s">
        <v>592</v>
      </c>
      <c r="C185" s="237">
        <v>0</v>
      </c>
      <c r="D185" s="237">
        <v>40779</v>
      </c>
      <c r="E185" s="237">
        <f t="shared" si="26"/>
        <v>40779</v>
      </c>
      <c r="F185" s="238">
        <f t="shared" si="27"/>
        <v>0</v>
      </c>
    </row>
    <row r="186" spans="1:6" ht="20.25" customHeight="1">
      <c r="A186" s="235">
        <v>4</v>
      </c>
      <c r="B186" s="236" t="s">
        <v>593</v>
      </c>
      <c r="C186" s="237">
        <v>0</v>
      </c>
      <c r="D186" s="237">
        <v>15397</v>
      </c>
      <c r="E186" s="237">
        <f t="shared" si="26"/>
        <v>15397</v>
      </c>
      <c r="F186" s="238">
        <f t="shared" si="27"/>
        <v>0</v>
      </c>
    </row>
    <row r="187" spans="1:6" ht="20.25" customHeight="1">
      <c r="A187" s="235">
        <v>5</v>
      </c>
      <c r="B187" s="236" t="s">
        <v>529</v>
      </c>
      <c r="C187" s="239">
        <v>0</v>
      </c>
      <c r="D187" s="239">
        <v>3</v>
      </c>
      <c r="E187" s="239">
        <f t="shared" si="26"/>
        <v>3</v>
      </c>
      <c r="F187" s="238">
        <f t="shared" si="27"/>
        <v>0</v>
      </c>
    </row>
    <row r="188" spans="1:6" ht="20.25" customHeight="1">
      <c r="A188" s="235">
        <v>6</v>
      </c>
      <c r="B188" s="236" t="s">
        <v>528</v>
      </c>
      <c r="C188" s="239">
        <v>0</v>
      </c>
      <c r="D188" s="239">
        <v>8</v>
      </c>
      <c r="E188" s="239">
        <f t="shared" si="26"/>
        <v>8</v>
      </c>
      <c r="F188" s="238">
        <f t="shared" si="27"/>
        <v>0</v>
      </c>
    </row>
    <row r="189" spans="1:6" ht="20.25" customHeight="1">
      <c r="A189" s="235">
        <v>7</v>
      </c>
      <c r="B189" s="236" t="s">
        <v>594</v>
      </c>
      <c r="C189" s="239">
        <v>0</v>
      </c>
      <c r="D189" s="239">
        <v>22</v>
      </c>
      <c r="E189" s="239">
        <f t="shared" si="26"/>
        <v>22</v>
      </c>
      <c r="F189" s="238">
        <f t="shared" si="27"/>
        <v>0</v>
      </c>
    </row>
    <row r="190" spans="1:6" ht="20.25" customHeight="1">
      <c r="A190" s="235">
        <v>8</v>
      </c>
      <c r="B190" s="236" t="s">
        <v>595</v>
      </c>
      <c r="C190" s="239">
        <v>0</v>
      </c>
      <c r="D190" s="239">
        <v>2</v>
      </c>
      <c r="E190" s="239">
        <f t="shared" si="26"/>
        <v>2</v>
      </c>
      <c r="F190" s="238">
        <f t="shared" si="27"/>
        <v>0</v>
      </c>
    </row>
    <row r="191" spans="1:6" ht="20.25" customHeight="1">
      <c r="A191" s="235">
        <v>9</v>
      </c>
      <c r="B191" s="236" t="s">
        <v>596</v>
      </c>
      <c r="C191" s="239">
        <v>0</v>
      </c>
      <c r="D191" s="239">
        <v>2</v>
      </c>
      <c r="E191" s="239">
        <f t="shared" si="26"/>
        <v>2</v>
      </c>
      <c r="F191" s="238">
        <f t="shared" si="27"/>
        <v>0</v>
      </c>
    </row>
    <row r="192" spans="1:6" s="240" customFormat="1" ht="20.25" customHeight="1">
      <c r="A192" s="241"/>
      <c r="B192" s="242" t="s">
        <v>597</v>
      </c>
      <c r="C192" s="243">
        <f>+C183+C185</f>
        <v>0</v>
      </c>
      <c r="D192" s="243">
        <f>+D183+D185</f>
        <v>92175</v>
      </c>
      <c r="E192" s="243">
        <f t="shared" si="26"/>
        <v>92175</v>
      </c>
      <c r="F192" s="244">
        <f t="shared" si="27"/>
        <v>0</v>
      </c>
    </row>
    <row r="193" spans="1:6" s="240" customFormat="1" ht="20.25" customHeight="1">
      <c r="A193" s="241"/>
      <c r="B193" s="242" t="s">
        <v>598</v>
      </c>
      <c r="C193" s="243">
        <f>+C184+C186</f>
        <v>0</v>
      </c>
      <c r="D193" s="243">
        <f>+D184+D186</f>
        <v>53904</v>
      </c>
      <c r="E193" s="243">
        <f t="shared" si="26"/>
        <v>53904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76" t="s">
        <v>200</v>
      </c>
      <c r="B195" s="678" t="s">
        <v>615</v>
      </c>
      <c r="C195" s="680"/>
      <c r="D195" s="681"/>
      <c r="E195" s="681"/>
      <c r="F195" s="682"/>
      <c r="G195" s="686"/>
      <c r="H195" s="686"/>
      <c r="I195" s="686"/>
    </row>
    <row r="196" spans="1:9" ht="20.25" customHeight="1">
      <c r="A196" s="677"/>
      <c r="B196" s="679"/>
      <c r="C196" s="683"/>
      <c r="D196" s="684"/>
      <c r="E196" s="684"/>
      <c r="F196" s="685"/>
      <c r="G196" s="686"/>
      <c r="H196" s="686"/>
      <c r="I196" s="686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616</v>
      </c>
      <c r="C198" s="243">
        <f aca="true" t="shared" si="28" ref="C198:D206">+C183+C170+C157+C144+C131+C118+C105+C92+C79+C66+C53+C40+C27+C14</f>
        <v>7133038</v>
      </c>
      <c r="D198" s="243">
        <f t="shared" si="28"/>
        <v>12174093</v>
      </c>
      <c r="E198" s="243">
        <f aca="true" t="shared" si="29" ref="E198:E208">D198-C198</f>
        <v>5041055</v>
      </c>
      <c r="F198" s="251">
        <f aca="true" t="shared" si="30" ref="F198:F208">IF(C198=0,0,E198/C198)</f>
        <v>0.7067192127674071</v>
      </c>
    </row>
    <row r="199" spans="1:6" ht="20.25" customHeight="1">
      <c r="A199" s="249"/>
      <c r="B199" s="250" t="s">
        <v>617</v>
      </c>
      <c r="C199" s="243">
        <f t="shared" si="28"/>
        <v>3210020</v>
      </c>
      <c r="D199" s="243">
        <f t="shared" si="28"/>
        <v>5162259</v>
      </c>
      <c r="E199" s="243">
        <f t="shared" si="29"/>
        <v>1952239</v>
      </c>
      <c r="F199" s="251">
        <f t="shared" si="30"/>
        <v>0.6081703540787908</v>
      </c>
    </row>
    <row r="200" spans="1:6" ht="20.25" customHeight="1">
      <c r="A200" s="249"/>
      <c r="B200" s="250" t="s">
        <v>618</v>
      </c>
      <c r="C200" s="243">
        <f t="shared" si="28"/>
        <v>6236785</v>
      </c>
      <c r="D200" s="243">
        <f t="shared" si="28"/>
        <v>11292497</v>
      </c>
      <c r="E200" s="243">
        <f t="shared" si="29"/>
        <v>5055712</v>
      </c>
      <c r="F200" s="251">
        <f t="shared" si="30"/>
        <v>0.8106279116564064</v>
      </c>
    </row>
    <row r="201" spans="1:6" ht="20.25" customHeight="1">
      <c r="A201" s="249"/>
      <c r="B201" s="250" t="s">
        <v>619</v>
      </c>
      <c r="C201" s="243">
        <f t="shared" si="28"/>
        <v>1571111</v>
      </c>
      <c r="D201" s="243">
        <f t="shared" si="28"/>
        <v>2715894</v>
      </c>
      <c r="E201" s="243">
        <f t="shared" si="29"/>
        <v>1144783</v>
      </c>
      <c r="F201" s="251">
        <f t="shared" si="30"/>
        <v>0.7286455253638986</v>
      </c>
    </row>
    <row r="202" spans="1:6" ht="20.25" customHeight="1">
      <c r="A202" s="249"/>
      <c r="B202" s="250" t="s">
        <v>620</v>
      </c>
      <c r="C202" s="252">
        <f t="shared" si="28"/>
        <v>321</v>
      </c>
      <c r="D202" s="252">
        <f t="shared" si="28"/>
        <v>502</v>
      </c>
      <c r="E202" s="252">
        <f t="shared" si="29"/>
        <v>181</v>
      </c>
      <c r="F202" s="251">
        <f t="shared" si="30"/>
        <v>0.5638629283489096</v>
      </c>
    </row>
    <row r="203" spans="1:6" ht="20.25" customHeight="1">
      <c r="A203" s="249"/>
      <c r="B203" s="250" t="s">
        <v>621</v>
      </c>
      <c r="C203" s="252">
        <f t="shared" si="28"/>
        <v>1586</v>
      </c>
      <c r="D203" s="252">
        <f t="shared" si="28"/>
        <v>2728</v>
      </c>
      <c r="E203" s="252">
        <f t="shared" si="29"/>
        <v>1142</v>
      </c>
      <c r="F203" s="251">
        <f t="shared" si="30"/>
        <v>0.7200504413619168</v>
      </c>
    </row>
    <row r="204" spans="1:6" ht="39.75" customHeight="1">
      <c r="A204" s="249"/>
      <c r="B204" s="250" t="s">
        <v>622</v>
      </c>
      <c r="C204" s="252">
        <f t="shared" si="28"/>
        <v>5866</v>
      </c>
      <c r="D204" s="252">
        <f t="shared" si="28"/>
        <v>10257</v>
      </c>
      <c r="E204" s="252">
        <f t="shared" si="29"/>
        <v>4391</v>
      </c>
      <c r="F204" s="251">
        <f t="shared" si="30"/>
        <v>0.7485509717013297</v>
      </c>
    </row>
    <row r="205" spans="1:6" ht="39.75" customHeight="1">
      <c r="A205" s="249"/>
      <c r="B205" s="250" t="s">
        <v>623</v>
      </c>
      <c r="C205" s="252">
        <f t="shared" si="28"/>
        <v>434</v>
      </c>
      <c r="D205" s="252">
        <f t="shared" si="28"/>
        <v>696</v>
      </c>
      <c r="E205" s="252">
        <f t="shared" si="29"/>
        <v>262</v>
      </c>
      <c r="F205" s="251">
        <f t="shared" si="30"/>
        <v>0.6036866359447005</v>
      </c>
    </row>
    <row r="206" spans="1:6" ht="39.75" customHeight="1">
      <c r="A206" s="249"/>
      <c r="B206" s="250" t="s">
        <v>624</v>
      </c>
      <c r="C206" s="252">
        <f t="shared" si="28"/>
        <v>224</v>
      </c>
      <c r="D206" s="252">
        <f t="shared" si="28"/>
        <v>372</v>
      </c>
      <c r="E206" s="252">
        <f t="shared" si="29"/>
        <v>148</v>
      </c>
      <c r="F206" s="251">
        <f t="shared" si="30"/>
        <v>0.6607142857142857</v>
      </c>
    </row>
    <row r="207" spans="1:6" ht="20.25" customHeight="1">
      <c r="A207" s="249"/>
      <c r="B207" s="242" t="s">
        <v>625</v>
      </c>
      <c r="C207" s="243">
        <f>+C198+C200</f>
        <v>13369823</v>
      </c>
      <c r="D207" s="243">
        <f>+D198+D200</f>
        <v>23466590</v>
      </c>
      <c r="E207" s="243">
        <f t="shared" si="29"/>
        <v>10096767</v>
      </c>
      <c r="F207" s="251">
        <f t="shared" si="30"/>
        <v>0.7551907755248517</v>
      </c>
    </row>
    <row r="208" spans="1:6" ht="20.25" customHeight="1">
      <c r="A208" s="249"/>
      <c r="B208" s="242" t="s">
        <v>626</v>
      </c>
      <c r="C208" s="243">
        <f>+C199+C201</f>
        <v>4781131</v>
      </c>
      <c r="D208" s="243">
        <f>+D199+D201</f>
        <v>7878153</v>
      </c>
      <c r="E208" s="243">
        <f t="shared" si="29"/>
        <v>3097022</v>
      </c>
      <c r="F208" s="251">
        <f t="shared" si="30"/>
        <v>0.6477592854075741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55" r:id="rId1"/>
  <headerFooter alignWithMargins="0">
    <oddHeader>&amp;LOFFICE OF HEALTH CARE ACCESS&amp;CTWELVE MONTHS ACTUAL FILING&amp;RWILLIAM W. BACKUS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A1" sqref="A1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156</v>
      </c>
      <c r="B2" s="660"/>
      <c r="C2" s="660"/>
      <c r="D2" s="660"/>
      <c r="E2" s="660"/>
      <c r="F2" s="660"/>
    </row>
    <row r="3" spans="1:6" ht="20.25" customHeight="1">
      <c r="A3" s="660" t="s">
        <v>157</v>
      </c>
      <c r="B3" s="660"/>
      <c r="C3" s="660"/>
      <c r="D3" s="660"/>
      <c r="E3" s="660"/>
      <c r="F3" s="660"/>
    </row>
    <row r="4" spans="1:6" ht="20.25" customHeight="1">
      <c r="A4" s="660" t="s">
        <v>158</v>
      </c>
      <c r="B4" s="660"/>
      <c r="C4" s="660"/>
      <c r="D4" s="660"/>
      <c r="E4" s="660"/>
      <c r="F4" s="660"/>
    </row>
    <row r="5" spans="1:6" ht="20.25" customHeight="1">
      <c r="A5" s="660" t="s">
        <v>627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586</v>
      </c>
      <c r="D8" s="223" t="s">
        <v>587</v>
      </c>
      <c r="E8" s="223" t="s">
        <v>588</v>
      </c>
      <c r="F8" s="224" t="s">
        <v>264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76" t="s">
        <v>168</v>
      </c>
      <c r="B10" s="678" t="s">
        <v>271</v>
      </c>
      <c r="C10" s="680"/>
      <c r="D10" s="681"/>
      <c r="E10" s="681"/>
      <c r="F10" s="682"/>
    </row>
    <row r="11" spans="1:6" ht="20.25" customHeight="1">
      <c r="A11" s="677"/>
      <c r="B11" s="679"/>
      <c r="C11" s="683"/>
      <c r="D11" s="684"/>
      <c r="E11" s="684"/>
      <c r="F11" s="685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266</v>
      </c>
      <c r="B13" s="261" t="s">
        <v>628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590</v>
      </c>
      <c r="C14" s="237">
        <v>3447313</v>
      </c>
      <c r="D14" s="237">
        <v>1326782</v>
      </c>
      <c r="E14" s="237">
        <f aca="true" t="shared" si="0" ref="E14:E24">D14-C14</f>
        <v>-2120531</v>
      </c>
      <c r="F14" s="238">
        <f aca="true" t="shared" si="1" ref="F14:F24">IF(C14=0,0,E14/C14)</f>
        <v>-0.6151257515636092</v>
      </c>
    </row>
    <row r="15" spans="1:6" ht="20.25" customHeight="1">
      <c r="A15" s="235">
        <v>2</v>
      </c>
      <c r="B15" s="236" t="s">
        <v>591</v>
      </c>
      <c r="C15" s="237">
        <v>923705</v>
      </c>
      <c r="D15" s="237">
        <v>331575</v>
      </c>
      <c r="E15" s="237">
        <f t="shared" si="0"/>
        <v>-592130</v>
      </c>
      <c r="F15" s="238">
        <f t="shared" si="1"/>
        <v>-0.6410379937317651</v>
      </c>
    </row>
    <row r="16" spans="1:6" ht="20.25" customHeight="1">
      <c r="A16" s="235">
        <v>3</v>
      </c>
      <c r="B16" s="236" t="s">
        <v>592</v>
      </c>
      <c r="C16" s="237">
        <v>9554012</v>
      </c>
      <c r="D16" s="237">
        <v>3237756</v>
      </c>
      <c r="E16" s="237">
        <f t="shared" si="0"/>
        <v>-6316256</v>
      </c>
      <c r="F16" s="238">
        <f t="shared" si="1"/>
        <v>-0.6611103272635621</v>
      </c>
    </row>
    <row r="17" spans="1:6" ht="20.25" customHeight="1">
      <c r="A17" s="235">
        <v>4</v>
      </c>
      <c r="B17" s="236" t="s">
        <v>593</v>
      </c>
      <c r="C17" s="237">
        <v>2788169</v>
      </c>
      <c r="D17" s="237">
        <v>936071</v>
      </c>
      <c r="E17" s="237">
        <f t="shared" si="0"/>
        <v>-1852098</v>
      </c>
      <c r="F17" s="238">
        <f t="shared" si="1"/>
        <v>-0.6642703509005372</v>
      </c>
    </row>
    <row r="18" spans="1:6" ht="20.25" customHeight="1">
      <c r="A18" s="235">
        <v>5</v>
      </c>
      <c r="B18" s="236" t="s">
        <v>529</v>
      </c>
      <c r="C18" s="239">
        <v>423</v>
      </c>
      <c r="D18" s="239">
        <v>147</v>
      </c>
      <c r="E18" s="239">
        <f t="shared" si="0"/>
        <v>-276</v>
      </c>
      <c r="F18" s="238">
        <f t="shared" si="1"/>
        <v>-0.6524822695035462</v>
      </c>
    </row>
    <row r="19" spans="1:6" ht="20.25" customHeight="1">
      <c r="A19" s="235">
        <v>6</v>
      </c>
      <c r="B19" s="236" t="s">
        <v>528</v>
      </c>
      <c r="C19" s="239">
        <v>1035</v>
      </c>
      <c r="D19" s="239">
        <v>364</v>
      </c>
      <c r="E19" s="239">
        <f t="shared" si="0"/>
        <v>-671</v>
      </c>
      <c r="F19" s="238">
        <f t="shared" si="1"/>
        <v>-0.6483091787439613</v>
      </c>
    </row>
    <row r="20" spans="1:6" ht="20.25" customHeight="1">
      <c r="A20" s="235">
        <v>7</v>
      </c>
      <c r="B20" s="236" t="s">
        <v>594</v>
      </c>
      <c r="C20" s="239">
        <v>5699</v>
      </c>
      <c r="D20" s="239">
        <v>3871</v>
      </c>
      <c r="E20" s="239">
        <f t="shared" si="0"/>
        <v>-1828</v>
      </c>
      <c r="F20" s="238">
        <f t="shared" si="1"/>
        <v>-0.3207580277241621</v>
      </c>
    </row>
    <row r="21" spans="1:6" ht="20.25" customHeight="1">
      <c r="A21" s="235">
        <v>8</v>
      </c>
      <c r="B21" s="236" t="s">
        <v>595</v>
      </c>
      <c r="C21" s="239">
        <v>4593</v>
      </c>
      <c r="D21" s="239">
        <v>1419</v>
      </c>
      <c r="E21" s="239">
        <f t="shared" si="0"/>
        <v>-3174</v>
      </c>
      <c r="F21" s="238">
        <f t="shared" si="1"/>
        <v>-0.6910516002612671</v>
      </c>
    </row>
    <row r="22" spans="1:6" ht="20.25" customHeight="1">
      <c r="A22" s="235">
        <v>9</v>
      </c>
      <c r="B22" s="236" t="s">
        <v>596</v>
      </c>
      <c r="C22" s="239">
        <v>82</v>
      </c>
      <c r="D22" s="239">
        <v>36</v>
      </c>
      <c r="E22" s="239">
        <f t="shared" si="0"/>
        <v>-46</v>
      </c>
      <c r="F22" s="238">
        <f t="shared" si="1"/>
        <v>-0.5609756097560976</v>
      </c>
    </row>
    <row r="23" spans="1:6" s="240" customFormat="1" ht="39.75" customHeight="1">
      <c r="A23" s="245"/>
      <c r="B23" s="242" t="s">
        <v>597</v>
      </c>
      <c r="C23" s="243">
        <f>+C14+C16</f>
        <v>13001325</v>
      </c>
      <c r="D23" s="243">
        <f>+D14+D16</f>
        <v>4564538</v>
      </c>
      <c r="E23" s="243">
        <f t="shared" si="0"/>
        <v>-8436787</v>
      </c>
      <c r="F23" s="244">
        <f t="shared" si="1"/>
        <v>-0.648917475718821</v>
      </c>
    </row>
    <row r="24" spans="1:6" s="240" customFormat="1" ht="39.75" customHeight="1">
      <c r="A24" s="245"/>
      <c r="B24" s="242" t="s">
        <v>626</v>
      </c>
      <c r="C24" s="243">
        <f>+C15+C17</f>
        <v>3711874</v>
      </c>
      <c r="D24" s="243">
        <f>+D15+D17</f>
        <v>1267646</v>
      </c>
      <c r="E24" s="243">
        <f t="shared" si="0"/>
        <v>-2444228</v>
      </c>
      <c r="F24" s="244">
        <f t="shared" si="1"/>
        <v>-0.6584889465536815</v>
      </c>
    </row>
    <row r="25" spans="1:6" ht="42" customHeight="1">
      <c r="A25" s="227" t="s">
        <v>280</v>
      </c>
      <c r="B25" s="261" t="s">
        <v>629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590</v>
      </c>
      <c r="C26" s="237">
        <v>1854657</v>
      </c>
      <c r="D26" s="237">
        <v>6592104</v>
      </c>
      <c r="E26" s="237">
        <f aca="true" t="shared" si="2" ref="E26:E36">D26-C26</f>
        <v>4737447</v>
      </c>
      <c r="F26" s="238">
        <f aca="true" t="shared" si="3" ref="F26:F36">IF(C26=0,0,E26/C26)</f>
        <v>2.5543520985281916</v>
      </c>
    </row>
    <row r="27" spans="1:6" ht="20.25" customHeight="1">
      <c r="A27" s="235">
        <v>2</v>
      </c>
      <c r="B27" s="236" t="s">
        <v>591</v>
      </c>
      <c r="C27" s="237">
        <v>507548</v>
      </c>
      <c r="D27" s="237">
        <v>1983512</v>
      </c>
      <c r="E27" s="237">
        <f t="shared" si="2"/>
        <v>1475964</v>
      </c>
      <c r="F27" s="238">
        <f t="shared" si="3"/>
        <v>2.908028403224917</v>
      </c>
    </row>
    <row r="28" spans="1:6" ht="20.25" customHeight="1">
      <c r="A28" s="235">
        <v>3</v>
      </c>
      <c r="B28" s="236" t="s">
        <v>592</v>
      </c>
      <c r="C28" s="237">
        <v>3765754</v>
      </c>
      <c r="D28" s="237">
        <v>14919551</v>
      </c>
      <c r="E28" s="237">
        <f t="shared" si="2"/>
        <v>11153797</v>
      </c>
      <c r="F28" s="238">
        <f t="shared" si="3"/>
        <v>2.9619027158970024</v>
      </c>
    </row>
    <row r="29" spans="1:6" ht="20.25" customHeight="1">
      <c r="A29" s="235">
        <v>4</v>
      </c>
      <c r="B29" s="236" t="s">
        <v>593</v>
      </c>
      <c r="C29" s="237">
        <v>985614</v>
      </c>
      <c r="D29" s="237">
        <v>4852981</v>
      </c>
      <c r="E29" s="237">
        <f t="shared" si="2"/>
        <v>3867367</v>
      </c>
      <c r="F29" s="238">
        <f t="shared" si="3"/>
        <v>3.9238150026278036</v>
      </c>
    </row>
    <row r="30" spans="1:6" ht="20.25" customHeight="1">
      <c r="A30" s="235">
        <v>5</v>
      </c>
      <c r="B30" s="236" t="s">
        <v>529</v>
      </c>
      <c r="C30" s="239">
        <v>280</v>
      </c>
      <c r="D30" s="239">
        <v>833</v>
      </c>
      <c r="E30" s="239">
        <f t="shared" si="2"/>
        <v>553</v>
      </c>
      <c r="F30" s="238">
        <f t="shared" si="3"/>
        <v>1.975</v>
      </c>
    </row>
    <row r="31" spans="1:6" ht="20.25" customHeight="1">
      <c r="A31" s="235">
        <v>6</v>
      </c>
      <c r="B31" s="236" t="s">
        <v>528</v>
      </c>
      <c r="C31" s="239">
        <v>628</v>
      </c>
      <c r="D31" s="239">
        <v>2451</v>
      </c>
      <c r="E31" s="239">
        <f t="shared" si="2"/>
        <v>1823</v>
      </c>
      <c r="F31" s="238">
        <f t="shared" si="3"/>
        <v>2.9028662420382165</v>
      </c>
    </row>
    <row r="32" spans="1:6" ht="20.25" customHeight="1">
      <c r="A32" s="235">
        <v>7</v>
      </c>
      <c r="B32" s="236" t="s">
        <v>594</v>
      </c>
      <c r="C32" s="239">
        <v>2761</v>
      </c>
      <c r="D32" s="239">
        <v>11762</v>
      </c>
      <c r="E32" s="239">
        <f t="shared" si="2"/>
        <v>9001</v>
      </c>
      <c r="F32" s="238">
        <f t="shared" si="3"/>
        <v>3.260050706265846</v>
      </c>
    </row>
    <row r="33" spans="1:6" ht="20.25" customHeight="1">
      <c r="A33" s="235">
        <v>8</v>
      </c>
      <c r="B33" s="236" t="s">
        <v>595</v>
      </c>
      <c r="C33" s="239">
        <v>1705</v>
      </c>
      <c r="D33" s="239">
        <v>7943</v>
      </c>
      <c r="E33" s="239">
        <f t="shared" si="2"/>
        <v>6238</v>
      </c>
      <c r="F33" s="238">
        <f t="shared" si="3"/>
        <v>3.658651026392962</v>
      </c>
    </row>
    <row r="34" spans="1:6" ht="20.25" customHeight="1">
      <c r="A34" s="235">
        <v>9</v>
      </c>
      <c r="B34" s="236" t="s">
        <v>596</v>
      </c>
      <c r="C34" s="239">
        <v>23</v>
      </c>
      <c r="D34" s="239">
        <v>164</v>
      </c>
      <c r="E34" s="239">
        <f t="shared" si="2"/>
        <v>141</v>
      </c>
      <c r="F34" s="238">
        <f t="shared" si="3"/>
        <v>6.130434782608695</v>
      </c>
    </row>
    <row r="35" spans="1:6" s="240" customFormat="1" ht="39.75" customHeight="1">
      <c r="A35" s="245"/>
      <c r="B35" s="242" t="s">
        <v>597</v>
      </c>
      <c r="C35" s="243">
        <f>+C26+C28</f>
        <v>5620411</v>
      </c>
      <c r="D35" s="243">
        <f>+D26+D28</f>
        <v>21511655</v>
      </c>
      <c r="E35" s="243">
        <f t="shared" si="2"/>
        <v>15891244</v>
      </c>
      <c r="F35" s="244">
        <f t="shared" si="3"/>
        <v>2.82741671383107</v>
      </c>
    </row>
    <row r="36" spans="1:6" s="240" customFormat="1" ht="39.75" customHeight="1">
      <c r="A36" s="245"/>
      <c r="B36" s="242" t="s">
        <v>626</v>
      </c>
      <c r="C36" s="243">
        <f>+C27+C29</f>
        <v>1493162</v>
      </c>
      <c r="D36" s="243">
        <f>+D27+D29</f>
        <v>6836493</v>
      </c>
      <c r="E36" s="243">
        <f t="shared" si="2"/>
        <v>5343331</v>
      </c>
      <c r="F36" s="244">
        <f t="shared" si="3"/>
        <v>3.5785340103752974</v>
      </c>
    </row>
    <row r="37" spans="1:6" ht="42" customHeight="1">
      <c r="A37" s="227" t="s">
        <v>297</v>
      </c>
      <c r="B37" s="261" t="s">
        <v>630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590</v>
      </c>
      <c r="C38" s="237">
        <v>1441109</v>
      </c>
      <c r="D38" s="237">
        <v>0</v>
      </c>
      <c r="E38" s="237">
        <f aca="true" t="shared" si="4" ref="E38:E48">D38-C38</f>
        <v>-1441109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591</v>
      </c>
      <c r="C39" s="237">
        <v>386050</v>
      </c>
      <c r="D39" s="237">
        <v>0</v>
      </c>
      <c r="E39" s="237">
        <f t="shared" si="4"/>
        <v>-386050</v>
      </c>
      <c r="F39" s="238">
        <f t="shared" si="5"/>
        <v>-1</v>
      </c>
    </row>
    <row r="40" spans="1:6" ht="20.25" customHeight="1">
      <c r="A40" s="235">
        <v>3</v>
      </c>
      <c r="B40" s="236" t="s">
        <v>592</v>
      </c>
      <c r="C40" s="237">
        <v>3520924</v>
      </c>
      <c r="D40" s="237">
        <v>0</v>
      </c>
      <c r="E40" s="237">
        <f t="shared" si="4"/>
        <v>-3520924</v>
      </c>
      <c r="F40" s="238">
        <f t="shared" si="5"/>
        <v>-1</v>
      </c>
    </row>
    <row r="41" spans="1:6" ht="20.25" customHeight="1">
      <c r="A41" s="235">
        <v>4</v>
      </c>
      <c r="B41" s="236" t="s">
        <v>593</v>
      </c>
      <c r="C41" s="237">
        <v>1029602</v>
      </c>
      <c r="D41" s="237">
        <v>0</v>
      </c>
      <c r="E41" s="237">
        <f t="shared" si="4"/>
        <v>-1029602</v>
      </c>
      <c r="F41" s="238">
        <f t="shared" si="5"/>
        <v>-1</v>
      </c>
    </row>
    <row r="42" spans="1:6" ht="20.25" customHeight="1">
      <c r="A42" s="235">
        <v>5</v>
      </c>
      <c r="B42" s="236" t="s">
        <v>529</v>
      </c>
      <c r="C42" s="239">
        <v>180</v>
      </c>
      <c r="D42" s="239">
        <v>0</v>
      </c>
      <c r="E42" s="239">
        <f t="shared" si="4"/>
        <v>-180</v>
      </c>
      <c r="F42" s="238">
        <f t="shared" si="5"/>
        <v>-1</v>
      </c>
    </row>
    <row r="43" spans="1:6" ht="20.25" customHeight="1">
      <c r="A43" s="235">
        <v>6</v>
      </c>
      <c r="B43" s="236" t="s">
        <v>528</v>
      </c>
      <c r="C43" s="239">
        <v>405</v>
      </c>
      <c r="D43" s="239">
        <v>0</v>
      </c>
      <c r="E43" s="239">
        <f t="shared" si="4"/>
        <v>-405</v>
      </c>
      <c r="F43" s="238">
        <f t="shared" si="5"/>
        <v>-1</v>
      </c>
    </row>
    <row r="44" spans="1:6" ht="20.25" customHeight="1">
      <c r="A44" s="235">
        <v>7</v>
      </c>
      <c r="B44" s="236" t="s">
        <v>594</v>
      </c>
      <c r="C44" s="239">
        <v>2150</v>
      </c>
      <c r="D44" s="239">
        <v>0</v>
      </c>
      <c r="E44" s="239">
        <f t="shared" si="4"/>
        <v>-2150</v>
      </c>
      <c r="F44" s="238">
        <f t="shared" si="5"/>
        <v>-1</v>
      </c>
    </row>
    <row r="45" spans="1:6" ht="20.25" customHeight="1">
      <c r="A45" s="235">
        <v>8</v>
      </c>
      <c r="B45" s="236" t="s">
        <v>595</v>
      </c>
      <c r="C45" s="239">
        <v>1741</v>
      </c>
      <c r="D45" s="239">
        <v>0</v>
      </c>
      <c r="E45" s="239">
        <f t="shared" si="4"/>
        <v>-1741</v>
      </c>
      <c r="F45" s="238">
        <f t="shared" si="5"/>
        <v>-1</v>
      </c>
    </row>
    <row r="46" spans="1:6" ht="20.25" customHeight="1">
      <c r="A46" s="235">
        <v>9</v>
      </c>
      <c r="B46" s="236" t="s">
        <v>596</v>
      </c>
      <c r="C46" s="239">
        <v>44</v>
      </c>
      <c r="D46" s="239">
        <v>0</v>
      </c>
      <c r="E46" s="239">
        <f t="shared" si="4"/>
        <v>-44</v>
      </c>
      <c r="F46" s="238">
        <f t="shared" si="5"/>
        <v>-1</v>
      </c>
    </row>
    <row r="47" spans="1:6" s="240" customFormat="1" ht="39.75" customHeight="1">
      <c r="A47" s="245"/>
      <c r="B47" s="242" t="s">
        <v>597</v>
      </c>
      <c r="C47" s="243">
        <f>+C38+C40</f>
        <v>4962033</v>
      </c>
      <c r="D47" s="243">
        <f>+D38+D40</f>
        <v>0</v>
      </c>
      <c r="E47" s="243">
        <f t="shared" si="4"/>
        <v>-4962033</v>
      </c>
      <c r="F47" s="244">
        <f t="shared" si="5"/>
        <v>-1</v>
      </c>
    </row>
    <row r="48" spans="1:6" s="240" customFormat="1" ht="39.75" customHeight="1">
      <c r="A48" s="245"/>
      <c r="B48" s="242" t="s">
        <v>626</v>
      </c>
      <c r="C48" s="243">
        <f>+C39+C41</f>
        <v>1415652</v>
      </c>
      <c r="D48" s="243">
        <f>+D39+D41</f>
        <v>0</v>
      </c>
      <c r="E48" s="243">
        <f t="shared" si="4"/>
        <v>-1415652</v>
      </c>
      <c r="F48" s="244">
        <f t="shared" si="5"/>
        <v>-1</v>
      </c>
    </row>
    <row r="49" spans="1:6" ht="42" customHeight="1">
      <c r="A49" s="227" t="s">
        <v>327</v>
      </c>
      <c r="B49" s="261" t="s">
        <v>631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590</v>
      </c>
      <c r="C50" s="237">
        <v>644994</v>
      </c>
      <c r="D50" s="237">
        <v>0</v>
      </c>
      <c r="E50" s="237">
        <f aca="true" t="shared" si="6" ref="E50:E60">D50-C50</f>
        <v>-644994</v>
      </c>
      <c r="F50" s="238">
        <f aca="true" t="shared" si="7" ref="F50:F60">IF(C50=0,0,E50/C50)</f>
        <v>-1</v>
      </c>
    </row>
    <row r="51" spans="1:6" ht="20.25" customHeight="1">
      <c r="A51" s="235">
        <v>2</v>
      </c>
      <c r="B51" s="236" t="s">
        <v>591</v>
      </c>
      <c r="C51" s="237">
        <v>186539</v>
      </c>
      <c r="D51" s="237">
        <v>0</v>
      </c>
      <c r="E51" s="237">
        <f t="shared" si="6"/>
        <v>-186539</v>
      </c>
      <c r="F51" s="238">
        <f t="shared" si="7"/>
        <v>-1</v>
      </c>
    </row>
    <row r="52" spans="1:6" ht="20.25" customHeight="1">
      <c r="A52" s="235">
        <v>3</v>
      </c>
      <c r="B52" s="236" t="s">
        <v>592</v>
      </c>
      <c r="C52" s="237">
        <v>294704</v>
      </c>
      <c r="D52" s="237">
        <v>0</v>
      </c>
      <c r="E52" s="237">
        <f t="shared" si="6"/>
        <v>-294704</v>
      </c>
      <c r="F52" s="238">
        <f t="shared" si="7"/>
        <v>-1</v>
      </c>
    </row>
    <row r="53" spans="1:6" ht="20.25" customHeight="1">
      <c r="A53" s="235">
        <v>4</v>
      </c>
      <c r="B53" s="236" t="s">
        <v>593</v>
      </c>
      <c r="C53" s="237">
        <v>93885</v>
      </c>
      <c r="D53" s="237">
        <v>0</v>
      </c>
      <c r="E53" s="237">
        <f t="shared" si="6"/>
        <v>-93885</v>
      </c>
      <c r="F53" s="238">
        <f t="shared" si="7"/>
        <v>-1</v>
      </c>
    </row>
    <row r="54" spans="1:6" ht="20.25" customHeight="1">
      <c r="A54" s="235">
        <v>5</v>
      </c>
      <c r="B54" s="236" t="s">
        <v>529</v>
      </c>
      <c r="C54" s="239">
        <v>44</v>
      </c>
      <c r="D54" s="239">
        <v>0</v>
      </c>
      <c r="E54" s="239">
        <f t="shared" si="6"/>
        <v>-44</v>
      </c>
      <c r="F54" s="238">
        <f t="shared" si="7"/>
        <v>-1</v>
      </c>
    </row>
    <row r="55" spans="1:6" ht="20.25" customHeight="1">
      <c r="A55" s="235">
        <v>6</v>
      </c>
      <c r="B55" s="236" t="s">
        <v>528</v>
      </c>
      <c r="C55" s="239">
        <v>300</v>
      </c>
      <c r="D55" s="239">
        <v>0</v>
      </c>
      <c r="E55" s="239">
        <f t="shared" si="6"/>
        <v>-300</v>
      </c>
      <c r="F55" s="238">
        <f t="shared" si="7"/>
        <v>-1</v>
      </c>
    </row>
    <row r="56" spans="1:6" ht="20.25" customHeight="1">
      <c r="A56" s="235">
        <v>7</v>
      </c>
      <c r="B56" s="236" t="s">
        <v>594</v>
      </c>
      <c r="C56" s="239">
        <v>90</v>
      </c>
      <c r="D56" s="239">
        <v>0</v>
      </c>
      <c r="E56" s="239">
        <f t="shared" si="6"/>
        <v>-90</v>
      </c>
      <c r="F56" s="238">
        <f t="shared" si="7"/>
        <v>-1</v>
      </c>
    </row>
    <row r="57" spans="1:6" ht="20.25" customHeight="1">
      <c r="A57" s="235">
        <v>8</v>
      </c>
      <c r="B57" s="236" t="s">
        <v>595</v>
      </c>
      <c r="C57" s="239">
        <v>1</v>
      </c>
      <c r="D57" s="239">
        <v>0</v>
      </c>
      <c r="E57" s="239">
        <f t="shared" si="6"/>
        <v>-1</v>
      </c>
      <c r="F57" s="238">
        <f t="shared" si="7"/>
        <v>-1</v>
      </c>
    </row>
    <row r="58" spans="1:6" ht="20.25" customHeight="1">
      <c r="A58" s="235">
        <v>9</v>
      </c>
      <c r="B58" s="236" t="s">
        <v>596</v>
      </c>
      <c r="C58" s="239">
        <v>36</v>
      </c>
      <c r="D58" s="239">
        <v>0</v>
      </c>
      <c r="E58" s="239">
        <f t="shared" si="6"/>
        <v>-36</v>
      </c>
      <c r="F58" s="238">
        <f t="shared" si="7"/>
        <v>-1</v>
      </c>
    </row>
    <row r="59" spans="1:6" s="240" customFormat="1" ht="39.75" customHeight="1">
      <c r="A59" s="245"/>
      <c r="B59" s="242" t="s">
        <v>597</v>
      </c>
      <c r="C59" s="243">
        <f>+C50+C52</f>
        <v>939698</v>
      </c>
      <c r="D59" s="243">
        <f>+D50+D52</f>
        <v>0</v>
      </c>
      <c r="E59" s="243">
        <f t="shared" si="6"/>
        <v>-939698</v>
      </c>
      <c r="F59" s="244">
        <f t="shared" si="7"/>
        <v>-1</v>
      </c>
    </row>
    <row r="60" spans="1:6" s="240" customFormat="1" ht="39.75" customHeight="1">
      <c r="A60" s="245"/>
      <c r="B60" s="242" t="s">
        <v>626</v>
      </c>
      <c r="C60" s="243">
        <f>+C51+C53</f>
        <v>280424</v>
      </c>
      <c r="D60" s="243">
        <f>+D51+D53</f>
        <v>0</v>
      </c>
      <c r="E60" s="243">
        <f t="shared" si="6"/>
        <v>-280424</v>
      </c>
      <c r="F60" s="244">
        <f t="shared" si="7"/>
        <v>-1</v>
      </c>
    </row>
    <row r="61" spans="1:6" ht="42" customHeight="1">
      <c r="A61" s="227" t="s">
        <v>332</v>
      </c>
      <c r="B61" s="261" t="s">
        <v>605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590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591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592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593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529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528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594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595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596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597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626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338</v>
      </c>
      <c r="B73" s="261" t="s">
        <v>632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590</v>
      </c>
      <c r="C74" s="237">
        <v>22438</v>
      </c>
      <c r="D74" s="237">
        <v>0</v>
      </c>
      <c r="E74" s="237">
        <f aca="true" t="shared" si="10" ref="E74:E84">D74-C74</f>
        <v>-22438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591</v>
      </c>
      <c r="C75" s="237">
        <v>8022</v>
      </c>
      <c r="D75" s="237">
        <v>0</v>
      </c>
      <c r="E75" s="237">
        <f t="shared" si="10"/>
        <v>-8022</v>
      </c>
      <c r="F75" s="238">
        <f t="shared" si="11"/>
        <v>-1</v>
      </c>
    </row>
    <row r="76" spans="1:6" ht="20.25" customHeight="1">
      <c r="A76" s="235">
        <v>3</v>
      </c>
      <c r="B76" s="236" t="s">
        <v>592</v>
      </c>
      <c r="C76" s="237">
        <v>220886</v>
      </c>
      <c r="D76" s="237">
        <v>0</v>
      </c>
      <c r="E76" s="237">
        <f t="shared" si="10"/>
        <v>-220886</v>
      </c>
      <c r="F76" s="238">
        <f t="shared" si="11"/>
        <v>-1</v>
      </c>
    </row>
    <row r="77" spans="1:6" ht="20.25" customHeight="1">
      <c r="A77" s="235">
        <v>4</v>
      </c>
      <c r="B77" s="236" t="s">
        <v>593</v>
      </c>
      <c r="C77" s="237">
        <v>59520</v>
      </c>
      <c r="D77" s="237">
        <v>0</v>
      </c>
      <c r="E77" s="237">
        <f t="shared" si="10"/>
        <v>-59520</v>
      </c>
      <c r="F77" s="238">
        <f t="shared" si="11"/>
        <v>-1</v>
      </c>
    </row>
    <row r="78" spans="1:6" ht="20.25" customHeight="1">
      <c r="A78" s="235">
        <v>5</v>
      </c>
      <c r="B78" s="236" t="s">
        <v>529</v>
      </c>
      <c r="C78" s="239">
        <v>6</v>
      </c>
      <c r="D78" s="239">
        <v>0</v>
      </c>
      <c r="E78" s="239">
        <f t="shared" si="10"/>
        <v>-6</v>
      </c>
      <c r="F78" s="238">
        <f t="shared" si="11"/>
        <v>-1</v>
      </c>
    </row>
    <row r="79" spans="1:6" ht="20.25" customHeight="1">
      <c r="A79" s="235">
        <v>6</v>
      </c>
      <c r="B79" s="236" t="s">
        <v>528</v>
      </c>
      <c r="C79" s="239">
        <v>9</v>
      </c>
      <c r="D79" s="239">
        <v>0</v>
      </c>
      <c r="E79" s="239">
        <f t="shared" si="10"/>
        <v>-9</v>
      </c>
      <c r="F79" s="238">
        <f t="shared" si="11"/>
        <v>-1</v>
      </c>
    </row>
    <row r="80" spans="1:6" ht="20.25" customHeight="1">
      <c r="A80" s="235">
        <v>7</v>
      </c>
      <c r="B80" s="236" t="s">
        <v>594</v>
      </c>
      <c r="C80" s="239">
        <v>99</v>
      </c>
      <c r="D80" s="239">
        <v>0</v>
      </c>
      <c r="E80" s="239">
        <f t="shared" si="10"/>
        <v>-99</v>
      </c>
      <c r="F80" s="238">
        <f t="shared" si="11"/>
        <v>-1</v>
      </c>
    </row>
    <row r="81" spans="1:6" ht="20.25" customHeight="1">
      <c r="A81" s="235">
        <v>8</v>
      </c>
      <c r="B81" s="236" t="s">
        <v>595</v>
      </c>
      <c r="C81" s="239">
        <v>138</v>
      </c>
      <c r="D81" s="239">
        <v>0</v>
      </c>
      <c r="E81" s="239">
        <f t="shared" si="10"/>
        <v>-138</v>
      </c>
      <c r="F81" s="238">
        <f t="shared" si="11"/>
        <v>-1</v>
      </c>
    </row>
    <row r="82" spans="1:6" ht="20.25" customHeight="1">
      <c r="A82" s="235">
        <v>9</v>
      </c>
      <c r="B82" s="236" t="s">
        <v>596</v>
      </c>
      <c r="C82" s="239">
        <v>3</v>
      </c>
      <c r="D82" s="239">
        <v>0</v>
      </c>
      <c r="E82" s="239">
        <f t="shared" si="10"/>
        <v>-3</v>
      </c>
      <c r="F82" s="238">
        <f t="shared" si="11"/>
        <v>-1</v>
      </c>
    </row>
    <row r="83" spans="1:6" s="240" customFormat="1" ht="39.75" customHeight="1">
      <c r="A83" s="245"/>
      <c r="B83" s="242" t="s">
        <v>597</v>
      </c>
      <c r="C83" s="243">
        <f>+C74+C76</f>
        <v>243324</v>
      </c>
      <c r="D83" s="243">
        <f>+D74+D76</f>
        <v>0</v>
      </c>
      <c r="E83" s="243">
        <f t="shared" si="10"/>
        <v>-243324</v>
      </c>
      <c r="F83" s="244">
        <f t="shared" si="11"/>
        <v>-1</v>
      </c>
    </row>
    <row r="84" spans="1:6" s="240" customFormat="1" ht="39.75" customHeight="1">
      <c r="A84" s="245"/>
      <c r="B84" s="242" t="s">
        <v>626</v>
      </c>
      <c r="C84" s="243">
        <f>+C75+C77</f>
        <v>67542</v>
      </c>
      <c r="D84" s="243">
        <f>+D75+D77</f>
        <v>0</v>
      </c>
      <c r="E84" s="243">
        <f t="shared" si="10"/>
        <v>-67542</v>
      </c>
      <c r="F84" s="244">
        <f t="shared" si="11"/>
        <v>-1</v>
      </c>
    </row>
    <row r="85" spans="1:6" ht="42" customHeight="1">
      <c r="A85" s="227" t="s">
        <v>340</v>
      </c>
      <c r="B85" s="261" t="s">
        <v>633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590</v>
      </c>
      <c r="C86" s="237">
        <v>0</v>
      </c>
      <c r="D86" s="237">
        <v>357762</v>
      </c>
      <c r="E86" s="237">
        <f aca="true" t="shared" si="12" ref="E86:E96">D86-C86</f>
        <v>357762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591</v>
      </c>
      <c r="C87" s="237">
        <v>0</v>
      </c>
      <c r="D87" s="237">
        <v>109513</v>
      </c>
      <c r="E87" s="237">
        <f t="shared" si="12"/>
        <v>109513</v>
      </c>
      <c r="F87" s="238">
        <f t="shared" si="13"/>
        <v>0</v>
      </c>
    </row>
    <row r="88" spans="1:6" ht="20.25" customHeight="1">
      <c r="A88" s="235">
        <v>3</v>
      </c>
      <c r="B88" s="236" t="s">
        <v>592</v>
      </c>
      <c r="C88" s="237">
        <v>0</v>
      </c>
      <c r="D88" s="237">
        <v>1732678</v>
      </c>
      <c r="E88" s="237">
        <f t="shared" si="12"/>
        <v>1732678</v>
      </c>
      <c r="F88" s="238">
        <f t="shared" si="13"/>
        <v>0</v>
      </c>
    </row>
    <row r="89" spans="1:6" ht="20.25" customHeight="1">
      <c r="A89" s="235">
        <v>4</v>
      </c>
      <c r="B89" s="236" t="s">
        <v>593</v>
      </c>
      <c r="C89" s="237">
        <v>0</v>
      </c>
      <c r="D89" s="237">
        <v>503323</v>
      </c>
      <c r="E89" s="237">
        <f t="shared" si="12"/>
        <v>503323</v>
      </c>
      <c r="F89" s="238">
        <f t="shared" si="13"/>
        <v>0</v>
      </c>
    </row>
    <row r="90" spans="1:6" ht="20.25" customHeight="1">
      <c r="A90" s="235">
        <v>5</v>
      </c>
      <c r="B90" s="236" t="s">
        <v>529</v>
      </c>
      <c r="C90" s="239">
        <v>0</v>
      </c>
      <c r="D90" s="239">
        <v>37</v>
      </c>
      <c r="E90" s="239">
        <f t="shared" si="12"/>
        <v>37</v>
      </c>
      <c r="F90" s="238">
        <f t="shared" si="13"/>
        <v>0</v>
      </c>
    </row>
    <row r="91" spans="1:6" ht="20.25" customHeight="1">
      <c r="A91" s="235">
        <v>6</v>
      </c>
      <c r="B91" s="236" t="s">
        <v>528</v>
      </c>
      <c r="C91" s="239">
        <v>0</v>
      </c>
      <c r="D91" s="239">
        <v>109</v>
      </c>
      <c r="E91" s="239">
        <f t="shared" si="12"/>
        <v>109</v>
      </c>
      <c r="F91" s="238">
        <f t="shared" si="13"/>
        <v>0</v>
      </c>
    </row>
    <row r="92" spans="1:6" ht="20.25" customHeight="1">
      <c r="A92" s="235">
        <v>7</v>
      </c>
      <c r="B92" s="236" t="s">
        <v>594</v>
      </c>
      <c r="C92" s="239">
        <v>0</v>
      </c>
      <c r="D92" s="239">
        <v>1760</v>
      </c>
      <c r="E92" s="239">
        <f t="shared" si="12"/>
        <v>1760</v>
      </c>
      <c r="F92" s="238">
        <f t="shared" si="13"/>
        <v>0</v>
      </c>
    </row>
    <row r="93" spans="1:6" ht="20.25" customHeight="1">
      <c r="A93" s="235">
        <v>8</v>
      </c>
      <c r="B93" s="236" t="s">
        <v>595</v>
      </c>
      <c r="C93" s="239">
        <v>0</v>
      </c>
      <c r="D93" s="239">
        <v>990</v>
      </c>
      <c r="E93" s="239">
        <f t="shared" si="12"/>
        <v>990</v>
      </c>
      <c r="F93" s="238">
        <f t="shared" si="13"/>
        <v>0</v>
      </c>
    </row>
    <row r="94" spans="1:6" ht="20.25" customHeight="1">
      <c r="A94" s="235">
        <v>9</v>
      </c>
      <c r="B94" s="236" t="s">
        <v>596</v>
      </c>
      <c r="C94" s="239">
        <v>0</v>
      </c>
      <c r="D94" s="239">
        <v>12</v>
      </c>
      <c r="E94" s="239">
        <f t="shared" si="12"/>
        <v>12</v>
      </c>
      <c r="F94" s="238">
        <f t="shared" si="13"/>
        <v>0</v>
      </c>
    </row>
    <row r="95" spans="1:6" s="240" customFormat="1" ht="39.75" customHeight="1">
      <c r="A95" s="245"/>
      <c r="B95" s="242" t="s">
        <v>597</v>
      </c>
      <c r="C95" s="243">
        <f>+C86+C88</f>
        <v>0</v>
      </c>
      <c r="D95" s="243">
        <f>+D86+D88</f>
        <v>2090440</v>
      </c>
      <c r="E95" s="243">
        <f t="shared" si="12"/>
        <v>2090440</v>
      </c>
      <c r="F95" s="244">
        <f t="shared" si="13"/>
        <v>0</v>
      </c>
    </row>
    <row r="96" spans="1:6" s="240" customFormat="1" ht="39.75" customHeight="1">
      <c r="A96" s="245"/>
      <c r="B96" s="242" t="s">
        <v>626</v>
      </c>
      <c r="C96" s="243">
        <f>+C87+C89</f>
        <v>0</v>
      </c>
      <c r="D96" s="243">
        <f>+D87+D89</f>
        <v>612836</v>
      </c>
      <c r="E96" s="243">
        <f t="shared" si="12"/>
        <v>612836</v>
      </c>
      <c r="F96" s="244">
        <f t="shared" si="13"/>
        <v>0</v>
      </c>
    </row>
    <row r="97" spans="1:6" ht="42" customHeight="1">
      <c r="A97" s="227" t="s">
        <v>343</v>
      </c>
      <c r="B97" s="261" t="s">
        <v>606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590</v>
      </c>
      <c r="C98" s="237">
        <v>0</v>
      </c>
      <c r="D98" s="237">
        <v>904164</v>
      </c>
      <c r="E98" s="237">
        <f aca="true" t="shared" si="14" ref="E98:E108">D98-C98</f>
        <v>904164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591</v>
      </c>
      <c r="C99" s="237">
        <v>0</v>
      </c>
      <c r="D99" s="237">
        <v>174114</v>
      </c>
      <c r="E99" s="237">
        <f t="shared" si="14"/>
        <v>174114</v>
      </c>
      <c r="F99" s="238">
        <f t="shared" si="15"/>
        <v>0</v>
      </c>
    </row>
    <row r="100" spans="1:6" ht="20.25" customHeight="1">
      <c r="A100" s="235">
        <v>3</v>
      </c>
      <c r="B100" s="236" t="s">
        <v>592</v>
      </c>
      <c r="C100" s="237">
        <v>0</v>
      </c>
      <c r="D100" s="237">
        <v>2994235</v>
      </c>
      <c r="E100" s="237">
        <f t="shared" si="14"/>
        <v>2994235</v>
      </c>
      <c r="F100" s="238">
        <f t="shared" si="15"/>
        <v>0</v>
      </c>
    </row>
    <row r="101" spans="1:6" ht="20.25" customHeight="1">
      <c r="A101" s="235">
        <v>4</v>
      </c>
      <c r="B101" s="236" t="s">
        <v>593</v>
      </c>
      <c r="C101" s="237">
        <v>0</v>
      </c>
      <c r="D101" s="237">
        <v>928283</v>
      </c>
      <c r="E101" s="237">
        <f t="shared" si="14"/>
        <v>928283</v>
      </c>
      <c r="F101" s="238">
        <f t="shared" si="15"/>
        <v>0</v>
      </c>
    </row>
    <row r="102" spans="1:6" ht="20.25" customHeight="1">
      <c r="A102" s="235">
        <v>5</v>
      </c>
      <c r="B102" s="236" t="s">
        <v>529</v>
      </c>
      <c r="C102" s="239">
        <v>0</v>
      </c>
      <c r="D102" s="239">
        <v>74</v>
      </c>
      <c r="E102" s="239">
        <f t="shared" si="14"/>
        <v>74</v>
      </c>
      <c r="F102" s="238">
        <f t="shared" si="15"/>
        <v>0</v>
      </c>
    </row>
    <row r="103" spans="1:6" ht="20.25" customHeight="1">
      <c r="A103" s="235">
        <v>6</v>
      </c>
      <c r="B103" s="236" t="s">
        <v>528</v>
      </c>
      <c r="C103" s="239">
        <v>0</v>
      </c>
      <c r="D103" s="239">
        <v>193</v>
      </c>
      <c r="E103" s="239">
        <f t="shared" si="14"/>
        <v>193</v>
      </c>
      <c r="F103" s="238">
        <f t="shared" si="15"/>
        <v>0</v>
      </c>
    </row>
    <row r="104" spans="1:6" ht="20.25" customHeight="1">
      <c r="A104" s="235">
        <v>7</v>
      </c>
      <c r="B104" s="236" t="s">
        <v>594</v>
      </c>
      <c r="C104" s="239">
        <v>0</v>
      </c>
      <c r="D104" s="239">
        <v>2200</v>
      </c>
      <c r="E104" s="239">
        <f t="shared" si="14"/>
        <v>2200</v>
      </c>
      <c r="F104" s="238">
        <f t="shared" si="15"/>
        <v>0</v>
      </c>
    </row>
    <row r="105" spans="1:6" ht="20.25" customHeight="1">
      <c r="A105" s="235">
        <v>8</v>
      </c>
      <c r="B105" s="236" t="s">
        <v>595</v>
      </c>
      <c r="C105" s="239">
        <v>0</v>
      </c>
      <c r="D105" s="239">
        <v>1623</v>
      </c>
      <c r="E105" s="239">
        <f t="shared" si="14"/>
        <v>1623</v>
      </c>
      <c r="F105" s="238">
        <f t="shared" si="15"/>
        <v>0</v>
      </c>
    </row>
    <row r="106" spans="1:6" ht="20.25" customHeight="1">
      <c r="A106" s="235">
        <v>9</v>
      </c>
      <c r="B106" s="236" t="s">
        <v>596</v>
      </c>
      <c r="C106" s="239">
        <v>0</v>
      </c>
      <c r="D106" s="239">
        <v>37</v>
      </c>
      <c r="E106" s="239">
        <f t="shared" si="14"/>
        <v>37</v>
      </c>
      <c r="F106" s="238">
        <f t="shared" si="15"/>
        <v>0</v>
      </c>
    </row>
    <row r="107" spans="1:6" s="240" customFormat="1" ht="39.75" customHeight="1">
      <c r="A107" s="245"/>
      <c r="B107" s="242" t="s">
        <v>597</v>
      </c>
      <c r="C107" s="243">
        <f>+C98+C100</f>
        <v>0</v>
      </c>
      <c r="D107" s="243">
        <f>+D98+D100</f>
        <v>3898399</v>
      </c>
      <c r="E107" s="243">
        <f t="shared" si="14"/>
        <v>3898399</v>
      </c>
      <c r="F107" s="244">
        <f t="shared" si="15"/>
        <v>0</v>
      </c>
    </row>
    <row r="108" spans="1:6" s="240" customFormat="1" ht="39.75" customHeight="1">
      <c r="A108" s="245"/>
      <c r="B108" s="242" t="s">
        <v>626</v>
      </c>
      <c r="C108" s="243">
        <f>+C99+C101</f>
        <v>0</v>
      </c>
      <c r="D108" s="243">
        <f>+D99+D101</f>
        <v>1102397</v>
      </c>
      <c r="E108" s="243">
        <f t="shared" si="14"/>
        <v>1102397</v>
      </c>
      <c r="F108" s="244">
        <f t="shared" si="15"/>
        <v>0</v>
      </c>
    </row>
    <row r="109" spans="1:7" s="240" customFormat="1" ht="20.25" customHeight="1">
      <c r="A109" s="676" t="s">
        <v>200</v>
      </c>
      <c r="B109" s="678" t="s">
        <v>634</v>
      </c>
      <c r="C109" s="680"/>
      <c r="D109" s="681"/>
      <c r="E109" s="681"/>
      <c r="F109" s="682"/>
      <c r="G109" s="212"/>
    </row>
    <row r="110" spans="1:6" ht="20.25" customHeight="1">
      <c r="A110" s="677"/>
      <c r="B110" s="679"/>
      <c r="C110" s="683"/>
      <c r="D110" s="684"/>
      <c r="E110" s="684"/>
      <c r="F110" s="685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616</v>
      </c>
      <c r="C112" s="243">
        <f aca="true" t="shared" si="16" ref="C112:D120">+C98+C86+C74+C62+C50+C38+C26+C14</f>
        <v>7410511</v>
      </c>
      <c r="D112" s="243">
        <f t="shared" si="16"/>
        <v>9180812</v>
      </c>
      <c r="E112" s="243">
        <f aca="true" t="shared" si="17" ref="E112:E122">D112-C112</f>
        <v>1770301</v>
      </c>
      <c r="F112" s="244">
        <f aca="true" t="shared" si="18" ref="F112:F122">IF(C112=0,0,E112/C112)</f>
        <v>0.2388905434456544</v>
      </c>
    </row>
    <row r="113" spans="1:6" ht="20.25" customHeight="1">
      <c r="A113" s="249"/>
      <c r="B113" s="250" t="s">
        <v>617</v>
      </c>
      <c r="C113" s="243">
        <f t="shared" si="16"/>
        <v>2011864</v>
      </c>
      <c r="D113" s="243">
        <f t="shared" si="16"/>
        <v>2598714</v>
      </c>
      <c r="E113" s="243">
        <f t="shared" si="17"/>
        <v>586850</v>
      </c>
      <c r="F113" s="244">
        <f t="shared" si="18"/>
        <v>0.2916946672339681</v>
      </c>
    </row>
    <row r="114" spans="1:6" ht="20.25" customHeight="1">
      <c r="A114" s="249"/>
      <c r="B114" s="250" t="s">
        <v>618</v>
      </c>
      <c r="C114" s="243">
        <f t="shared" si="16"/>
        <v>17356280</v>
      </c>
      <c r="D114" s="243">
        <f t="shared" si="16"/>
        <v>22884220</v>
      </c>
      <c r="E114" s="243">
        <f t="shared" si="17"/>
        <v>5527940</v>
      </c>
      <c r="F114" s="244">
        <f t="shared" si="18"/>
        <v>0.31849797306796157</v>
      </c>
    </row>
    <row r="115" spans="1:6" ht="20.25" customHeight="1">
      <c r="A115" s="249"/>
      <c r="B115" s="250" t="s">
        <v>619</v>
      </c>
      <c r="C115" s="243">
        <f t="shared" si="16"/>
        <v>4956790</v>
      </c>
      <c r="D115" s="243">
        <f t="shared" si="16"/>
        <v>7220658</v>
      </c>
      <c r="E115" s="243">
        <f t="shared" si="17"/>
        <v>2263868</v>
      </c>
      <c r="F115" s="244">
        <f t="shared" si="18"/>
        <v>0.4567205792458426</v>
      </c>
    </row>
    <row r="116" spans="1:6" ht="20.25" customHeight="1">
      <c r="A116" s="249"/>
      <c r="B116" s="250" t="s">
        <v>620</v>
      </c>
      <c r="C116" s="252">
        <f t="shared" si="16"/>
        <v>933</v>
      </c>
      <c r="D116" s="252">
        <f t="shared" si="16"/>
        <v>1091</v>
      </c>
      <c r="E116" s="252">
        <f t="shared" si="17"/>
        <v>158</v>
      </c>
      <c r="F116" s="244">
        <f t="shared" si="18"/>
        <v>0.16934619506966775</v>
      </c>
    </row>
    <row r="117" spans="1:6" ht="20.25" customHeight="1">
      <c r="A117" s="249"/>
      <c r="B117" s="250" t="s">
        <v>621</v>
      </c>
      <c r="C117" s="252">
        <f t="shared" si="16"/>
        <v>2377</v>
      </c>
      <c r="D117" s="252">
        <f t="shared" si="16"/>
        <v>3117</v>
      </c>
      <c r="E117" s="252">
        <f t="shared" si="17"/>
        <v>740</v>
      </c>
      <c r="F117" s="244">
        <f t="shared" si="18"/>
        <v>0.31131678586453515</v>
      </c>
    </row>
    <row r="118" spans="1:6" ht="39.75" customHeight="1">
      <c r="A118" s="249"/>
      <c r="B118" s="250" t="s">
        <v>622</v>
      </c>
      <c r="C118" s="252">
        <f t="shared" si="16"/>
        <v>10799</v>
      </c>
      <c r="D118" s="252">
        <f t="shared" si="16"/>
        <v>19593</v>
      </c>
      <c r="E118" s="252">
        <f t="shared" si="17"/>
        <v>8794</v>
      </c>
      <c r="F118" s="244">
        <f t="shared" si="18"/>
        <v>0.8143346606167238</v>
      </c>
    </row>
    <row r="119" spans="1:6" ht="39.75" customHeight="1">
      <c r="A119" s="249"/>
      <c r="B119" s="250" t="s">
        <v>623</v>
      </c>
      <c r="C119" s="252">
        <f t="shared" si="16"/>
        <v>8178</v>
      </c>
      <c r="D119" s="252">
        <f t="shared" si="16"/>
        <v>11975</v>
      </c>
      <c r="E119" s="252">
        <f t="shared" si="17"/>
        <v>3797</v>
      </c>
      <c r="F119" s="244">
        <f t="shared" si="18"/>
        <v>0.4642944485204206</v>
      </c>
    </row>
    <row r="120" spans="1:6" ht="39.75" customHeight="1">
      <c r="A120" s="249"/>
      <c r="B120" s="250" t="s">
        <v>624</v>
      </c>
      <c r="C120" s="252">
        <f t="shared" si="16"/>
        <v>188</v>
      </c>
      <c r="D120" s="252">
        <f t="shared" si="16"/>
        <v>249</v>
      </c>
      <c r="E120" s="252">
        <f t="shared" si="17"/>
        <v>61</v>
      </c>
      <c r="F120" s="244">
        <f t="shared" si="18"/>
        <v>0.324468085106383</v>
      </c>
    </row>
    <row r="121" spans="1:6" ht="39.75" customHeight="1">
      <c r="A121" s="249"/>
      <c r="B121" s="242" t="s">
        <v>597</v>
      </c>
      <c r="C121" s="243">
        <f>+C112+C114</f>
        <v>24766791</v>
      </c>
      <c r="D121" s="243">
        <f>+D112+D114</f>
        <v>32065032</v>
      </c>
      <c r="E121" s="243">
        <f t="shared" si="17"/>
        <v>7298241</v>
      </c>
      <c r="F121" s="244">
        <f t="shared" si="18"/>
        <v>0.2946785071994188</v>
      </c>
    </row>
    <row r="122" spans="1:6" ht="39.75" customHeight="1">
      <c r="A122" s="249"/>
      <c r="B122" s="242" t="s">
        <v>626</v>
      </c>
      <c r="C122" s="243">
        <f>+C113+C115</f>
        <v>6968654</v>
      </c>
      <c r="D122" s="243">
        <f>+D113+D115</f>
        <v>9819372</v>
      </c>
      <c r="E122" s="243">
        <f t="shared" si="17"/>
        <v>2850718</v>
      </c>
      <c r="F122" s="244">
        <f t="shared" si="18"/>
        <v>0.40907727661611554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FILING&amp;RWILLIAM W. BACKUS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635</v>
      </c>
      <c r="C1" s="3"/>
      <c r="D1" s="3"/>
      <c r="E1" s="4"/>
      <c r="F1" s="5"/>
    </row>
    <row r="2" spans="1:6" ht="24" customHeight="1">
      <c r="A2" s="3"/>
      <c r="B2" s="3" t="s">
        <v>157</v>
      </c>
      <c r="C2" s="3"/>
      <c r="D2" s="3"/>
      <c r="E2" s="4"/>
      <c r="F2" s="5"/>
    </row>
    <row r="3" spans="1:6" ht="24" customHeight="1">
      <c r="A3" s="3"/>
      <c r="B3" s="3" t="s">
        <v>158</v>
      </c>
      <c r="C3" s="3"/>
      <c r="D3" s="3"/>
      <c r="E3" s="4"/>
      <c r="F3" s="5"/>
    </row>
    <row r="4" spans="1:6" ht="24" customHeight="1">
      <c r="A4" s="3"/>
      <c r="B4" s="3" t="s">
        <v>636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160</v>
      </c>
      <c r="D7" s="10" t="s">
        <v>161</v>
      </c>
      <c r="E7" s="11" t="s">
        <v>162</v>
      </c>
      <c r="F7" s="11" t="s">
        <v>163</v>
      </c>
      <c r="H7" s="12"/>
    </row>
    <row r="8" spans="1:6" s="6" customFormat="1" ht="15.75" customHeight="1">
      <c r="A8" s="13" t="s">
        <v>164</v>
      </c>
      <c r="B8" s="13" t="s">
        <v>165</v>
      </c>
      <c r="C8" s="14" t="s">
        <v>166</v>
      </c>
      <c r="D8" s="14" t="s">
        <v>166</v>
      </c>
      <c r="E8" s="15" t="s">
        <v>167</v>
      </c>
      <c r="F8" s="15" t="s">
        <v>167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168</v>
      </c>
      <c r="B10" s="16" t="s">
        <v>169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170</v>
      </c>
      <c r="B12" s="16" t="s">
        <v>171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172</v>
      </c>
      <c r="C13" s="23">
        <v>50429864</v>
      </c>
      <c r="D13" s="23">
        <v>62155067</v>
      </c>
      <c r="E13" s="23">
        <f aca="true" t="shared" si="0" ref="E13:E22">D13-C13</f>
        <v>11725203</v>
      </c>
      <c r="F13" s="24">
        <f aca="true" t="shared" si="1" ref="F13:F22">IF(C13=0,0,E13/C13)</f>
        <v>0.23250514813999895</v>
      </c>
    </row>
    <row r="14" spans="1:6" ht="24" customHeight="1">
      <c r="A14" s="21">
        <v>2</v>
      </c>
      <c r="B14" s="22" t="s">
        <v>173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174</v>
      </c>
      <c r="C15" s="23">
        <v>35783224</v>
      </c>
      <c r="D15" s="23">
        <v>38032269</v>
      </c>
      <c r="E15" s="23">
        <f t="shared" si="0"/>
        <v>2249045</v>
      </c>
      <c r="F15" s="24">
        <f t="shared" si="1"/>
        <v>0.06285193866265376</v>
      </c>
    </row>
    <row r="16" spans="1:6" ht="34.5" customHeight="1">
      <c r="A16" s="21">
        <v>4</v>
      </c>
      <c r="B16" s="22" t="s">
        <v>175</v>
      </c>
      <c r="C16" s="23">
        <v>6648187</v>
      </c>
      <c r="D16" s="23">
        <v>7240812</v>
      </c>
      <c r="E16" s="23">
        <f t="shared" si="0"/>
        <v>592625</v>
      </c>
      <c r="F16" s="24">
        <f t="shared" si="1"/>
        <v>0.08914084396242164</v>
      </c>
    </row>
    <row r="17" spans="1:6" ht="24" customHeight="1">
      <c r="A17" s="21">
        <v>5</v>
      </c>
      <c r="B17" s="22" t="s">
        <v>176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177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178</v>
      </c>
      <c r="C19" s="23">
        <v>2004317</v>
      </c>
      <c r="D19" s="23">
        <v>3367607</v>
      </c>
      <c r="E19" s="23">
        <f t="shared" si="0"/>
        <v>1363290</v>
      </c>
      <c r="F19" s="24">
        <f t="shared" si="1"/>
        <v>0.6801768382945412</v>
      </c>
    </row>
    <row r="20" spans="1:6" ht="24" customHeight="1">
      <c r="A20" s="21">
        <v>8</v>
      </c>
      <c r="B20" s="22" t="s">
        <v>179</v>
      </c>
      <c r="C20" s="23">
        <v>1871894</v>
      </c>
      <c r="D20" s="23">
        <v>1023236</v>
      </c>
      <c r="E20" s="23">
        <f t="shared" si="0"/>
        <v>-848658</v>
      </c>
      <c r="F20" s="24">
        <f t="shared" si="1"/>
        <v>-0.45336862023170116</v>
      </c>
    </row>
    <row r="21" spans="1:6" ht="24" customHeight="1">
      <c r="A21" s="21">
        <v>9</v>
      </c>
      <c r="B21" s="22" t="s">
        <v>180</v>
      </c>
      <c r="C21" s="23">
        <v>1103017</v>
      </c>
      <c r="D21" s="23">
        <v>533993</v>
      </c>
      <c r="E21" s="23">
        <f t="shared" si="0"/>
        <v>-569024</v>
      </c>
      <c r="F21" s="24">
        <f t="shared" si="1"/>
        <v>-0.5158796283284846</v>
      </c>
    </row>
    <row r="22" spans="1:6" ht="24" customHeight="1">
      <c r="A22" s="25"/>
      <c r="B22" s="26" t="s">
        <v>181</v>
      </c>
      <c r="C22" s="27">
        <f>SUM(C13:C21)</f>
        <v>97840503</v>
      </c>
      <c r="D22" s="27">
        <f>SUM(D13:D21)</f>
        <v>112352984</v>
      </c>
      <c r="E22" s="27">
        <f t="shared" si="0"/>
        <v>14512481</v>
      </c>
      <c r="F22" s="28">
        <f t="shared" si="1"/>
        <v>0.14832794757811088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182</v>
      </c>
      <c r="B24" s="30" t="s">
        <v>183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184</v>
      </c>
      <c r="C25" s="23">
        <v>20554290</v>
      </c>
      <c r="D25" s="23">
        <v>25070975</v>
      </c>
      <c r="E25" s="23">
        <f>D25-C25</f>
        <v>4516685</v>
      </c>
      <c r="F25" s="24">
        <f>IF(C25=0,0,E25/C25)</f>
        <v>0.21974415073446954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185</v>
      </c>
      <c r="C26" s="23">
        <v>70892002</v>
      </c>
      <c r="D26" s="23">
        <v>73772025</v>
      </c>
      <c r="E26" s="23">
        <f>D26-C26</f>
        <v>2880023</v>
      </c>
      <c r="F26" s="24">
        <f>IF(C26=0,0,E26/C26)</f>
        <v>0.04062549961559839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186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187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34.5" customHeight="1">
      <c r="A29" s="25"/>
      <c r="B29" s="26" t="s">
        <v>188</v>
      </c>
      <c r="C29" s="27">
        <f>SUM(C25:C28)</f>
        <v>91446292</v>
      </c>
      <c r="D29" s="27">
        <f>SUM(D25:D28)</f>
        <v>98843000</v>
      </c>
      <c r="E29" s="27">
        <f>D29-C29</f>
        <v>7396708</v>
      </c>
      <c r="F29" s="28">
        <f>IF(C29=0,0,E29/C29)</f>
        <v>0.0808858165621412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189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190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191</v>
      </c>
      <c r="C33" s="23">
        <v>6443725</v>
      </c>
      <c r="D33" s="23">
        <v>4863225</v>
      </c>
      <c r="E33" s="23">
        <f>D33-C33</f>
        <v>-1580500</v>
      </c>
      <c r="F33" s="24">
        <f>IF(C33=0,0,E33/C33)</f>
        <v>-0.245277382259485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192</v>
      </c>
      <c r="B35" s="30" t="s">
        <v>193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194</v>
      </c>
      <c r="C36" s="23">
        <v>199673069</v>
      </c>
      <c r="D36" s="23">
        <v>217477989</v>
      </c>
      <c r="E36" s="23">
        <f>D36-C36</f>
        <v>17804920</v>
      </c>
      <c r="F36" s="24">
        <f>IF(C36=0,0,E36/C36)</f>
        <v>0.08917036277936911</v>
      </c>
    </row>
    <row r="37" spans="1:6" ht="24" customHeight="1">
      <c r="A37" s="21">
        <v>2</v>
      </c>
      <c r="B37" s="22" t="s">
        <v>195</v>
      </c>
      <c r="C37" s="23">
        <v>103421093</v>
      </c>
      <c r="D37" s="23">
        <v>117890582</v>
      </c>
      <c r="E37" s="23">
        <f>D37-C37</f>
        <v>14469489</v>
      </c>
      <c r="F37" s="23">
        <f>IF(C37=0,0,E37/C37)</f>
        <v>0.1399084904275765</v>
      </c>
    </row>
    <row r="38" spans="1:6" ht="24" customHeight="1">
      <c r="A38" s="25"/>
      <c r="B38" s="26" t="s">
        <v>196</v>
      </c>
      <c r="C38" s="27">
        <f>C36-C37</f>
        <v>96251976</v>
      </c>
      <c r="D38" s="27">
        <f>D36-D37</f>
        <v>99587407</v>
      </c>
      <c r="E38" s="27">
        <f>D38-C38</f>
        <v>3335431</v>
      </c>
      <c r="F38" s="28">
        <f>IF(C38=0,0,E38/C38)</f>
        <v>0.03465311714743394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197</v>
      </c>
      <c r="C40" s="23">
        <v>4438532</v>
      </c>
      <c r="D40" s="23">
        <v>4251661</v>
      </c>
      <c r="E40" s="23">
        <f>D40-C40</f>
        <v>-186871</v>
      </c>
      <c r="F40" s="24">
        <f>IF(C40=0,0,E40/C40)</f>
        <v>-0.04210198326834187</v>
      </c>
    </row>
    <row r="41" spans="1:6" ht="24" customHeight="1">
      <c r="A41" s="25"/>
      <c r="B41" s="26" t="s">
        <v>198</v>
      </c>
      <c r="C41" s="27">
        <f>+C38+C40</f>
        <v>100690508</v>
      </c>
      <c r="D41" s="27">
        <f>+D38+D40</f>
        <v>103839068</v>
      </c>
      <c r="E41" s="27">
        <f>D41-C41</f>
        <v>3148560</v>
      </c>
      <c r="F41" s="28">
        <f>IF(C41=0,0,E41/C41)</f>
        <v>0.03126968035557036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199</v>
      </c>
      <c r="C43" s="27">
        <f>C22+C29+C31+C32+C33+C41</f>
        <v>296421028</v>
      </c>
      <c r="D43" s="27">
        <f>D22+D29+D31+D32+D33+D41</f>
        <v>319898277</v>
      </c>
      <c r="E43" s="27">
        <f>D43-C43</f>
        <v>23477249</v>
      </c>
      <c r="F43" s="28">
        <f>IF(C43=0,0,E43/C43)</f>
        <v>0.07920237359139042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200</v>
      </c>
      <c r="B46" s="16" t="s">
        <v>201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170</v>
      </c>
      <c r="B48" s="41" t="s">
        <v>202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203</v>
      </c>
      <c r="C49" s="23">
        <v>10146787</v>
      </c>
      <c r="D49" s="23">
        <v>11143511</v>
      </c>
      <c r="E49" s="23">
        <f aca="true" t="shared" si="2" ref="E49:E56">D49-C49</f>
        <v>996724</v>
      </c>
      <c r="F49" s="24">
        <f aca="true" t="shared" si="3" ref="F49:F56">IF(C49=0,0,E49/C49)</f>
        <v>0.0982305039023683</v>
      </c>
    </row>
    <row r="50" spans="1:6" ht="24" customHeight="1">
      <c r="A50" s="21">
        <f aca="true" t="shared" si="4" ref="A50:A55">1+A49</f>
        <v>2</v>
      </c>
      <c r="B50" s="22" t="s">
        <v>204</v>
      </c>
      <c r="C50" s="23">
        <v>7358943</v>
      </c>
      <c r="D50" s="23">
        <v>8955228</v>
      </c>
      <c r="E50" s="23">
        <f t="shared" si="2"/>
        <v>1596285</v>
      </c>
      <c r="F50" s="24">
        <f t="shared" si="3"/>
        <v>0.21691770136010022</v>
      </c>
    </row>
    <row r="51" spans="1:6" ht="24" customHeight="1">
      <c r="A51" s="21">
        <f t="shared" si="4"/>
        <v>3</v>
      </c>
      <c r="B51" s="22" t="s">
        <v>205</v>
      </c>
      <c r="C51" s="23">
        <v>1750429</v>
      </c>
      <c r="D51" s="23">
        <v>2310804</v>
      </c>
      <c r="E51" s="23">
        <f t="shared" si="2"/>
        <v>560375</v>
      </c>
      <c r="F51" s="24">
        <f t="shared" si="3"/>
        <v>0.3201358067079556</v>
      </c>
    </row>
    <row r="52" spans="1:6" ht="24" customHeight="1">
      <c r="A52" s="21">
        <f t="shared" si="4"/>
        <v>4</v>
      </c>
      <c r="B52" s="22" t="s">
        <v>206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207</v>
      </c>
      <c r="C53" s="23">
        <v>1755000</v>
      </c>
      <c r="D53" s="23">
        <v>1825000</v>
      </c>
      <c r="E53" s="23">
        <f t="shared" si="2"/>
        <v>70000</v>
      </c>
      <c r="F53" s="24">
        <f t="shared" si="3"/>
        <v>0.039886039886039885</v>
      </c>
    </row>
    <row r="54" spans="1:6" ht="24" customHeight="1">
      <c r="A54" s="21">
        <f t="shared" si="4"/>
        <v>6</v>
      </c>
      <c r="B54" s="22" t="s">
        <v>208</v>
      </c>
      <c r="C54" s="23">
        <v>55232</v>
      </c>
      <c r="D54" s="23">
        <v>8475</v>
      </c>
      <c r="E54" s="23">
        <f t="shared" si="2"/>
        <v>-46757</v>
      </c>
      <c r="F54" s="24">
        <f t="shared" si="3"/>
        <v>-0.8465563441483198</v>
      </c>
    </row>
    <row r="55" spans="1:6" ht="24" customHeight="1">
      <c r="A55" s="21">
        <f t="shared" si="4"/>
        <v>7</v>
      </c>
      <c r="B55" s="22" t="s">
        <v>209</v>
      </c>
      <c r="C55" s="23">
        <v>7548447</v>
      </c>
      <c r="D55" s="23">
        <v>9568027</v>
      </c>
      <c r="E55" s="23">
        <f t="shared" si="2"/>
        <v>2019580</v>
      </c>
      <c r="F55" s="24">
        <f t="shared" si="3"/>
        <v>0.2675490733391915</v>
      </c>
    </row>
    <row r="56" spans="1:6" ht="24" customHeight="1">
      <c r="A56" s="25"/>
      <c r="B56" s="26" t="s">
        <v>210</v>
      </c>
      <c r="C56" s="27">
        <f>SUM(C49:C55)</f>
        <v>28614838</v>
      </c>
      <c r="D56" s="27">
        <f>SUM(D49:D55)</f>
        <v>33811045</v>
      </c>
      <c r="E56" s="27">
        <f t="shared" si="2"/>
        <v>5196207</v>
      </c>
      <c r="F56" s="28">
        <f t="shared" si="3"/>
        <v>0.1815913478175204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182</v>
      </c>
      <c r="B58" s="41" t="s">
        <v>211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212</v>
      </c>
      <c r="C59" s="23">
        <v>65808330</v>
      </c>
      <c r="D59" s="23">
        <v>63931536</v>
      </c>
      <c r="E59" s="23">
        <f>D59-C59</f>
        <v>-1876794</v>
      </c>
      <c r="F59" s="24">
        <f>IF(C59=0,0,E59/C59)</f>
        <v>-0.028519094771133076</v>
      </c>
    </row>
    <row r="60" spans="1:6" ht="24" customHeight="1">
      <c r="A60" s="21">
        <v>2</v>
      </c>
      <c r="B60" s="22" t="s">
        <v>213</v>
      </c>
      <c r="C60" s="23">
        <v>1313188</v>
      </c>
      <c r="D60" s="23">
        <v>1064144</v>
      </c>
      <c r="E60" s="23">
        <f>D60-C60</f>
        <v>-249044</v>
      </c>
      <c r="F60" s="24">
        <f>IF(C60=0,0,E60/C60)</f>
        <v>-0.18964839763994187</v>
      </c>
    </row>
    <row r="61" spans="1:6" ht="24" customHeight="1">
      <c r="A61" s="25"/>
      <c r="B61" s="26" t="s">
        <v>214</v>
      </c>
      <c r="C61" s="27">
        <f>SUM(C59:C60)</f>
        <v>67121518</v>
      </c>
      <c r="D61" s="27">
        <f>SUM(D59:D60)</f>
        <v>64995680</v>
      </c>
      <c r="E61" s="27">
        <f>D61-C61</f>
        <v>-2125838</v>
      </c>
      <c r="F61" s="28">
        <f>IF(C61=0,0,E61/C61)</f>
        <v>-0.03167148275758602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215</v>
      </c>
      <c r="C63" s="23">
        <v>35623338</v>
      </c>
      <c r="D63" s="23">
        <v>75300446</v>
      </c>
      <c r="E63" s="23">
        <f>D63-C63</f>
        <v>39677108</v>
      </c>
      <c r="F63" s="24">
        <f>IF(C63=0,0,E63/C63)</f>
        <v>1.1137953439399755</v>
      </c>
    </row>
    <row r="64" spans="1:6" ht="24" customHeight="1">
      <c r="A64" s="21">
        <v>4</v>
      </c>
      <c r="B64" s="22" t="s">
        <v>216</v>
      </c>
      <c r="C64" s="23">
        <v>19959733</v>
      </c>
      <c r="D64" s="23">
        <v>30705381</v>
      </c>
      <c r="E64" s="23">
        <f>D64-C64</f>
        <v>10745648</v>
      </c>
      <c r="F64" s="24">
        <f>IF(C64=0,0,E64/C64)</f>
        <v>0.5383663198300298</v>
      </c>
    </row>
    <row r="65" spans="1:6" ht="24" customHeight="1">
      <c r="A65" s="25"/>
      <c r="B65" s="26" t="s">
        <v>217</v>
      </c>
      <c r="C65" s="27">
        <f>SUM(C61:C64)</f>
        <v>122704589</v>
      </c>
      <c r="D65" s="27">
        <f>SUM(D61:D64)</f>
        <v>171001507</v>
      </c>
      <c r="E65" s="27">
        <f>D65-C65</f>
        <v>48296918</v>
      </c>
      <c r="F65" s="28">
        <f>IF(C65=0,0,E65/C65)</f>
        <v>0.39360319278686473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218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192</v>
      </c>
      <c r="B69" s="41" t="s">
        <v>219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220</v>
      </c>
      <c r="C70" s="23">
        <v>136705366</v>
      </c>
      <c r="D70" s="23">
        <v>104776463</v>
      </c>
      <c r="E70" s="23">
        <f>D70-C70</f>
        <v>-31928903</v>
      </c>
      <c r="F70" s="24">
        <f>IF(C70=0,0,E70/C70)</f>
        <v>-0.23355998330014346</v>
      </c>
    </row>
    <row r="71" spans="1:6" ht="24" customHeight="1">
      <c r="A71" s="21">
        <v>2</v>
      </c>
      <c r="B71" s="22" t="s">
        <v>221</v>
      </c>
      <c r="C71" s="23">
        <v>2475427</v>
      </c>
      <c r="D71" s="23">
        <v>3447432</v>
      </c>
      <c r="E71" s="23">
        <f>D71-C71</f>
        <v>972005</v>
      </c>
      <c r="F71" s="24">
        <f>IF(C71=0,0,E71/C71)</f>
        <v>0.39266154889641264</v>
      </c>
    </row>
    <row r="72" spans="1:6" ht="24" customHeight="1">
      <c r="A72" s="21">
        <v>3</v>
      </c>
      <c r="B72" s="22" t="s">
        <v>222</v>
      </c>
      <c r="C72" s="23">
        <v>5920808</v>
      </c>
      <c r="D72" s="23">
        <v>6861830</v>
      </c>
      <c r="E72" s="23">
        <f>D72-C72</f>
        <v>941022</v>
      </c>
      <c r="F72" s="24">
        <f>IF(C72=0,0,E72/C72)</f>
        <v>0.15893472647652146</v>
      </c>
    </row>
    <row r="73" spans="1:6" ht="24" customHeight="1">
      <c r="A73" s="21"/>
      <c r="B73" s="26" t="s">
        <v>223</v>
      </c>
      <c r="C73" s="27">
        <f>SUM(C70:C72)</f>
        <v>145101601</v>
      </c>
      <c r="D73" s="27">
        <f>SUM(D70:D72)</f>
        <v>115085725</v>
      </c>
      <c r="E73" s="27">
        <f>D73-C73</f>
        <v>-30015876</v>
      </c>
      <c r="F73" s="28">
        <f>IF(C73=0,0,E73/C73)</f>
        <v>-0.20686109452369172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224</v>
      </c>
      <c r="C75" s="27">
        <f>C56+C65+C67+C73</f>
        <v>296421028</v>
      </c>
      <c r="D75" s="27">
        <f>D56+D65+D67+D73</f>
        <v>319898277</v>
      </c>
      <c r="E75" s="27">
        <f>D75-C75</f>
        <v>23477249</v>
      </c>
      <c r="F75" s="28">
        <f>IF(C75=0,0,E75/C75)</f>
        <v>0.07920237359139042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FILING&amp;RBACKUS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635</v>
      </c>
      <c r="B1" s="696"/>
      <c r="C1" s="696"/>
      <c r="D1" s="696"/>
      <c r="E1" s="696"/>
      <c r="F1" s="697"/>
    </row>
    <row r="2" spans="1:6" ht="22.5" customHeight="1">
      <c r="A2" s="695" t="s">
        <v>157</v>
      </c>
      <c r="B2" s="696"/>
      <c r="C2" s="696"/>
      <c r="D2" s="696"/>
      <c r="E2" s="696"/>
      <c r="F2" s="697"/>
    </row>
    <row r="3" spans="1:6" ht="22.5" customHeight="1">
      <c r="A3" s="695" t="s">
        <v>158</v>
      </c>
      <c r="B3" s="696"/>
      <c r="C3" s="696"/>
      <c r="D3" s="696"/>
      <c r="E3" s="696"/>
      <c r="F3" s="697"/>
    </row>
    <row r="4" spans="1:6" ht="22.5" customHeight="1">
      <c r="A4" s="695" t="s">
        <v>637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160</v>
      </c>
      <c r="D6" s="10" t="s">
        <v>161</v>
      </c>
      <c r="E6" s="59" t="s">
        <v>162</v>
      </c>
      <c r="F6" s="59" t="s">
        <v>163</v>
      </c>
    </row>
    <row r="7" spans="1:8" ht="15.75" customHeight="1">
      <c r="A7" s="61" t="s">
        <v>164</v>
      </c>
      <c r="B7" s="62" t="s">
        <v>165</v>
      </c>
      <c r="C7" s="14" t="s">
        <v>166</v>
      </c>
      <c r="D7" s="14" t="s">
        <v>166</v>
      </c>
      <c r="E7" s="63" t="s">
        <v>167</v>
      </c>
      <c r="F7" s="63" t="s">
        <v>167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170</v>
      </c>
      <c r="B11" s="30" t="s">
        <v>226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227</v>
      </c>
      <c r="C12" s="51">
        <v>524204277</v>
      </c>
      <c r="D12" s="51">
        <v>578445014</v>
      </c>
      <c r="E12" s="51">
        <f aca="true" t="shared" si="0" ref="E12:E19">D12-C12</f>
        <v>54240737</v>
      </c>
      <c r="F12" s="70">
        <f aca="true" t="shared" si="1" ref="F12:F19">IF(C12=0,0,E12/C12)</f>
        <v>0.10347251897755882</v>
      </c>
    </row>
    <row r="13" spans="1:6" ht="22.5" customHeight="1">
      <c r="A13" s="25">
        <v>2</v>
      </c>
      <c r="B13" s="48" t="s">
        <v>228</v>
      </c>
      <c r="C13" s="51">
        <v>265835156</v>
      </c>
      <c r="D13" s="51">
        <v>299764222</v>
      </c>
      <c r="E13" s="51">
        <f t="shared" si="0"/>
        <v>33929066</v>
      </c>
      <c r="F13" s="70">
        <f t="shared" si="1"/>
        <v>0.12763197505750518</v>
      </c>
    </row>
    <row r="14" spans="1:6" ht="22.5" customHeight="1">
      <c r="A14" s="25">
        <v>3</v>
      </c>
      <c r="B14" s="48" t="s">
        <v>229</v>
      </c>
      <c r="C14" s="51">
        <v>6601828</v>
      </c>
      <c r="D14" s="51">
        <v>6915404</v>
      </c>
      <c r="E14" s="51">
        <f t="shared" si="0"/>
        <v>313576</v>
      </c>
      <c r="F14" s="70">
        <f t="shared" si="1"/>
        <v>0.047498359545265344</v>
      </c>
    </row>
    <row r="15" spans="1:7" ht="22.5" customHeight="1">
      <c r="A15" s="25">
        <v>4</v>
      </c>
      <c r="B15" s="48" t="s">
        <v>230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231</v>
      </c>
      <c r="C16" s="27">
        <f>C12-C13-C14-C15</f>
        <v>251767293</v>
      </c>
      <c r="D16" s="27">
        <f>D12-D13-D14-D15</f>
        <v>271765388</v>
      </c>
      <c r="E16" s="27">
        <f t="shared" si="0"/>
        <v>19998095</v>
      </c>
      <c r="F16" s="28">
        <f t="shared" si="1"/>
        <v>0.07943086952124476</v>
      </c>
    </row>
    <row r="17" spans="1:7" ht="22.5" customHeight="1">
      <c r="A17" s="25">
        <v>5</v>
      </c>
      <c r="B17" s="48" t="s">
        <v>232</v>
      </c>
      <c r="C17" s="51">
        <v>4930976</v>
      </c>
      <c r="D17" s="51">
        <v>4412193</v>
      </c>
      <c r="E17" s="51">
        <f t="shared" si="0"/>
        <v>-518783</v>
      </c>
      <c r="F17" s="70">
        <f t="shared" si="1"/>
        <v>-0.10520898905206597</v>
      </c>
      <c r="G17" s="64"/>
    </row>
    <row r="18" spans="1:7" ht="33" customHeight="1">
      <c r="A18" s="25">
        <v>6</v>
      </c>
      <c r="B18" s="45" t="s">
        <v>233</v>
      </c>
      <c r="C18" s="51">
        <v>72396</v>
      </c>
      <c r="D18" s="51">
        <v>86494</v>
      </c>
      <c r="E18" s="51">
        <f t="shared" si="0"/>
        <v>14098</v>
      </c>
      <c r="F18" s="70">
        <f t="shared" si="1"/>
        <v>0.1947345157191005</v>
      </c>
      <c r="G18" s="64"/>
    </row>
    <row r="19" spans="1:6" ht="22.5" customHeight="1">
      <c r="A19" s="29"/>
      <c r="B19" s="71" t="s">
        <v>234</v>
      </c>
      <c r="C19" s="27">
        <f>SUM(C16:C18)</f>
        <v>256770665</v>
      </c>
      <c r="D19" s="27">
        <f>SUM(D16:D18)</f>
        <v>276264075</v>
      </c>
      <c r="E19" s="27">
        <f t="shared" si="0"/>
        <v>19493410</v>
      </c>
      <c r="F19" s="28">
        <f t="shared" si="1"/>
        <v>0.07591758972934078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182</v>
      </c>
      <c r="B21" s="30" t="s">
        <v>235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236</v>
      </c>
      <c r="C22" s="51">
        <v>106920198</v>
      </c>
      <c r="D22" s="51">
        <v>118474684</v>
      </c>
      <c r="E22" s="51">
        <f aca="true" t="shared" si="2" ref="E22:E31">D22-C22</f>
        <v>11554486</v>
      </c>
      <c r="F22" s="70">
        <f aca="true" t="shared" si="3" ref="F22:F31">IF(C22=0,0,E22/C22)</f>
        <v>0.10806644783804085</v>
      </c>
    </row>
    <row r="23" spans="1:6" ht="22.5" customHeight="1">
      <c r="A23" s="25">
        <v>2</v>
      </c>
      <c r="B23" s="48" t="s">
        <v>237</v>
      </c>
      <c r="C23" s="51">
        <v>25284879</v>
      </c>
      <c r="D23" s="51">
        <v>29445026</v>
      </c>
      <c r="E23" s="51">
        <f t="shared" si="2"/>
        <v>4160147</v>
      </c>
      <c r="F23" s="70">
        <f t="shared" si="3"/>
        <v>0.16453102267169245</v>
      </c>
    </row>
    <row r="24" spans="1:7" ht="22.5" customHeight="1">
      <c r="A24" s="25">
        <v>3</v>
      </c>
      <c r="B24" s="48" t="s">
        <v>238</v>
      </c>
      <c r="C24" s="51">
        <v>2299851</v>
      </c>
      <c r="D24" s="51">
        <v>2433128</v>
      </c>
      <c r="E24" s="51">
        <f t="shared" si="2"/>
        <v>133277</v>
      </c>
      <c r="F24" s="70">
        <f t="shared" si="3"/>
        <v>0.057950275909178464</v>
      </c>
      <c r="G24" s="64"/>
    </row>
    <row r="25" spans="1:6" ht="22.5" customHeight="1">
      <c r="A25" s="25">
        <v>4</v>
      </c>
      <c r="B25" s="48" t="s">
        <v>239</v>
      </c>
      <c r="C25" s="51">
        <v>76810110</v>
      </c>
      <c r="D25" s="51">
        <v>77395962</v>
      </c>
      <c r="E25" s="51">
        <f t="shared" si="2"/>
        <v>585852</v>
      </c>
      <c r="F25" s="70">
        <f t="shared" si="3"/>
        <v>0.007627277190463599</v>
      </c>
    </row>
    <row r="26" spans="1:6" ht="22.5" customHeight="1">
      <c r="A26" s="25">
        <v>5</v>
      </c>
      <c r="B26" s="48" t="s">
        <v>240</v>
      </c>
      <c r="C26" s="51">
        <v>16814826</v>
      </c>
      <c r="D26" s="51">
        <v>17335024</v>
      </c>
      <c r="E26" s="51">
        <f t="shared" si="2"/>
        <v>520198</v>
      </c>
      <c r="F26" s="70">
        <f t="shared" si="3"/>
        <v>0.03093686488340706</v>
      </c>
    </row>
    <row r="27" spans="1:6" ht="22.5" customHeight="1">
      <c r="A27" s="25">
        <v>6</v>
      </c>
      <c r="B27" s="48" t="s">
        <v>241</v>
      </c>
      <c r="C27" s="51">
        <v>14689011</v>
      </c>
      <c r="D27" s="51">
        <v>17106501</v>
      </c>
      <c r="E27" s="51">
        <f t="shared" si="2"/>
        <v>2417490</v>
      </c>
      <c r="F27" s="70">
        <f t="shared" si="3"/>
        <v>0.16457813259177217</v>
      </c>
    </row>
    <row r="28" spans="1:6" ht="22.5" customHeight="1">
      <c r="A28" s="25">
        <v>7</v>
      </c>
      <c r="B28" s="48" t="s">
        <v>242</v>
      </c>
      <c r="C28" s="51">
        <v>3277607</v>
      </c>
      <c r="D28" s="51">
        <v>3361670</v>
      </c>
      <c r="E28" s="51">
        <f t="shared" si="2"/>
        <v>84063</v>
      </c>
      <c r="F28" s="70">
        <f t="shared" si="3"/>
        <v>0.025647675270403073</v>
      </c>
    </row>
    <row r="29" spans="1:6" ht="22.5" customHeight="1">
      <c r="A29" s="25">
        <v>8</v>
      </c>
      <c r="B29" s="48" t="s">
        <v>243</v>
      </c>
      <c r="C29" s="51">
        <v>5820329</v>
      </c>
      <c r="D29" s="51">
        <v>2735936</v>
      </c>
      <c r="E29" s="51">
        <f t="shared" si="2"/>
        <v>-3084393</v>
      </c>
      <c r="F29" s="70">
        <f t="shared" si="3"/>
        <v>-0.5299344762125989</v>
      </c>
    </row>
    <row r="30" spans="1:6" ht="22.5" customHeight="1">
      <c r="A30" s="25">
        <v>9</v>
      </c>
      <c r="B30" s="48" t="s">
        <v>244</v>
      </c>
      <c r="C30" s="51">
        <v>0</v>
      </c>
      <c r="D30" s="51">
        <v>0</v>
      </c>
      <c r="E30" s="51">
        <f t="shared" si="2"/>
        <v>0</v>
      </c>
      <c r="F30" s="70">
        <f t="shared" si="3"/>
        <v>0</v>
      </c>
    </row>
    <row r="31" spans="1:6" ht="22.5" customHeight="1">
      <c r="A31" s="29"/>
      <c r="B31" s="71" t="s">
        <v>245</v>
      </c>
      <c r="C31" s="27">
        <f>SUM(C22:C30)</f>
        <v>251916811</v>
      </c>
      <c r="D31" s="27">
        <f>SUM(D22:D30)</f>
        <v>268287931</v>
      </c>
      <c r="E31" s="27">
        <f t="shared" si="2"/>
        <v>16371120</v>
      </c>
      <c r="F31" s="28">
        <f t="shared" si="3"/>
        <v>0.06498621483422955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246</v>
      </c>
      <c r="C33" s="27">
        <f>+C19-C31</f>
        <v>4853854</v>
      </c>
      <c r="D33" s="27">
        <f>+D19-D31</f>
        <v>7976144</v>
      </c>
      <c r="E33" s="27">
        <f>D33-C33</f>
        <v>3122290</v>
      </c>
      <c r="F33" s="28">
        <f>IF(C33=0,0,E33/C33)</f>
        <v>0.6432599744450492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192</v>
      </c>
      <c r="B35" s="30" t="s">
        <v>247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248</v>
      </c>
      <c r="C36" s="51">
        <v>-12123962</v>
      </c>
      <c r="D36" s="51">
        <v>5543913</v>
      </c>
      <c r="E36" s="51">
        <f>D36-C36</f>
        <v>17667875</v>
      </c>
      <c r="F36" s="70">
        <f>IF(C36=0,0,E36/C36)</f>
        <v>-1.4572690841492244</v>
      </c>
    </row>
    <row r="37" spans="1:6" ht="22.5" customHeight="1">
      <c r="A37" s="44">
        <v>2</v>
      </c>
      <c r="B37" s="48" t="s">
        <v>249</v>
      </c>
      <c r="C37" s="51">
        <v>384478</v>
      </c>
      <c r="D37" s="51">
        <v>429646</v>
      </c>
      <c r="E37" s="51">
        <f>D37-C37</f>
        <v>45168</v>
      </c>
      <c r="F37" s="70">
        <f>IF(C37=0,0,E37/C37)</f>
        <v>0.11747876341429159</v>
      </c>
    </row>
    <row r="38" spans="1:6" ht="22.5" customHeight="1">
      <c r="A38" s="44">
        <v>3</v>
      </c>
      <c r="B38" s="48" t="s">
        <v>250</v>
      </c>
      <c r="C38" s="51">
        <v>-642331</v>
      </c>
      <c r="D38" s="51">
        <v>-366280</v>
      </c>
      <c r="E38" s="51">
        <f>D38-C38</f>
        <v>276051</v>
      </c>
      <c r="F38" s="70">
        <f>IF(C38=0,0,E38/C38)</f>
        <v>-0.4297644049563231</v>
      </c>
    </row>
    <row r="39" spans="1:6" ht="22.5" customHeight="1">
      <c r="A39" s="20"/>
      <c r="B39" s="71" t="s">
        <v>251</v>
      </c>
      <c r="C39" s="27">
        <f>SUM(C36:C38)</f>
        <v>-12381815</v>
      </c>
      <c r="D39" s="27">
        <f>SUM(D36:D38)</f>
        <v>5607279</v>
      </c>
      <c r="E39" s="27">
        <f>D39-C39</f>
        <v>17989094</v>
      </c>
      <c r="F39" s="28">
        <f>IF(C39=0,0,E39/C39)</f>
        <v>-1.4528640591060358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252</v>
      </c>
      <c r="C41" s="27">
        <f>C33+C39</f>
        <v>-7527961</v>
      </c>
      <c r="D41" s="27">
        <f>D33+D39</f>
        <v>13583423</v>
      </c>
      <c r="E41" s="27">
        <f>D41-C41</f>
        <v>21111384</v>
      </c>
      <c r="F41" s="28">
        <f>IF(C41=0,0,E41/C41)</f>
        <v>-2.804396037652161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253</v>
      </c>
      <c r="C43" s="27"/>
      <c r="D43" s="27"/>
      <c r="E43" s="27"/>
      <c r="F43" s="28"/>
    </row>
    <row r="44" spans="1:6" ht="22.5" customHeight="1">
      <c r="A44" s="44"/>
      <c r="B44" s="48" t="s">
        <v>254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255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256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257</v>
      </c>
      <c r="C48" s="27">
        <f>C41+C46</f>
        <v>-7527961</v>
      </c>
      <c r="D48" s="27">
        <f>D41+D46</f>
        <v>13583423</v>
      </c>
      <c r="E48" s="27">
        <f>D48-C48</f>
        <v>21111384</v>
      </c>
      <c r="F48" s="28">
        <f>IF(C48=0,0,E48/C48)</f>
        <v>-2.804396037652161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FILING&amp;R&amp;8BACKUS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2010-09-20T18:45:37Z</cp:lastPrinted>
  <dcterms:created xsi:type="dcterms:W3CDTF">2006-08-03T13:49:12Z</dcterms:created>
  <dcterms:modified xsi:type="dcterms:W3CDTF">2010-09-20T18:46:12Z</dcterms:modified>
  <cp:category/>
  <cp:version/>
  <cp:contentType/>
  <cp:contentStatus/>
</cp:coreProperties>
</file>