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Report485!$A$11:$F$32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C93" i="22" s="1"/>
  <c r="E91" i="22"/>
  <c r="E93" i="22" s="1"/>
  <c r="D91" i="22"/>
  <c r="D93" i="22" s="1"/>
  <c r="C91" i="22"/>
  <c r="E87" i="22"/>
  <c r="D87" i="22"/>
  <c r="C87" i="22"/>
  <c r="E86" i="22"/>
  <c r="E88" i="22"/>
  <c r="D86" i="22"/>
  <c r="D88" i="22" s="1"/>
  <c r="C86" i="22"/>
  <c r="C88" i="22" s="1"/>
  <c r="E83" i="22"/>
  <c r="E101" i="22"/>
  <c r="E103" i="22" s="1"/>
  <c r="D83" i="22"/>
  <c r="D102" i="22"/>
  <c r="C83" i="22"/>
  <c r="C101" i="22" s="1"/>
  <c r="E76" i="22"/>
  <c r="D76" i="22"/>
  <c r="C76" i="22"/>
  <c r="C77" i="22" s="1"/>
  <c r="E75" i="22"/>
  <c r="E77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4" i="22"/>
  <c r="C12" i="22"/>
  <c r="C33" i="22" s="1"/>
  <c r="D21" i="21"/>
  <c r="E21" i="21"/>
  <c r="C21" i="21"/>
  <c r="D19" i="21"/>
  <c r="E19" i="21"/>
  <c r="F19" i="21" s="1"/>
  <c r="C19" i="21"/>
  <c r="F17" i="21"/>
  <c r="E17" i="21"/>
  <c r="E15" i="21"/>
  <c r="F15" i="21" s="1"/>
  <c r="D45" i="20"/>
  <c r="E45" i="20"/>
  <c r="F45" i="20"/>
  <c r="C45" i="20"/>
  <c r="D44" i="20"/>
  <c r="E44" i="20"/>
  <c r="C44" i="20"/>
  <c r="D43" i="20"/>
  <c r="D46" i="20"/>
  <c r="C43" i="20"/>
  <c r="C46" i="20" s="1"/>
  <c r="D36" i="20"/>
  <c r="D40" i="20" s="1"/>
  <c r="C36" i="20"/>
  <c r="C40" i="20" s="1"/>
  <c r="F35" i="20"/>
  <c r="E35" i="20"/>
  <c r="E34" i="20"/>
  <c r="F33" i="20"/>
  <c r="E33" i="20"/>
  <c r="F30" i="20"/>
  <c r="E30" i="20"/>
  <c r="E29" i="20"/>
  <c r="F29" i="20" s="1"/>
  <c r="F28" i="20"/>
  <c r="E28" i="20"/>
  <c r="F27" i="20"/>
  <c r="E27" i="20"/>
  <c r="D25" i="20"/>
  <c r="D39" i="20"/>
  <c r="C25" i="20"/>
  <c r="C39" i="20"/>
  <c r="C41" i="20" s="1"/>
  <c r="F24" i="20"/>
  <c r="E24" i="20"/>
  <c r="F23" i="20"/>
  <c r="E23" i="20"/>
  <c r="E22" i="20"/>
  <c r="E25" i="20" s="1"/>
  <c r="F25" i="20" s="1"/>
  <c r="D19" i="20"/>
  <c r="D20" i="20" s="1"/>
  <c r="E20" i="20" s="1"/>
  <c r="C19" i="20"/>
  <c r="C20" i="20"/>
  <c r="F18" i="20"/>
  <c r="E18" i="20"/>
  <c r="D16" i="20"/>
  <c r="E16" i="20"/>
  <c r="C16" i="20"/>
  <c r="E15" i="20"/>
  <c r="F15" i="20" s="1"/>
  <c r="F13" i="20"/>
  <c r="E13" i="20"/>
  <c r="E12" i="20"/>
  <c r="F12" i="20" s="1"/>
  <c r="C115" i="19"/>
  <c r="C105" i="19"/>
  <c r="C137" i="19" s="1"/>
  <c r="C139" i="19" s="1"/>
  <c r="C143" i="19"/>
  <c r="C96" i="19"/>
  <c r="C95" i="19"/>
  <c r="C89" i="19"/>
  <c r="C88" i="19"/>
  <c r="C83" i="19"/>
  <c r="C77" i="19"/>
  <c r="C78" i="19"/>
  <c r="C64" i="19"/>
  <c r="C65" i="19" s="1"/>
  <c r="C114" i="19" s="1"/>
  <c r="C116" i="19" s="1"/>
  <c r="C119" i="19" s="1"/>
  <c r="C123" i="19" s="1"/>
  <c r="C63" i="19"/>
  <c r="C60" i="19"/>
  <c r="C59" i="19"/>
  <c r="C48" i="19"/>
  <c r="C49" i="19" s="1"/>
  <c r="C36" i="19"/>
  <c r="C32" i="19"/>
  <c r="C33" i="19"/>
  <c r="C21" i="19"/>
  <c r="C37" i="19"/>
  <c r="E328" i="18"/>
  <c r="E325" i="18"/>
  <c r="D324" i="18"/>
  <c r="D326" i="18" s="1"/>
  <c r="C324" i="18"/>
  <c r="E318" i="18"/>
  <c r="E315" i="18"/>
  <c r="D314" i="18"/>
  <c r="E314" i="18"/>
  <c r="C314" i="18"/>
  <c r="C316" i="18"/>
  <c r="C320" i="18" s="1"/>
  <c r="E308" i="18"/>
  <c r="E305" i="18"/>
  <c r="D301" i="18"/>
  <c r="C301" i="18"/>
  <c r="D293" i="18"/>
  <c r="E293" i="18" s="1"/>
  <c r="C293" i="18"/>
  <c r="D292" i="18"/>
  <c r="C292" i="18"/>
  <c r="E292" i="18" s="1"/>
  <c r="D291" i="18"/>
  <c r="E291" i="18"/>
  <c r="C291" i="18"/>
  <c r="D290" i="18"/>
  <c r="C290" i="18"/>
  <c r="E290" i="18" s="1"/>
  <c r="D288" i="18"/>
  <c r="E288" i="18" s="1"/>
  <c r="C288" i="18"/>
  <c r="D287" i="18"/>
  <c r="E287" i="18"/>
  <c r="C287" i="18"/>
  <c r="D282" i="18"/>
  <c r="C282" i="18"/>
  <c r="E282" i="18"/>
  <c r="D281" i="18"/>
  <c r="E281" i="18" s="1"/>
  <c r="C281" i="18"/>
  <c r="D280" i="18"/>
  <c r="E280" i="18" s="1"/>
  <c r="C280" i="18"/>
  <c r="D279" i="18"/>
  <c r="C279" i="18"/>
  <c r="E279" i="18" s="1"/>
  <c r="D278" i="18"/>
  <c r="C278" i="18"/>
  <c r="E278" i="18" s="1"/>
  <c r="D277" i="18"/>
  <c r="E277" i="18"/>
  <c r="C277" i="18"/>
  <c r="D276" i="18"/>
  <c r="C276" i="18"/>
  <c r="E270" i="18"/>
  <c r="D265" i="18"/>
  <c r="C265" i="18"/>
  <c r="C302" i="18" s="1"/>
  <c r="D262" i="18"/>
  <c r="C262" i="18"/>
  <c r="D251" i="18"/>
  <c r="C251" i="18"/>
  <c r="C244" i="18"/>
  <c r="D233" i="18"/>
  <c r="C233" i="18"/>
  <c r="D232" i="18"/>
  <c r="E232" i="18"/>
  <c r="C232" i="18"/>
  <c r="D231" i="18"/>
  <c r="C231" i="18"/>
  <c r="C252" i="18" s="1"/>
  <c r="D230" i="18"/>
  <c r="E230" i="18" s="1"/>
  <c r="C230" i="18"/>
  <c r="D228" i="18"/>
  <c r="E228" i="18" s="1"/>
  <c r="C228" i="18"/>
  <c r="D227" i="18"/>
  <c r="C227" i="18"/>
  <c r="E227" i="18"/>
  <c r="D221" i="18"/>
  <c r="C221" i="18"/>
  <c r="C245" i="18" s="1"/>
  <c r="D220" i="18"/>
  <c r="C220" i="18"/>
  <c r="D219" i="18"/>
  <c r="E219" i="18"/>
  <c r="C219" i="18"/>
  <c r="C243" i="18"/>
  <c r="D218" i="18"/>
  <c r="D242" i="18" s="1"/>
  <c r="C218" i="18"/>
  <c r="C217" i="18" s="1"/>
  <c r="D216" i="18"/>
  <c r="D240" i="18"/>
  <c r="C216" i="18"/>
  <c r="C240" i="18"/>
  <c r="D215" i="18"/>
  <c r="E215" i="18"/>
  <c r="C215" i="18"/>
  <c r="C239" i="18" s="1"/>
  <c r="E209" i="18"/>
  <c r="E208" i="18"/>
  <c r="E207" i="18"/>
  <c r="E206" i="18"/>
  <c r="D205" i="18"/>
  <c r="D210" i="18" s="1"/>
  <c r="D229" i="18"/>
  <c r="E229" i="18" s="1"/>
  <c r="C205" i="18"/>
  <c r="C210" i="18"/>
  <c r="E204" i="18"/>
  <c r="E203" i="18"/>
  <c r="E197" i="18"/>
  <c r="E196" i="18"/>
  <c r="D195" i="18"/>
  <c r="C195" i="18"/>
  <c r="E194" i="18"/>
  <c r="E193" i="18"/>
  <c r="E192" i="18"/>
  <c r="E191" i="18"/>
  <c r="E190" i="18"/>
  <c r="D188" i="18"/>
  <c r="D189" i="18" s="1"/>
  <c r="C188" i="18"/>
  <c r="E186" i="18"/>
  <c r="E185" i="18"/>
  <c r="D179" i="18"/>
  <c r="E179" i="18"/>
  <c r="C179" i="18"/>
  <c r="D178" i="18"/>
  <c r="C178" i="18"/>
  <c r="E178" i="18" s="1"/>
  <c r="D177" i="18"/>
  <c r="E177" i="18"/>
  <c r="C177" i="18"/>
  <c r="D176" i="18"/>
  <c r="E176" i="18" s="1"/>
  <c r="C176" i="18"/>
  <c r="D175" i="18"/>
  <c r="D174" i="18"/>
  <c r="E174" i="18" s="1"/>
  <c r="C174" i="18"/>
  <c r="D173" i="18"/>
  <c r="E173" i="18"/>
  <c r="C173" i="18"/>
  <c r="D167" i="18"/>
  <c r="C167" i="18"/>
  <c r="E167" i="18"/>
  <c r="D166" i="18"/>
  <c r="E166" i="18"/>
  <c r="C166" i="18"/>
  <c r="D165" i="18"/>
  <c r="E165" i="18" s="1"/>
  <c r="C165" i="18"/>
  <c r="D164" i="18"/>
  <c r="E164" i="18" s="1"/>
  <c r="C164" i="18"/>
  <c r="D162" i="18"/>
  <c r="E162" i="18" s="1"/>
  <c r="C162" i="18"/>
  <c r="D161" i="18"/>
  <c r="E161" i="18" s="1"/>
  <c r="C161" i="18"/>
  <c r="C156" i="18"/>
  <c r="C157" i="18" s="1"/>
  <c r="E155" i="18"/>
  <c r="E154" i="18"/>
  <c r="E153" i="18"/>
  <c r="E152" i="18"/>
  <c r="D151" i="18"/>
  <c r="D156" i="18"/>
  <c r="C151" i="18"/>
  <c r="E150" i="18"/>
  <c r="E149" i="18"/>
  <c r="D168" i="18"/>
  <c r="E143" i="18"/>
  <c r="E142" i="18"/>
  <c r="E141" i="18"/>
  <c r="E140" i="18"/>
  <c r="D139" i="18"/>
  <c r="D144" i="18" s="1"/>
  <c r="D163" i="18"/>
  <c r="C139" i="18"/>
  <c r="C163" i="18"/>
  <c r="E138" i="18"/>
  <c r="E137" i="18"/>
  <c r="D75" i="18"/>
  <c r="E75" i="18"/>
  <c r="C75" i="18"/>
  <c r="D74" i="18"/>
  <c r="E74" i="18" s="1"/>
  <c r="C74" i="18"/>
  <c r="D73" i="18"/>
  <c r="E73" i="18"/>
  <c r="C73" i="18"/>
  <c r="D72" i="18"/>
  <c r="C72" i="18"/>
  <c r="E72" i="18"/>
  <c r="D71" i="18"/>
  <c r="D70" i="18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4" i="18"/>
  <c r="C54" i="18"/>
  <c r="C55" i="18"/>
  <c r="E53" i="18"/>
  <c r="E52" i="18"/>
  <c r="E51" i="18"/>
  <c r="E50" i="18"/>
  <c r="E49" i="18"/>
  <c r="E48" i="18"/>
  <c r="E47" i="18"/>
  <c r="D42" i="18"/>
  <c r="C42" i="18"/>
  <c r="E42" i="18"/>
  <c r="D41" i="18"/>
  <c r="C41" i="18"/>
  <c r="C43" i="18" s="1"/>
  <c r="D40" i="18"/>
  <c r="E40" i="18" s="1"/>
  <c r="C40" i="18"/>
  <c r="D39" i="18"/>
  <c r="E39" i="18"/>
  <c r="C39" i="18"/>
  <c r="D38" i="18"/>
  <c r="C38" i="18"/>
  <c r="E38" i="18"/>
  <c r="D37" i="18"/>
  <c r="E37" i="18"/>
  <c r="C37" i="18"/>
  <c r="D36" i="18"/>
  <c r="C36" i="18"/>
  <c r="E36" i="18"/>
  <c r="D33" i="18"/>
  <c r="D295" i="18" s="1"/>
  <c r="D32" i="18"/>
  <c r="C32" i="18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F335" i="17"/>
  <c r="E335" i="17"/>
  <c r="E334" i="17"/>
  <c r="F334" i="17" s="1"/>
  <c r="F333" i="17"/>
  <c r="E333" i="17"/>
  <c r="F332" i="17"/>
  <c r="E332" i="17"/>
  <c r="E331" i="17"/>
  <c r="F331" i="17" s="1"/>
  <c r="E330" i="17"/>
  <c r="F330" i="17" s="1"/>
  <c r="F329" i="17"/>
  <c r="E329" i="17"/>
  <c r="F316" i="17"/>
  <c r="E316" i="17"/>
  <c r="D311" i="17"/>
  <c r="C311" i="17"/>
  <c r="F311" i="17" s="1"/>
  <c r="F308" i="17"/>
  <c r="E308" i="17"/>
  <c r="D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E306" i="17"/>
  <c r="C250" i="17"/>
  <c r="C306" i="17" s="1"/>
  <c r="E249" i="17"/>
  <c r="F249" i="17" s="1"/>
  <c r="E248" i="17"/>
  <c r="F248" i="17" s="1"/>
  <c r="F245" i="17"/>
  <c r="E245" i="17"/>
  <c r="F244" i="17"/>
  <c r="E244" i="17"/>
  <c r="E243" i="17"/>
  <c r="F243" i="17" s="1"/>
  <c r="D238" i="17"/>
  <c r="C238" i="17"/>
  <c r="D237" i="17"/>
  <c r="D239" i="17" s="1"/>
  <c r="C237" i="17"/>
  <c r="C239" i="17" s="1"/>
  <c r="E234" i="17"/>
  <c r="F234" i="17" s="1"/>
  <c r="E233" i="17"/>
  <c r="F233" i="17" s="1"/>
  <c r="D230" i="17"/>
  <c r="E230" i="17" s="1"/>
  <c r="F230" i="17"/>
  <c r="C230" i="17"/>
  <c r="D229" i="17"/>
  <c r="C229" i="17"/>
  <c r="E228" i="17"/>
  <c r="F228" i="17" s="1"/>
  <c r="D226" i="17"/>
  <c r="D227" i="17" s="1"/>
  <c r="C226" i="17"/>
  <c r="C227" i="17"/>
  <c r="E225" i="17"/>
  <c r="F225" i="17"/>
  <c r="E224" i="17"/>
  <c r="F224" i="17" s="1"/>
  <c r="D223" i="17"/>
  <c r="E223" i="17"/>
  <c r="C223" i="17"/>
  <c r="E222" i="17"/>
  <c r="F222" i="17"/>
  <c r="E221" i="17"/>
  <c r="F221" i="17" s="1"/>
  <c r="D204" i="17"/>
  <c r="E204" i="17"/>
  <c r="C204" i="17"/>
  <c r="D203" i="17"/>
  <c r="C203" i="17"/>
  <c r="C283" i="17"/>
  <c r="D198" i="17"/>
  <c r="C198" i="17"/>
  <c r="D191" i="17"/>
  <c r="D280" i="17" s="1"/>
  <c r="C191" i="17"/>
  <c r="C280" i="17"/>
  <c r="D189" i="17"/>
  <c r="D278" i="17"/>
  <c r="C189" i="17"/>
  <c r="C278" i="17"/>
  <c r="D188" i="17"/>
  <c r="D277" i="17" s="1"/>
  <c r="C188" i="17"/>
  <c r="C277" i="17" s="1"/>
  <c r="D180" i="17"/>
  <c r="E180" i="17" s="1"/>
  <c r="C180" i="17"/>
  <c r="F180" i="17" s="1"/>
  <c r="D179" i="17"/>
  <c r="C179" i="17"/>
  <c r="D171" i="17"/>
  <c r="E171" i="17" s="1"/>
  <c r="C171" i="17"/>
  <c r="F171" i="17" s="1"/>
  <c r="C172" i="17"/>
  <c r="C173" i="17"/>
  <c r="F173" i="17" s="1"/>
  <c r="D170" i="17"/>
  <c r="C170" i="17"/>
  <c r="F169" i="17"/>
  <c r="E169" i="17"/>
  <c r="F168" i="17"/>
  <c r="E168" i="17"/>
  <c r="D165" i="17"/>
  <c r="E165" i="17"/>
  <c r="C165" i="17"/>
  <c r="F165" i="17" s="1"/>
  <c r="F164" i="17"/>
  <c r="D164" i="17"/>
  <c r="E164" i="17" s="1"/>
  <c r="C164" i="17"/>
  <c r="F163" i="17"/>
  <c r="E163" i="17"/>
  <c r="D158" i="17"/>
  <c r="C158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D144" i="17"/>
  <c r="C144" i="17"/>
  <c r="C146" i="17" s="1"/>
  <c r="D136" i="17"/>
  <c r="E136" i="17"/>
  <c r="C136" i="17"/>
  <c r="D135" i="17"/>
  <c r="E135" i="17" s="1"/>
  <c r="C135" i="17"/>
  <c r="E134" i="17"/>
  <c r="F134" i="17" s="1"/>
  <c r="E133" i="17"/>
  <c r="F133" i="17" s="1"/>
  <c r="D130" i="17"/>
  <c r="E130" i="17"/>
  <c r="C130" i="17"/>
  <c r="D129" i="17"/>
  <c r="E129" i="17" s="1"/>
  <c r="F129" i="17" s="1"/>
  <c r="C129" i="17"/>
  <c r="E128" i="17"/>
  <c r="F128" i="17" s="1"/>
  <c r="D123" i="17"/>
  <c r="D192" i="17"/>
  <c r="D193" i="17" s="1"/>
  <c r="D266" i="17" s="1"/>
  <c r="C123" i="17"/>
  <c r="E122" i="17"/>
  <c r="F122" i="17" s="1"/>
  <c r="E121" i="17"/>
  <c r="F121" i="17" s="1"/>
  <c r="D120" i="17"/>
  <c r="E120" i="17" s="1"/>
  <c r="C120" i="17"/>
  <c r="E119" i="17"/>
  <c r="F119" i="17" s="1"/>
  <c r="E118" i="17"/>
  <c r="F118" i="17" s="1"/>
  <c r="D110" i="17"/>
  <c r="C110" i="17"/>
  <c r="D109" i="17"/>
  <c r="C109" i="17"/>
  <c r="D101" i="17"/>
  <c r="D102" i="17" s="1"/>
  <c r="C101" i="17"/>
  <c r="C102" i="17" s="1"/>
  <c r="D100" i="17"/>
  <c r="C100" i="17"/>
  <c r="F99" i="17"/>
  <c r="E99" i="17"/>
  <c r="F98" i="17"/>
  <c r="E98" i="17"/>
  <c r="D95" i="17"/>
  <c r="C95" i="17"/>
  <c r="D94" i="17"/>
  <c r="C94" i="17"/>
  <c r="E93" i="17"/>
  <c r="F93" i="17" s="1"/>
  <c r="D88" i="17"/>
  <c r="D89" i="17"/>
  <c r="C88" i="17"/>
  <c r="F87" i="17"/>
  <c r="E87" i="17"/>
  <c r="E86" i="17"/>
  <c r="F86" i="17" s="1"/>
  <c r="D85" i="17"/>
  <c r="E85" i="17"/>
  <c r="F85" i="17"/>
  <c r="C85" i="17"/>
  <c r="F84" i="17"/>
  <c r="E84" i="17"/>
  <c r="E83" i="17"/>
  <c r="F83" i="17" s="1"/>
  <c r="D76" i="17"/>
  <c r="D77" i="17"/>
  <c r="C76" i="17"/>
  <c r="C77" i="17" s="1"/>
  <c r="E74" i="17"/>
  <c r="F74" i="17" s="1"/>
  <c r="E73" i="17"/>
  <c r="F73" i="17"/>
  <c r="D67" i="17"/>
  <c r="C67" i="17"/>
  <c r="C68" i="17" s="1"/>
  <c r="D66" i="17"/>
  <c r="D68" i="17" s="1"/>
  <c r="C66" i="17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/>
  <c r="E46" i="17"/>
  <c r="F46" i="17" s="1"/>
  <c r="E45" i="17"/>
  <c r="F45" i="17" s="1"/>
  <c r="D44" i="17"/>
  <c r="E44" i="17" s="1"/>
  <c r="C44" i="17"/>
  <c r="E43" i="17"/>
  <c r="F43" i="17" s="1"/>
  <c r="E42" i="17"/>
  <c r="F42" i="17"/>
  <c r="D36" i="17"/>
  <c r="C36" i="17"/>
  <c r="D35" i="17"/>
  <c r="C35" i="17"/>
  <c r="D30" i="17"/>
  <c r="D31" i="17"/>
  <c r="C30" i="17"/>
  <c r="C31" i="17" s="1"/>
  <c r="D29" i="17"/>
  <c r="C29" i="17"/>
  <c r="E29" i="17"/>
  <c r="E28" i="17"/>
  <c r="F28" i="17" s="1"/>
  <c r="E27" i="17"/>
  <c r="F27" i="17"/>
  <c r="D24" i="17"/>
  <c r="E24" i="17" s="1"/>
  <c r="C24" i="17"/>
  <c r="D23" i="17"/>
  <c r="E23" i="17" s="1"/>
  <c r="F23" i="17" s="1"/>
  <c r="C23" i="17"/>
  <c r="E22" i="17"/>
  <c r="F22" i="17" s="1"/>
  <c r="D20" i="17"/>
  <c r="C20" i="17"/>
  <c r="E19" i="17"/>
  <c r="F19" i="17"/>
  <c r="E18" i="17"/>
  <c r="F18" i="17" s="1"/>
  <c r="D17" i="17"/>
  <c r="C17" i="17"/>
  <c r="E16" i="17"/>
  <c r="F16" i="17"/>
  <c r="E15" i="17"/>
  <c r="F15" i="17"/>
  <c r="D25" i="16"/>
  <c r="C25" i="16"/>
  <c r="F24" i="16"/>
  <c r="E24" i="16"/>
  <c r="F23" i="16"/>
  <c r="E23" i="16"/>
  <c r="F22" i="16"/>
  <c r="E22" i="16"/>
  <c r="D19" i="16"/>
  <c r="E19" i="16"/>
  <c r="F19" i="16" s="1"/>
  <c r="C19" i="16"/>
  <c r="F18" i="16"/>
  <c r="E18" i="16"/>
  <c r="F17" i="16"/>
  <c r="E17" i="16"/>
  <c r="D14" i="16"/>
  <c r="E14" i="16"/>
  <c r="F14" i="16" s="1"/>
  <c r="C14" i="16"/>
  <c r="F13" i="16"/>
  <c r="E13" i="16"/>
  <c r="F12" i="16"/>
  <c r="E12" i="16"/>
  <c r="D107" i="15"/>
  <c r="E107" i="15"/>
  <c r="F107" i="15" s="1"/>
  <c r="C107" i="15"/>
  <c r="F106" i="15"/>
  <c r="E106" i="15"/>
  <c r="F105" i="15"/>
  <c r="E105" i="15"/>
  <c r="E104" i="15"/>
  <c r="F104" i="15" s="1"/>
  <c r="D100" i="15"/>
  <c r="E100" i="15" s="1"/>
  <c r="F100" i="15" s="1"/>
  <c r="C100" i="15"/>
  <c r="F99" i="15"/>
  <c r="E99" i="15"/>
  <c r="E98" i="15"/>
  <c r="F98" i="15" s="1"/>
  <c r="F97" i="15"/>
  <c r="E97" i="15"/>
  <c r="F96" i="15"/>
  <c r="E96" i="15"/>
  <c r="F95" i="15"/>
  <c r="E95" i="15"/>
  <c r="D92" i="15"/>
  <c r="E92" i="15"/>
  <c r="F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3" i="15"/>
  <c r="E73" i="15"/>
  <c r="D70" i="15"/>
  <c r="E70" i="15"/>
  <c r="C70" i="15"/>
  <c r="F69" i="15"/>
  <c r="E69" i="15"/>
  <c r="F68" i="15"/>
  <c r="E68" i="15"/>
  <c r="D65" i="15"/>
  <c r="C65" i="15"/>
  <c r="F64" i="15"/>
  <c r="E64" i="15"/>
  <c r="F63" i="15"/>
  <c r="E63" i="15"/>
  <c r="D60" i="15"/>
  <c r="C60" i="15"/>
  <c r="E59" i="15"/>
  <c r="F58" i="15"/>
  <c r="E58" i="15"/>
  <c r="D55" i="15"/>
  <c r="E55" i="15"/>
  <c r="C55" i="15"/>
  <c r="F54" i="15"/>
  <c r="E54" i="15"/>
  <c r="F53" i="15"/>
  <c r="E53" i="15"/>
  <c r="D50" i="15"/>
  <c r="E50" i="15" s="1"/>
  <c r="C50" i="15"/>
  <c r="F49" i="15"/>
  <c r="E49" i="15"/>
  <c r="F48" i="15"/>
  <c r="E48" i="15"/>
  <c r="D45" i="15"/>
  <c r="E45" i="15"/>
  <c r="C45" i="15"/>
  <c r="F44" i="15"/>
  <c r="E44" i="15"/>
  <c r="F43" i="15"/>
  <c r="E43" i="15"/>
  <c r="D37" i="15"/>
  <c r="C37" i="15"/>
  <c r="F36" i="15"/>
  <c r="E36" i="15"/>
  <c r="F35" i="15"/>
  <c r="E35" i="15"/>
  <c r="F34" i="15"/>
  <c r="E34" i="15"/>
  <c r="E33" i="15"/>
  <c r="F33" i="15" s="1"/>
  <c r="D30" i="15"/>
  <c r="E30" i="15" s="1"/>
  <c r="F30" i="15" s="1"/>
  <c r="C30" i="15"/>
  <c r="F29" i="15"/>
  <c r="E29" i="15"/>
  <c r="E28" i="15"/>
  <c r="F28" i="15" s="1"/>
  <c r="F27" i="15"/>
  <c r="E27" i="15"/>
  <c r="F26" i="15"/>
  <c r="E26" i="15"/>
  <c r="D23" i="15"/>
  <c r="E23" i="15"/>
  <c r="C23" i="15"/>
  <c r="F22" i="15"/>
  <c r="E22" i="15"/>
  <c r="F21" i="15"/>
  <c r="E21" i="15"/>
  <c r="F20" i="15"/>
  <c r="E20" i="15"/>
  <c r="E19" i="15"/>
  <c r="F19" i="15" s="1"/>
  <c r="D16" i="15"/>
  <c r="E16" i="15" s="1"/>
  <c r="F16" i="15" s="1"/>
  <c r="C16" i="15"/>
  <c r="F15" i="15"/>
  <c r="E15" i="15"/>
  <c r="E14" i="15"/>
  <c r="F14" i="15" s="1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/>
  <c r="E17" i="14"/>
  <c r="E31" i="14"/>
  <c r="D17" i="14"/>
  <c r="D33" i="14" s="1"/>
  <c r="D36" i="14" s="1"/>
  <c r="D38" i="14" s="1"/>
  <c r="D40" i="14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 s="1"/>
  <c r="D77" i="13" s="1"/>
  <c r="C78" i="13"/>
  <c r="C80" i="13" s="1"/>
  <c r="C77" i="13" s="1"/>
  <c r="C75" i="13"/>
  <c r="E73" i="13"/>
  <c r="E75" i="13" s="1"/>
  <c r="D73" i="13"/>
  <c r="D75" i="13"/>
  <c r="C73" i="13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9" i="13"/>
  <c r="E61" i="13" s="1"/>
  <c r="E57" i="13" s="1"/>
  <c r="C59" i="13"/>
  <c r="C61" i="13" s="1"/>
  <c r="C57" i="13" s="1"/>
  <c r="E58" i="13"/>
  <c r="D58" i="13"/>
  <c r="C58" i="13"/>
  <c r="E55" i="13"/>
  <c r="E50" i="13" s="1"/>
  <c r="D55" i="13"/>
  <c r="D50" i="13" s="1"/>
  <c r="C55" i="13"/>
  <c r="C50" i="13" s="1"/>
  <c r="E54" i="13"/>
  <c r="D54" i="13"/>
  <c r="C54" i="13"/>
  <c r="E48" i="13"/>
  <c r="E42" i="13"/>
  <c r="E46" i="13"/>
  <c r="D46" i="13"/>
  <c r="D59" i="13" s="1"/>
  <c r="D61" i="13" s="1"/>
  <c r="D57" i="13"/>
  <c r="C46" i="13"/>
  <c r="C48" i="13" s="1"/>
  <c r="C42" i="13" s="1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C25" i="13"/>
  <c r="C27" i="13" s="1"/>
  <c r="C15" i="13"/>
  <c r="C24" i="13" s="1"/>
  <c r="E13" i="13"/>
  <c r="E15" i="13" s="1"/>
  <c r="E24" i="13" s="1"/>
  <c r="D13" i="13"/>
  <c r="C13" i="13"/>
  <c r="D47" i="12"/>
  <c r="E47" i="12"/>
  <c r="F47" i="12" s="1"/>
  <c r="C47" i="12"/>
  <c r="F46" i="12"/>
  <c r="E46" i="12"/>
  <c r="E45" i="12"/>
  <c r="F45" i="12" s="1"/>
  <c r="D40" i="12"/>
  <c r="E40" i="12"/>
  <c r="F40" i="12"/>
  <c r="C40" i="12"/>
  <c r="E39" i="12"/>
  <c r="F39" i="12" s="1"/>
  <c r="F38" i="12"/>
  <c r="E38" i="12"/>
  <c r="E37" i="12"/>
  <c r="F37" i="12" s="1"/>
  <c r="D32" i="12"/>
  <c r="C32" i="12"/>
  <c r="E31" i="12"/>
  <c r="F31" i="12" s="1"/>
  <c r="E30" i="12"/>
  <c r="F30" i="12" s="1"/>
  <c r="F29" i="12"/>
  <c r="E29" i="12"/>
  <c r="F28" i="12"/>
  <c r="E28" i="12"/>
  <c r="E27" i="12"/>
  <c r="F27" i="12" s="1"/>
  <c r="E26" i="12"/>
  <c r="F26" i="12" s="1"/>
  <c r="F25" i="12"/>
  <c r="E25" i="12"/>
  <c r="F24" i="12"/>
  <c r="E24" i="12"/>
  <c r="E23" i="12"/>
  <c r="F23" i="12" s="1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E12" i="12"/>
  <c r="F12" i="12" s="1"/>
  <c r="E11" i="12"/>
  <c r="F11" i="12" s="1"/>
  <c r="D73" i="11"/>
  <c r="C73" i="11"/>
  <c r="E72" i="11"/>
  <c r="F72" i="11" s="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C61" i="11"/>
  <c r="E61" i="11" s="1"/>
  <c r="E60" i="11"/>
  <c r="F60" i="11" s="1"/>
  <c r="F59" i="11"/>
  <c r="E59" i="11"/>
  <c r="D56" i="11"/>
  <c r="D75" i="11"/>
  <c r="C56" i="11"/>
  <c r="E55" i="11"/>
  <c r="F55" i="11" s="1"/>
  <c r="F54" i="11"/>
  <c r="E54" i="11"/>
  <c r="E53" i="11"/>
  <c r="F53" i="11" s="1"/>
  <c r="F52" i="11"/>
  <c r="E52" i="11"/>
  <c r="F51" i="11"/>
  <c r="E51" i="11"/>
  <c r="E50" i="11"/>
  <c r="F50" i="11"/>
  <c r="A50" i="11"/>
  <c r="A51" i="11" s="1"/>
  <c r="A52" i="11" s="1"/>
  <c r="A53" i="11" s="1"/>
  <c r="A54" i="11" s="1"/>
  <c r="A55" i="11" s="1"/>
  <c r="F49" i="11"/>
  <c r="E49" i="11"/>
  <c r="E40" i="11"/>
  <c r="F40" i="11" s="1"/>
  <c r="D38" i="11"/>
  <c r="D41" i="11"/>
  <c r="C38" i="11"/>
  <c r="C41" i="11"/>
  <c r="F37" i="11"/>
  <c r="E37" i="11"/>
  <c r="E36" i="11"/>
  <c r="F36" i="11" s="1"/>
  <c r="E33" i="11"/>
  <c r="F33" i="11" s="1"/>
  <c r="E32" i="11"/>
  <c r="F32" i="11" s="1"/>
  <c r="F31" i="11"/>
  <c r="E31" i="11"/>
  <c r="D29" i="11"/>
  <c r="C29" i="11"/>
  <c r="F28" i="11"/>
  <c r="E28" i="11"/>
  <c r="F27" i="11"/>
  <c r="E27" i="11"/>
  <c r="E26" i="11"/>
  <c r="F26" i="11" s="1"/>
  <c r="E25" i="11"/>
  <c r="F25" i="11" s="1"/>
  <c r="D22" i="11"/>
  <c r="C22" i="11"/>
  <c r="F21" i="11"/>
  <c r="E21" i="1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E120" i="10" s="1"/>
  <c r="C120" i="10"/>
  <c r="D119" i="10"/>
  <c r="E119" i="10" s="1"/>
  <c r="C119" i="10"/>
  <c r="D118" i="10"/>
  <c r="E118" i="10" s="1"/>
  <c r="C118" i="10"/>
  <c r="D117" i="10"/>
  <c r="C117" i="10"/>
  <c r="D116" i="10"/>
  <c r="E116" i="10" s="1"/>
  <c r="C116" i="10"/>
  <c r="D115" i="10"/>
  <c r="E115" i="10" s="1"/>
  <c r="C115" i="10"/>
  <c r="D114" i="10"/>
  <c r="E114" i="10" s="1"/>
  <c r="C114" i="10"/>
  <c r="D113" i="10"/>
  <c r="D122" i="10" s="1"/>
  <c r="C113" i="10"/>
  <c r="C122" i="10"/>
  <c r="D112" i="10"/>
  <c r="C112" i="10"/>
  <c r="C121" i="10" s="1"/>
  <c r="D108" i="10"/>
  <c r="E108" i="10"/>
  <c r="F108" i="10" s="1"/>
  <c r="C108" i="10"/>
  <c r="D107" i="10"/>
  <c r="C107" i="10"/>
  <c r="E107" i="10" s="1"/>
  <c r="F107" i="10" s="1"/>
  <c r="E106" i="10"/>
  <c r="F106" i="10" s="1"/>
  <c r="F105" i="10"/>
  <c r="E105" i="10"/>
  <c r="E104" i="10"/>
  <c r="F104" i="10" s="1"/>
  <c r="F103" i="10"/>
  <c r="E103" i="10"/>
  <c r="E102" i="10"/>
  <c r="F102" i="10" s="1"/>
  <c r="F101" i="10"/>
  <c r="E101" i="10"/>
  <c r="E100" i="10"/>
  <c r="F100" i="10" s="1"/>
  <c r="E99" i="10"/>
  <c r="F99" i="10" s="1"/>
  <c r="E98" i="10"/>
  <c r="F98" i="10" s="1"/>
  <c r="D96" i="10"/>
  <c r="E96" i="10" s="1"/>
  <c r="C96" i="10"/>
  <c r="F96" i="10" s="1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E84" i="10"/>
  <c r="C84" i="10"/>
  <c r="F84" i="10" s="1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C72" i="10"/>
  <c r="E72" i="10" s="1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F60" i="10"/>
  <c r="C60" i="10"/>
  <c r="D59" i="10"/>
  <c r="E59" i="10" s="1"/>
  <c r="F59" i="10" s="1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D47" i="10"/>
  <c r="E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F36" i="10"/>
  <c r="C36" i="10"/>
  <c r="D35" i="10"/>
  <c r="E35" i="10" s="1"/>
  <c r="C35" i="10"/>
  <c r="F34" i="10"/>
  <c r="E34" i="10"/>
  <c r="F33" i="10"/>
  <c r="E33" i="10"/>
  <c r="E32" i="10"/>
  <c r="F32" i="10" s="1"/>
  <c r="E31" i="10"/>
  <c r="F31" i="10" s="1"/>
  <c r="F30" i="10"/>
  <c r="E30" i="10"/>
  <c r="F29" i="10"/>
  <c r="E29" i="10"/>
  <c r="E28" i="10"/>
  <c r="F28" i="10" s="1"/>
  <c r="E27" i="10"/>
  <c r="F27" i="10" s="1"/>
  <c r="F26" i="10"/>
  <c r="E26" i="10"/>
  <c r="D24" i="10"/>
  <c r="C24" i="10"/>
  <c r="F24" i="10" s="1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 s="1"/>
  <c r="C206" i="9"/>
  <c r="D205" i="9"/>
  <c r="E205" i="9"/>
  <c r="C205" i="9"/>
  <c r="D204" i="9"/>
  <c r="C204" i="9"/>
  <c r="D203" i="9"/>
  <c r="C203" i="9"/>
  <c r="D202" i="9"/>
  <c r="C202" i="9"/>
  <c r="D201" i="9"/>
  <c r="E201" i="9" s="1"/>
  <c r="C201" i="9"/>
  <c r="D200" i="9"/>
  <c r="E200" i="9"/>
  <c r="F200" i="9"/>
  <c r="C200" i="9"/>
  <c r="D199" i="9"/>
  <c r="D208" i="9" s="1"/>
  <c r="C199" i="9"/>
  <c r="D198" i="9"/>
  <c r="D207" i="9"/>
  <c r="C198" i="9"/>
  <c r="C207" i="9" s="1"/>
  <c r="D193" i="9"/>
  <c r="C193" i="9"/>
  <c r="F193" i="9" s="1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/>
  <c r="C180" i="9"/>
  <c r="F180" i="9" s="1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 s="1"/>
  <c r="C154" i="9"/>
  <c r="D153" i="9"/>
  <c r="E153" i="9" s="1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C141" i="9"/>
  <c r="D140" i="9"/>
  <c r="E140" i="9" s="1"/>
  <c r="C140" i="9"/>
  <c r="E139" i="9"/>
  <c r="F139" i="9" s="1"/>
  <c r="E138" i="9"/>
  <c r="F138" i="9" s="1"/>
  <c r="F137" i="9"/>
  <c r="E137" i="9"/>
  <c r="E136" i="9"/>
  <c r="F136" i="9" s="1"/>
  <c r="E135" i="9"/>
  <c r="F135" i="9" s="1"/>
  <c r="E134" i="9"/>
  <c r="F134" i="9" s="1"/>
  <c r="E133" i="9"/>
  <c r="F133" i="9" s="1"/>
  <c r="F132" i="9"/>
  <c r="E132" i="9"/>
  <c r="E131" i="9"/>
  <c r="F131" i="9" s="1"/>
  <c r="D128" i="9"/>
  <c r="E128" i="9"/>
  <c r="F128" i="9"/>
  <c r="C128" i="9"/>
  <c r="D127" i="9"/>
  <c r="E127" i="9"/>
  <c r="C127" i="9"/>
  <c r="E126" i="9"/>
  <c r="F126" i="9" s="1"/>
  <c r="F125" i="9"/>
  <c r="E125" i="9"/>
  <c r="F124" i="9"/>
  <c r="E124" i="9"/>
  <c r="E123" i="9"/>
  <c r="F123" i="9" s="1"/>
  <c r="E122" i="9"/>
  <c r="F122" i="9" s="1"/>
  <c r="E121" i="9"/>
  <c r="F121" i="9" s="1"/>
  <c r="F120" i="9"/>
  <c r="E120" i="9"/>
  <c r="E119" i="9"/>
  <c r="F119" i="9" s="1"/>
  <c r="E118" i="9"/>
  <c r="F118" i="9" s="1"/>
  <c r="D115" i="9"/>
  <c r="C115" i="9"/>
  <c r="D114" i="9"/>
  <c r="C114" i="9"/>
  <c r="E113" i="9"/>
  <c r="F113" i="9" s="1"/>
  <c r="F112" i="9"/>
  <c r="E112" i="9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F105" i="9"/>
  <c r="E105" i="9"/>
  <c r="D102" i="9"/>
  <c r="E102" i="9"/>
  <c r="C102" i="9"/>
  <c r="D101" i="9"/>
  <c r="C101" i="9"/>
  <c r="F100" i="9"/>
  <c r="E100" i="9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F93" i="9"/>
  <c r="E93" i="9"/>
  <c r="E92" i="9"/>
  <c r="F92" i="9" s="1"/>
  <c r="D89" i="9"/>
  <c r="C89" i="9"/>
  <c r="D88" i="9"/>
  <c r="C88" i="9"/>
  <c r="E87" i="9"/>
  <c r="F87" i="9" s="1"/>
  <c r="E86" i="9"/>
  <c r="F86" i="9" s="1"/>
  <c r="E85" i="9"/>
  <c r="F85" i="9" s="1"/>
  <c r="E84" i="9"/>
  <c r="F84" i="9" s="1"/>
  <c r="E83" i="9"/>
  <c r="F83" i="9" s="1"/>
  <c r="E82" i="9"/>
  <c r="F82" i="9" s="1"/>
  <c r="F81" i="9"/>
  <c r="E81" i="9"/>
  <c r="E80" i="9"/>
  <c r="F80" i="9" s="1"/>
  <c r="E79" i="9"/>
  <c r="F79" i="9" s="1"/>
  <c r="D76" i="9"/>
  <c r="C76" i="9"/>
  <c r="E76" i="9" s="1"/>
  <c r="D75" i="9"/>
  <c r="E75" i="9"/>
  <c r="C75" i="9"/>
  <c r="F74" i="9"/>
  <c r="E74" i="9"/>
  <c r="F73" i="9"/>
  <c r="E73" i="9"/>
  <c r="F72" i="9"/>
  <c r="E72" i="9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D63" i="9"/>
  <c r="E63" i="9" s="1"/>
  <c r="C63" i="9"/>
  <c r="D62" i="9"/>
  <c r="C62" i="9"/>
  <c r="E61" i="9"/>
  <c r="F61" i="9" s="1"/>
  <c r="F60" i="9"/>
  <c r="E60" i="9"/>
  <c r="E59" i="9"/>
  <c r="F59" i="9" s="1"/>
  <c r="E58" i="9"/>
  <c r="F58" i="9" s="1"/>
  <c r="E57" i="9"/>
  <c r="F57" i="9" s="1"/>
  <c r="E56" i="9"/>
  <c r="F56" i="9" s="1"/>
  <c r="E55" i="9"/>
  <c r="F55" i="9" s="1"/>
  <c r="E54" i="9"/>
  <c r="F54" i="9" s="1"/>
  <c r="F53" i="9"/>
  <c r="E53" i="9"/>
  <c r="D50" i="9"/>
  <c r="E50" i="9" s="1"/>
  <c r="C50" i="9"/>
  <c r="D49" i="9"/>
  <c r="E49" i="9"/>
  <c r="C49" i="9"/>
  <c r="F49" i="9" s="1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F42" i="9" s="1"/>
  <c r="F41" i="9"/>
  <c r="E41" i="9"/>
  <c r="F40" i="9"/>
  <c r="E40" i="9"/>
  <c r="D37" i="9"/>
  <c r="C37" i="9"/>
  <c r="F37" i="9" s="1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 s="1"/>
  <c r="C23" i="9"/>
  <c r="E22" i="9"/>
  <c r="F22" i="9" s="1"/>
  <c r="E21" i="9"/>
  <c r="F21" i="9" s="1"/>
  <c r="E20" i="9"/>
  <c r="F20" i="9" s="1"/>
  <c r="E19" i="9"/>
  <c r="F19" i="9" s="1"/>
  <c r="E18" i="9"/>
  <c r="F18" i="9" s="1"/>
  <c r="F17" i="9"/>
  <c r="E17" i="9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/>
  <c r="D166" i="8" s="1"/>
  <c r="D152" i="8" s="1"/>
  <c r="C164" i="8"/>
  <c r="C160" i="8" s="1"/>
  <c r="E162" i="8"/>
  <c r="D162" i="8"/>
  <c r="C162" i="8"/>
  <c r="E161" i="8"/>
  <c r="D161" i="8"/>
  <c r="C161" i="8"/>
  <c r="E160" i="8"/>
  <c r="E166" i="8"/>
  <c r="E147" i="8"/>
  <c r="D147" i="8"/>
  <c r="D143" i="8"/>
  <c r="C147" i="8"/>
  <c r="C143" i="8" s="1"/>
  <c r="E145" i="8"/>
  <c r="D145" i="8"/>
  <c r="D149" i="8" s="1"/>
  <c r="D135" i="8" s="1"/>
  <c r="C145" i="8"/>
  <c r="E144" i="8"/>
  <c r="D144" i="8"/>
  <c r="C144" i="8"/>
  <c r="E143" i="8"/>
  <c r="E149" i="8"/>
  <c r="C149" i="8"/>
  <c r="C139" i="8" s="1"/>
  <c r="E126" i="8"/>
  <c r="D126" i="8"/>
  <c r="C126" i="8"/>
  <c r="E119" i="8"/>
  <c r="D119" i="8"/>
  <c r="C119" i="8"/>
  <c r="E108" i="8"/>
  <c r="D108" i="8"/>
  <c r="D109" i="8" s="1"/>
  <c r="D106" i="8" s="1"/>
  <c r="C108" i="8"/>
  <c r="E107" i="8"/>
  <c r="D107" i="8"/>
  <c r="C107" i="8"/>
  <c r="C109" i="8" s="1"/>
  <c r="C106" i="8"/>
  <c r="E102" i="8"/>
  <c r="E104" i="8" s="1"/>
  <c r="D102" i="8"/>
  <c r="D104" i="8" s="1"/>
  <c r="C102" i="8"/>
  <c r="C104" i="8" s="1"/>
  <c r="C98" i="8" s="1"/>
  <c r="E100" i="8"/>
  <c r="D100" i="8"/>
  <c r="C100" i="8"/>
  <c r="E95" i="8"/>
  <c r="E94" i="8" s="1"/>
  <c r="D95" i="8"/>
  <c r="D94" i="8" s="1"/>
  <c r="C95" i="8"/>
  <c r="C94" i="8"/>
  <c r="E89" i="8"/>
  <c r="D89" i="8"/>
  <c r="C89" i="8"/>
  <c r="E87" i="8"/>
  <c r="D87" i="8"/>
  <c r="C87" i="8"/>
  <c r="E84" i="8"/>
  <c r="D84" i="8"/>
  <c r="C84" i="8"/>
  <c r="C79" i="8" s="1"/>
  <c r="E83" i="8"/>
  <c r="E79" i="8"/>
  <c r="D83" i="8"/>
  <c r="D79" i="8" s="1"/>
  <c r="C83" i="8"/>
  <c r="E71" i="8"/>
  <c r="C77" i="8"/>
  <c r="C71" i="8"/>
  <c r="E75" i="8"/>
  <c r="E77" i="8" s="1"/>
  <c r="E88" i="8"/>
  <c r="D75" i="8"/>
  <c r="D88" i="8"/>
  <c r="D90" i="8" s="1"/>
  <c r="D86" i="8"/>
  <c r="C75" i="8"/>
  <c r="C88" i="8" s="1"/>
  <c r="C90" i="8" s="1"/>
  <c r="C86" i="8" s="1"/>
  <c r="E74" i="8"/>
  <c r="D74" i="8"/>
  <c r="C74" i="8"/>
  <c r="E67" i="8"/>
  <c r="D67" i="8"/>
  <c r="C67" i="8"/>
  <c r="E38" i="8"/>
  <c r="E57" i="8" s="1"/>
  <c r="E62" i="8" s="1"/>
  <c r="D38" i="8"/>
  <c r="D43" i="8" s="1"/>
  <c r="C38" i="8"/>
  <c r="C53" i="8" s="1"/>
  <c r="C57" i="8"/>
  <c r="C62" i="8" s="1"/>
  <c r="E33" i="8"/>
  <c r="E34" i="8" s="1"/>
  <c r="D33" i="8"/>
  <c r="D34" i="8" s="1"/>
  <c r="E26" i="8"/>
  <c r="D26" i="8"/>
  <c r="C26" i="8"/>
  <c r="E25" i="8"/>
  <c r="E27" i="8"/>
  <c r="E21" i="8" s="1"/>
  <c r="E15" i="8"/>
  <c r="E24" i="8" s="1"/>
  <c r="C15" i="8"/>
  <c r="C17" i="8" s="1"/>
  <c r="C24" i="8"/>
  <c r="E13" i="8"/>
  <c r="D13" i="8"/>
  <c r="D25" i="8" s="1"/>
  <c r="D27" i="8" s="1"/>
  <c r="C13" i="8"/>
  <c r="C25" i="8" s="1"/>
  <c r="C27" i="8" s="1"/>
  <c r="F186" i="7"/>
  <c r="E186" i="7"/>
  <c r="D183" i="7"/>
  <c r="C183" i="7"/>
  <c r="F182" i="7"/>
  <c r="E182" i="7"/>
  <c r="E181" i="7"/>
  <c r="F181" i="7" s="1"/>
  <c r="F180" i="7"/>
  <c r="E180" i="7"/>
  <c r="E179" i="7"/>
  <c r="F179" i="7" s="1"/>
  <c r="F178" i="7"/>
  <c r="E178" i="7"/>
  <c r="F177" i="7"/>
  <c r="E177" i="7"/>
  <c r="E176" i="7"/>
  <c r="F176" i="7" s="1"/>
  <c r="E175" i="7"/>
  <c r="F175" i="7" s="1"/>
  <c r="E174" i="7"/>
  <c r="F174" i="7" s="1"/>
  <c r="E173" i="7"/>
  <c r="F173" i="7" s="1"/>
  <c r="E172" i="7"/>
  <c r="F172" i="7" s="1"/>
  <c r="E171" i="7"/>
  <c r="F171" i="7" s="1"/>
  <c r="E170" i="7"/>
  <c r="F170" i="7" s="1"/>
  <c r="D167" i="7"/>
  <c r="E167" i="7" s="1"/>
  <c r="F167" i="7" s="1"/>
  <c r="C167" i="7"/>
  <c r="E166" i="7"/>
  <c r="F166" i="7" s="1"/>
  <c r="E165" i="7"/>
  <c r="F165" i="7" s="1"/>
  <c r="E164" i="7"/>
  <c r="F164" i="7" s="1"/>
  <c r="E163" i="7"/>
  <c r="F163" i="7" s="1"/>
  <c r="E162" i="7"/>
  <c r="F162" i="7" s="1"/>
  <c r="F161" i="7"/>
  <c r="E161" i="7"/>
  <c r="E160" i="7"/>
  <c r="F160" i="7" s="1"/>
  <c r="F159" i="7"/>
  <c r="E159" i="7"/>
  <c r="F158" i="7"/>
  <c r="E158" i="7"/>
  <c r="F157" i="7"/>
  <c r="E157" i="7"/>
  <c r="E156" i="7"/>
  <c r="F156" i="7" s="1"/>
  <c r="F155" i="7"/>
  <c r="E155" i="7"/>
  <c r="E154" i="7"/>
  <c r="F154" i="7" s="1"/>
  <c r="F153" i="7"/>
  <c r="E153" i="7"/>
  <c r="F152" i="7"/>
  <c r="E152" i="7"/>
  <c r="F151" i="7"/>
  <c r="E151" i="7"/>
  <c r="E150" i="7"/>
  <c r="F150" i="7" s="1"/>
  <c r="F149" i="7"/>
  <c r="E149" i="7"/>
  <c r="F148" i="7"/>
  <c r="E148" i="7"/>
  <c r="F147" i="7"/>
  <c r="E147" i="7"/>
  <c r="F146" i="7"/>
  <c r="E146" i="7"/>
  <c r="F145" i="7"/>
  <c r="E145" i="7"/>
  <c r="F144" i="7"/>
  <c r="E144" i="7"/>
  <c r="E143" i="7"/>
  <c r="F143" i="7" s="1"/>
  <c r="F142" i="7"/>
  <c r="E142" i="7"/>
  <c r="F141" i="7"/>
  <c r="E141" i="7"/>
  <c r="F140" i="7"/>
  <c r="E140" i="7"/>
  <c r="E139" i="7"/>
  <c r="F139" i="7" s="1"/>
  <c r="F138" i="7"/>
  <c r="E138" i="7"/>
  <c r="F137" i="7"/>
  <c r="E137" i="7"/>
  <c r="F136" i="7"/>
  <c r="E136" i="7"/>
  <c r="E135" i="7"/>
  <c r="F135" i="7" s="1"/>
  <c r="F134" i="7"/>
  <c r="E134" i="7"/>
  <c r="F133" i="7"/>
  <c r="E133" i="7"/>
  <c r="D130" i="7"/>
  <c r="C130" i="7"/>
  <c r="C188" i="7" s="1"/>
  <c r="F129" i="7"/>
  <c r="E129" i="7"/>
  <c r="F128" i="7"/>
  <c r="E128" i="7"/>
  <c r="F127" i="7"/>
  <c r="E127" i="7"/>
  <c r="E126" i="7"/>
  <c r="F126" i="7" s="1"/>
  <c r="F125" i="7"/>
  <c r="E125" i="7"/>
  <c r="F124" i="7"/>
  <c r="E124" i="7"/>
  <c r="D121" i="7"/>
  <c r="E121" i="7" s="1"/>
  <c r="C121" i="7"/>
  <c r="F121" i="7" s="1"/>
  <c r="F120" i="7"/>
  <c r="E120" i="7"/>
  <c r="F119" i="7"/>
  <c r="E119" i="7"/>
  <c r="F118" i="7"/>
  <c r="E118" i="7"/>
  <c r="E117" i="7"/>
  <c r="F117" i="7" s="1"/>
  <c r="F116" i="7"/>
  <c r="E116" i="7"/>
  <c r="F115" i="7"/>
  <c r="E115" i="7"/>
  <c r="F114" i="7"/>
  <c r="E114" i="7"/>
  <c r="E113" i="7"/>
  <c r="F113" i="7" s="1"/>
  <c r="F112" i="7"/>
  <c r="E112" i="7"/>
  <c r="F111" i="7"/>
  <c r="E111" i="7"/>
  <c r="F110" i="7"/>
  <c r="E110" i="7"/>
  <c r="E109" i="7"/>
  <c r="F109" i="7" s="1"/>
  <c r="F108" i="7"/>
  <c r="E108" i="7"/>
  <c r="F107" i="7"/>
  <c r="E107" i="7"/>
  <c r="F106" i="7"/>
  <c r="E106" i="7"/>
  <c r="E105" i="7"/>
  <c r="F105" i="7" s="1"/>
  <c r="F104" i="7"/>
  <c r="E104" i="7"/>
  <c r="F103" i="7"/>
  <c r="E103" i="7"/>
  <c r="F93" i="7"/>
  <c r="E93" i="7"/>
  <c r="D90" i="7"/>
  <c r="E90" i="7" s="1"/>
  <c r="F90" i="7" s="1"/>
  <c r="C90" i="7"/>
  <c r="E89" i="7"/>
  <c r="F89" i="7" s="1"/>
  <c r="F88" i="7"/>
  <c r="E88" i="7"/>
  <c r="F87" i="7"/>
  <c r="E87" i="7"/>
  <c r="E86" i="7"/>
  <c r="F86" i="7" s="1"/>
  <c r="E85" i="7"/>
  <c r="F85" i="7" s="1"/>
  <c r="F84" i="7"/>
  <c r="E84" i="7"/>
  <c r="F83" i="7"/>
  <c r="E83" i="7"/>
  <c r="E82" i="7"/>
  <c r="F82" i="7" s="1"/>
  <c r="E81" i="7"/>
  <c r="F81" i="7" s="1"/>
  <c r="E80" i="7"/>
  <c r="F80" i="7" s="1"/>
  <c r="F79" i="7"/>
  <c r="E79" i="7"/>
  <c r="E78" i="7"/>
  <c r="F78" i="7" s="1"/>
  <c r="E77" i="7"/>
  <c r="F77" i="7" s="1"/>
  <c r="E76" i="7"/>
  <c r="F76" i="7" s="1"/>
  <c r="E75" i="7"/>
  <c r="F75" i="7" s="1"/>
  <c r="E74" i="7"/>
  <c r="F74" i="7" s="1"/>
  <c r="E73" i="7"/>
  <c r="F73" i="7" s="1"/>
  <c r="F72" i="7"/>
  <c r="E72" i="7"/>
  <c r="E71" i="7"/>
  <c r="F71" i="7" s="1"/>
  <c r="E70" i="7"/>
  <c r="F70" i="7" s="1"/>
  <c r="E69" i="7"/>
  <c r="F69" i="7" s="1"/>
  <c r="F68" i="7"/>
  <c r="E68" i="7"/>
  <c r="F67" i="7"/>
  <c r="E67" i="7"/>
  <c r="E66" i="7"/>
  <c r="F66" i="7" s="1"/>
  <c r="E65" i="7"/>
  <c r="F65" i="7" s="1"/>
  <c r="E64" i="7"/>
  <c r="F64" i="7" s="1"/>
  <c r="F63" i="7"/>
  <c r="E63" i="7"/>
  <c r="E62" i="7"/>
  <c r="F62" i="7" s="1"/>
  <c r="D59" i="7"/>
  <c r="E59" i="7"/>
  <c r="F59" i="7" s="1"/>
  <c r="C59" i="7"/>
  <c r="F58" i="7"/>
  <c r="E58" i="7"/>
  <c r="E57" i="7"/>
  <c r="F57" i="7" s="1"/>
  <c r="E56" i="7"/>
  <c r="F56" i="7" s="1"/>
  <c r="F55" i="7"/>
  <c r="E55" i="7"/>
  <c r="F54" i="7"/>
  <c r="E54" i="7"/>
  <c r="E53" i="7"/>
  <c r="F53" i="7" s="1"/>
  <c r="E50" i="7"/>
  <c r="F50" i="7" s="1"/>
  <c r="E47" i="7"/>
  <c r="F47" i="7" s="1"/>
  <c r="E44" i="7"/>
  <c r="F44" i="7" s="1"/>
  <c r="D41" i="7"/>
  <c r="C41" i="7"/>
  <c r="F40" i="7"/>
  <c r="E40" i="7"/>
  <c r="F39" i="7"/>
  <c r="E39" i="7"/>
  <c r="E38" i="7"/>
  <c r="F38" i="7" s="1"/>
  <c r="D35" i="7"/>
  <c r="C35" i="7"/>
  <c r="E34" i="7"/>
  <c r="F34" i="7" s="1"/>
  <c r="E33" i="7"/>
  <c r="F33" i="7" s="1"/>
  <c r="D30" i="7"/>
  <c r="C30" i="7"/>
  <c r="F29" i="7"/>
  <c r="E29" i="7"/>
  <c r="E28" i="7"/>
  <c r="F28" i="7" s="1"/>
  <c r="E27" i="7"/>
  <c r="F27" i="7" s="1"/>
  <c r="D24" i="7"/>
  <c r="D95" i="7" s="1"/>
  <c r="E24" i="7"/>
  <c r="C24" i="7"/>
  <c r="E23" i="7"/>
  <c r="F23" i="7" s="1"/>
  <c r="E22" i="7"/>
  <c r="F22" i="7" s="1"/>
  <c r="F21" i="7"/>
  <c r="E21" i="7"/>
  <c r="D18" i="7"/>
  <c r="E18" i="7"/>
  <c r="C18" i="7"/>
  <c r="E17" i="7"/>
  <c r="F17" i="7" s="1"/>
  <c r="F16" i="7"/>
  <c r="E16" i="7"/>
  <c r="F15" i="7"/>
  <c r="E15" i="7"/>
  <c r="D179" i="6"/>
  <c r="E179" i="6"/>
  <c r="C179" i="6"/>
  <c r="F178" i="6"/>
  <c r="E178" i="6"/>
  <c r="F177" i="6"/>
  <c r="E177" i="6"/>
  <c r="E176" i="6"/>
  <c r="F176" i="6" s="1"/>
  <c r="E175" i="6"/>
  <c r="F175" i="6" s="1"/>
  <c r="F174" i="6"/>
  <c r="E174" i="6"/>
  <c r="E173" i="6"/>
  <c r="F173" i="6" s="1"/>
  <c r="E172" i="6"/>
  <c r="F172" i="6" s="1"/>
  <c r="E171" i="6"/>
  <c r="F171" i="6" s="1"/>
  <c r="E170" i="6"/>
  <c r="F170" i="6" s="1"/>
  <c r="F169" i="6"/>
  <c r="E169" i="6"/>
  <c r="E168" i="6"/>
  <c r="F168" i="6" s="1"/>
  <c r="D166" i="6"/>
  <c r="C166" i="6"/>
  <c r="E166" i="6" s="1"/>
  <c r="F166" i="6" s="1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E158" i="6"/>
  <c r="F158" i="6" s="1"/>
  <c r="E157" i="6"/>
  <c r="F157" i="6" s="1"/>
  <c r="E156" i="6"/>
  <c r="F156" i="6" s="1"/>
  <c r="E155" i="6"/>
  <c r="F155" i="6" s="1"/>
  <c r="D153" i="6"/>
  <c r="C153" i="6"/>
  <c r="F152" i="6"/>
  <c r="E152" i="6"/>
  <c r="F151" i="6"/>
  <c r="E151" i="6"/>
  <c r="F150" i="6"/>
  <c r="E150" i="6"/>
  <c r="E149" i="6"/>
  <c r="F149" i="6" s="1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E142" i="6"/>
  <c r="F142" i="6" s="1"/>
  <c r="D137" i="6"/>
  <c r="E137" i="6"/>
  <c r="C137" i="6"/>
  <c r="F136" i="6"/>
  <c r="E136" i="6"/>
  <c r="F135" i="6"/>
  <c r="E135" i="6"/>
  <c r="F134" i="6"/>
  <c r="E134" i="6"/>
  <c r="E133" i="6"/>
  <c r="F133" i="6" s="1"/>
  <c r="E132" i="6"/>
  <c r="F132" i="6" s="1"/>
  <c r="E131" i="6"/>
  <c r="F131" i="6" s="1"/>
  <c r="F130" i="6"/>
  <c r="E130" i="6"/>
  <c r="E129" i="6"/>
  <c r="F129" i="6" s="1"/>
  <c r="E128" i="6"/>
  <c r="F128" i="6" s="1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E120" i="6"/>
  <c r="F120" i="6" s="1"/>
  <c r="E119" i="6"/>
  <c r="F119" i="6" s="1"/>
  <c r="E118" i="6"/>
  <c r="F118" i="6" s="1"/>
  <c r="E117" i="6"/>
  <c r="F117" i="6" s="1"/>
  <c r="E116" i="6"/>
  <c r="F116" i="6" s="1"/>
  <c r="E115" i="6"/>
  <c r="F115" i="6" s="1"/>
  <c r="E114" i="6"/>
  <c r="F114" i="6" s="1"/>
  <c r="E113" i="6"/>
  <c r="F113" i="6" s="1"/>
  <c r="D111" i="6"/>
  <c r="E111" i="6"/>
  <c r="C111" i="6"/>
  <c r="F110" i="6"/>
  <c r="E110" i="6"/>
  <c r="F109" i="6"/>
  <c r="E109" i="6"/>
  <c r="E108" i="6"/>
  <c r="F108" i="6" s="1"/>
  <c r="F107" i="6"/>
  <c r="E107" i="6"/>
  <c r="E106" i="6"/>
  <c r="F106" i="6" s="1"/>
  <c r="E105" i="6"/>
  <c r="F105" i="6" s="1"/>
  <c r="E104" i="6"/>
  <c r="F104" i="6" s="1"/>
  <c r="E103" i="6"/>
  <c r="F103" i="6" s="1"/>
  <c r="F102" i="6"/>
  <c r="E102" i="6"/>
  <c r="E101" i="6"/>
  <c r="F101" i="6" s="1"/>
  <c r="E100" i="6"/>
  <c r="F100" i="6" s="1"/>
  <c r="D94" i="6"/>
  <c r="C94" i="6"/>
  <c r="F94" i="6" s="1"/>
  <c r="D93" i="6"/>
  <c r="E93" i="6" s="1"/>
  <c r="C93" i="6"/>
  <c r="F93" i="6" s="1"/>
  <c r="D92" i="6"/>
  <c r="E92" i="6"/>
  <c r="C92" i="6"/>
  <c r="F92" i="6" s="1"/>
  <c r="D91" i="6"/>
  <c r="C91" i="6"/>
  <c r="D90" i="6"/>
  <c r="E90" i="6"/>
  <c r="F90" i="6" s="1"/>
  <c r="C90" i="6"/>
  <c r="D89" i="6"/>
  <c r="C89" i="6"/>
  <c r="D88" i="6"/>
  <c r="C88" i="6"/>
  <c r="D87" i="6"/>
  <c r="E87" i="6"/>
  <c r="C87" i="6"/>
  <c r="D86" i="6"/>
  <c r="C86" i="6"/>
  <c r="D85" i="6"/>
  <c r="C85" i="6"/>
  <c r="D84" i="6"/>
  <c r="C84" i="6"/>
  <c r="D81" i="6"/>
  <c r="E81" i="6" s="1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 s="1"/>
  <c r="F68" i="6" s="1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 s="1"/>
  <c r="F49" i="6"/>
  <c r="C49" i="6"/>
  <c r="D48" i="6"/>
  <c r="C48" i="6"/>
  <c r="D47" i="6"/>
  <c r="E47" i="6"/>
  <c r="F47" i="6" s="1"/>
  <c r="C47" i="6"/>
  <c r="D46" i="6"/>
  <c r="C46" i="6"/>
  <c r="D45" i="6"/>
  <c r="E45" i="6" s="1"/>
  <c r="F45" i="6" s="1"/>
  <c r="C45" i="6"/>
  <c r="D44" i="6"/>
  <c r="E44" i="6" s="1"/>
  <c r="F44" i="6"/>
  <c r="C44" i="6"/>
  <c r="D43" i="6"/>
  <c r="D52" i="6" s="1"/>
  <c r="E43" i="6"/>
  <c r="F43" i="6" s="1"/>
  <c r="C43" i="6"/>
  <c r="D42" i="6"/>
  <c r="C42" i="6"/>
  <c r="D41" i="6"/>
  <c r="C41" i="6"/>
  <c r="D38" i="6"/>
  <c r="E38" i="6"/>
  <c r="F38" i="6" s="1"/>
  <c r="C38" i="6"/>
  <c r="F37" i="6"/>
  <c r="E37" i="6"/>
  <c r="F36" i="6"/>
  <c r="E36" i="6"/>
  <c r="E35" i="6"/>
  <c r="F35" i="6" s="1"/>
  <c r="F34" i="6"/>
  <c r="E34" i="6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E25" i="6" s="1"/>
  <c r="F25" i="6" s="1"/>
  <c r="C25" i="6"/>
  <c r="F24" i="6"/>
  <c r="E24" i="6"/>
  <c r="F23" i="6"/>
  <c r="E23" i="6"/>
  <c r="F22" i="6"/>
  <c r="E22" i="6"/>
  <c r="F21" i="6"/>
  <c r="E21" i="6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C48" i="5"/>
  <c r="F47" i="5"/>
  <c r="E47" i="5"/>
  <c r="F46" i="5"/>
  <c r="E46" i="5"/>
  <c r="D41" i="5"/>
  <c r="E41" i="5"/>
  <c r="C41" i="5"/>
  <c r="F40" i="5"/>
  <c r="E40" i="5"/>
  <c r="F39" i="5"/>
  <c r="E39" i="5"/>
  <c r="E38" i="5"/>
  <c r="F38" i="5" s="1"/>
  <c r="D33" i="5"/>
  <c r="E33" i="5"/>
  <c r="C33" i="5"/>
  <c r="F33" i="5" s="1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F25" i="5"/>
  <c r="E25" i="5"/>
  <c r="E24" i="5"/>
  <c r="F24" i="5" s="1"/>
  <c r="E20" i="5"/>
  <c r="F20" i="5" s="1"/>
  <c r="E19" i="5"/>
  <c r="F19" i="5" s="1"/>
  <c r="F17" i="5"/>
  <c r="E17" i="5"/>
  <c r="D16" i="5"/>
  <c r="D18" i="5" s="1"/>
  <c r="C16" i="5"/>
  <c r="C18" i="5"/>
  <c r="C21" i="5" s="1"/>
  <c r="F15" i="5"/>
  <c r="E15" i="5"/>
  <c r="E14" i="5"/>
  <c r="F14" i="5" s="1"/>
  <c r="F13" i="5"/>
  <c r="E13" i="5"/>
  <c r="E12" i="5"/>
  <c r="F12" i="5" s="1"/>
  <c r="D73" i="4"/>
  <c r="C73" i="4"/>
  <c r="E73" i="4" s="1"/>
  <c r="F73" i="4" s="1"/>
  <c r="E72" i="4"/>
  <c r="F72" i="4" s="1"/>
  <c r="F71" i="4"/>
  <c r="E71" i="4"/>
  <c r="F70" i="4"/>
  <c r="E70" i="4"/>
  <c r="F67" i="4"/>
  <c r="E67" i="4"/>
  <c r="E64" i="4"/>
  <c r="F64" i="4" s="1"/>
  <c r="F63" i="4"/>
  <c r="E63" i="4"/>
  <c r="D61" i="4"/>
  <c r="D65" i="4" s="1"/>
  <c r="D75" i="4" s="1"/>
  <c r="E75" i="4" s="1"/>
  <c r="F75" i="4" s="1"/>
  <c r="E65" i="4"/>
  <c r="C61" i="4"/>
  <c r="C65" i="4"/>
  <c r="E60" i="4"/>
  <c r="F60" i="4" s="1"/>
  <c r="E59" i="4"/>
  <c r="F59" i="4" s="1"/>
  <c r="D56" i="4"/>
  <c r="C56" i="4"/>
  <c r="C75" i="4"/>
  <c r="F55" i="4"/>
  <c r="E55" i="4"/>
  <c r="F54" i="4"/>
  <c r="E54" i="4"/>
  <c r="E53" i="4"/>
  <c r="F53" i="4" s="1"/>
  <c r="F52" i="4"/>
  <c r="E52" i="4"/>
  <c r="F51" i="4"/>
  <c r="E51" i="4"/>
  <c r="A51" i="4"/>
  <c r="A52" i="4" s="1"/>
  <c r="A53" i="4" s="1"/>
  <c r="A54" i="4"/>
  <c r="A55" i="4" s="1"/>
  <c r="E50" i="4"/>
  <c r="F50" i="4"/>
  <c r="A50" i="4"/>
  <c r="F49" i="4"/>
  <c r="E49" i="4"/>
  <c r="E40" i="4"/>
  <c r="F40" i="4" s="1"/>
  <c r="D38" i="4"/>
  <c r="C38" i="4"/>
  <c r="C41" i="4" s="1"/>
  <c r="F37" i="4"/>
  <c r="E37" i="4"/>
  <c r="F36" i="4"/>
  <c r="E36" i="4"/>
  <c r="E33" i="4"/>
  <c r="F33" i="4" s="1"/>
  <c r="F32" i="4"/>
  <c r="E32" i="4"/>
  <c r="F31" i="4"/>
  <c r="E31" i="4"/>
  <c r="D29" i="4"/>
  <c r="E29" i="4" s="1"/>
  <c r="F29" i="4"/>
  <c r="C29" i="4"/>
  <c r="F28" i="4"/>
  <c r="E28" i="4"/>
  <c r="F27" i="4"/>
  <c r="E27" i="4"/>
  <c r="F26" i="4"/>
  <c r="E26" i="4"/>
  <c r="F25" i="4"/>
  <c r="E25" i="4"/>
  <c r="D22" i="4"/>
  <c r="C22" i="4"/>
  <c r="E21" i="4"/>
  <c r="F21" i="4" s="1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E13" i="4"/>
  <c r="F13" i="4" s="1"/>
  <c r="C109" i="22"/>
  <c r="C108" i="22"/>
  <c r="E109" i="22"/>
  <c r="E108" i="22"/>
  <c r="D22" i="22"/>
  <c r="C23" i="22"/>
  <c r="E23" i="22"/>
  <c r="E111" i="22" s="1"/>
  <c r="D33" i="22"/>
  <c r="C34" i="22"/>
  <c r="E34" i="22"/>
  <c r="C102" i="22"/>
  <c r="C103" i="22" s="1"/>
  <c r="E102" i="22"/>
  <c r="C22" i="22"/>
  <c r="C39" i="22" s="1"/>
  <c r="E22" i="22"/>
  <c r="D23" i="22"/>
  <c r="F20" i="20"/>
  <c r="D41" i="20"/>
  <c r="E39" i="20"/>
  <c r="E19" i="20"/>
  <c r="F19" i="20"/>
  <c r="E43" i="20"/>
  <c r="C38" i="19"/>
  <c r="C127" i="19" s="1"/>
  <c r="C129" i="19" s="1"/>
  <c r="C133" i="19" s="1"/>
  <c r="C22" i="19"/>
  <c r="E294" i="17"/>
  <c r="E295" i="17"/>
  <c r="F295" i="17" s="1"/>
  <c r="E296" i="17"/>
  <c r="E297" i="17"/>
  <c r="E298" i="17"/>
  <c r="E299" i="17"/>
  <c r="E17" i="17"/>
  <c r="F17" i="17" s="1"/>
  <c r="E52" i="17"/>
  <c r="F52" i="17" s="1"/>
  <c r="E53" i="17"/>
  <c r="F53" i="17" s="1"/>
  <c r="E58" i="17"/>
  <c r="E67" i="17"/>
  <c r="C44" i="18"/>
  <c r="C88" i="18" s="1"/>
  <c r="D66" i="18"/>
  <c r="E163" i="18"/>
  <c r="D283" i="18"/>
  <c r="E283" i="18" s="1"/>
  <c r="D22" i="18"/>
  <c r="C33" i="18"/>
  <c r="E32" i="18"/>
  <c r="D43" i="18"/>
  <c r="C289" i="18"/>
  <c r="E289" i="18" s="1"/>
  <c r="C71" i="18"/>
  <c r="C76" i="18" s="1"/>
  <c r="C259" i="18" s="1"/>
  <c r="C65" i="18"/>
  <c r="C66" i="18"/>
  <c r="E60" i="18"/>
  <c r="E70" i="18"/>
  <c r="D157" i="18"/>
  <c r="E157" i="18" s="1"/>
  <c r="E156" i="18"/>
  <c r="C283" i="18"/>
  <c r="D294" i="18"/>
  <c r="C144" i="18"/>
  <c r="C168" i="18" s="1"/>
  <c r="E168" i="18" s="1"/>
  <c r="E144" i="18"/>
  <c r="D145" i="18"/>
  <c r="E151" i="18"/>
  <c r="C175" i="18"/>
  <c r="E175" i="18" s="1"/>
  <c r="D180" i="18"/>
  <c r="C261" i="18"/>
  <c r="C189" i="18"/>
  <c r="E188" i="18"/>
  <c r="D260" i="18"/>
  <c r="D211" i="18"/>
  <c r="E210" i="18"/>
  <c r="D217" i="18"/>
  <c r="D239" i="18"/>
  <c r="E239" i="18" s="1"/>
  <c r="C242" i="18"/>
  <c r="E242" i="18"/>
  <c r="D243" i="18"/>
  <c r="C326" i="18"/>
  <c r="C330" i="18"/>
  <c r="E330" i="18" s="1"/>
  <c r="E324" i="18"/>
  <c r="E139" i="18"/>
  <c r="E189" i="18"/>
  <c r="C234" i="18"/>
  <c r="E205" i="18"/>
  <c r="C211" i="18"/>
  <c r="C235" i="18"/>
  <c r="E216" i="18"/>
  <c r="C241" i="18"/>
  <c r="E218" i="18"/>
  <c r="C222" i="18"/>
  <c r="C229" i="18"/>
  <c r="E231" i="18"/>
  <c r="E251" i="18"/>
  <c r="D316" i="18"/>
  <c r="E326" i="18"/>
  <c r="D330" i="18"/>
  <c r="D222" i="18"/>
  <c r="C32" i="17"/>
  <c r="E60" i="17"/>
  <c r="F60" i="17"/>
  <c r="D61" i="17"/>
  <c r="E68" i="17"/>
  <c r="F68" i="17"/>
  <c r="E77" i="17"/>
  <c r="D103" i="17"/>
  <c r="E102" i="17"/>
  <c r="F102" i="17"/>
  <c r="E31" i="17"/>
  <c r="F31" i="17" s="1"/>
  <c r="D32" i="17"/>
  <c r="D105" i="17" s="1"/>
  <c r="D106" i="17" s="1"/>
  <c r="D90" i="17"/>
  <c r="E48" i="17"/>
  <c r="F48" i="17" s="1"/>
  <c r="C61" i="17"/>
  <c r="C103" i="17"/>
  <c r="C104" i="17" s="1"/>
  <c r="D21" i="17"/>
  <c r="F24" i="17"/>
  <c r="F29" i="17"/>
  <c r="F44" i="17"/>
  <c r="F58" i="17"/>
  <c r="F67" i="17"/>
  <c r="E101" i="17"/>
  <c r="F101" i="17" s="1"/>
  <c r="E109" i="17"/>
  <c r="F109" i="17" s="1"/>
  <c r="C193" i="17"/>
  <c r="C266" i="17" s="1"/>
  <c r="E266" i="17" s="1"/>
  <c r="C282" i="17"/>
  <c r="C192" i="17"/>
  <c r="E123" i="17"/>
  <c r="F123" i="17"/>
  <c r="C124" i="17"/>
  <c r="D137" i="17"/>
  <c r="D146" i="17"/>
  <c r="E146" i="17"/>
  <c r="F146" i="17"/>
  <c r="D159" i="17"/>
  <c r="D172" i="17"/>
  <c r="D181" i="17"/>
  <c r="E227" i="17"/>
  <c r="E239" i="17"/>
  <c r="F239" i="17"/>
  <c r="E20" i="17"/>
  <c r="F20" i="17"/>
  <c r="C21" i="17"/>
  <c r="E30" i="17"/>
  <c r="F30" i="17" s="1"/>
  <c r="E35" i="17"/>
  <c r="F35" i="17" s="1"/>
  <c r="C37" i="17"/>
  <c r="E47" i="17"/>
  <c r="F47" i="17" s="1"/>
  <c r="E59" i="17"/>
  <c r="F59" i="17" s="1"/>
  <c r="E66" i="17"/>
  <c r="F66" i="17"/>
  <c r="E76" i="17"/>
  <c r="F76" i="17"/>
  <c r="E192" i="17"/>
  <c r="D124" i="17"/>
  <c r="E124" i="17"/>
  <c r="F172" i="17"/>
  <c r="F227" i="17"/>
  <c r="C287" i="17"/>
  <c r="C279" i="17"/>
  <c r="E188" i="17"/>
  <c r="F188" i="17" s="1"/>
  <c r="E189" i="17"/>
  <c r="F189" i="17" s="1"/>
  <c r="C190" i="17"/>
  <c r="E191" i="17"/>
  <c r="F191" i="17" s="1"/>
  <c r="C290" i="17"/>
  <c r="C274" i="17"/>
  <c r="C199" i="17"/>
  <c r="C200" i="17"/>
  <c r="C205" i="17"/>
  <c r="E205" i="17" s="1"/>
  <c r="C206" i="17"/>
  <c r="C214" i="17"/>
  <c r="C215" i="17"/>
  <c r="C216" i="17" s="1"/>
  <c r="E226" i="17"/>
  <c r="F226" i="17"/>
  <c r="E237" i="17"/>
  <c r="F237" i="17" s="1"/>
  <c r="E250" i="17"/>
  <c r="F250" i="17"/>
  <c r="C254" i="17"/>
  <c r="C255" i="17"/>
  <c r="C261" i="17"/>
  <c r="C262" i="17"/>
  <c r="C264" i="17"/>
  <c r="C300" i="17" s="1"/>
  <c r="C267" i="17"/>
  <c r="C269" i="17"/>
  <c r="C270" i="17" s="1"/>
  <c r="E277" i="17"/>
  <c r="F277" i="17" s="1"/>
  <c r="D279" i="17"/>
  <c r="E279" i="17" s="1"/>
  <c r="E278" i="17"/>
  <c r="F278" i="17"/>
  <c r="D190" i="17"/>
  <c r="E190" i="17"/>
  <c r="E280" i="17"/>
  <c r="F280" i="17" s="1"/>
  <c r="D290" i="17"/>
  <c r="E290" i="17"/>
  <c r="F290" i="17" s="1"/>
  <c r="D274" i="17"/>
  <c r="D199" i="17"/>
  <c r="E199" i="17"/>
  <c r="F199" i="17" s="1"/>
  <c r="D200" i="17"/>
  <c r="E200" i="17" s="1"/>
  <c r="D283" i="17"/>
  <c r="D287" i="17"/>
  <c r="D267" i="17"/>
  <c r="D285" i="17"/>
  <c r="D286" i="17" s="1"/>
  <c r="D269" i="17"/>
  <c r="D205" i="17"/>
  <c r="D206" i="17"/>
  <c r="D214" i="17"/>
  <c r="D215" i="17"/>
  <c r="D255" i="17" s="1"/>
  <c r="E255" i="17" s="1"/>
  <c r="F255" i="17" s="1"/>
  <c r="D261" i="17"/>
  <c r="D262" i="17"/>
  <c r="D272" i="17" s="1"/>
  <c r="D264" i="17"/>
  <c r="F294" i="17"/>
  <c r="F296" i="17"/>
  <c r="F297" i="17"/>
  <c r="F298" i="17"/>
  <c r="F299" i="17"/>
  <c r="F36" i="14"/>
  <c r="F38" i="14"/>
  <c r="F40" i="14" s="1"/>
  <c r="I31" i="14"/>
  <c r="I17" i="14"/>
  <c r="D31" i="14"/>
  <c r="F31" i="14"/>
  <c r="H31" i="14"/>
  <c r="C33" i="14"/>
  <c r="C36" i="14"/>
  <c r="C38" i="14" s="1"/>
  <c r="C40" i="14"/>
  <c r="E33" i="14"/>
  <c r="E36" i="14" s="1"/>
  <c r="E38" i="14" s="1"/>
  <c r="E40" i="14" s="1"/>
  <c r="G33" i="14"/>
  <c r="H17" i="14"/>
  <c r="C20" i="13"/>
  <c r="C21" i="13"/>
  <c r="C17" i="13"/>
  <c r="C28" i="13"/>
  <c r="C22" i="13" s="1"/>
  <c r="C70" i="13"/>
  <c r="C72" i="13" s="1"/>
  <c r="C69" i="13" s="1"/>
  <c r="E17" i="13"/>
  <c r="E28" i="13" s="1"/>
  <c r="E70" i="13" s="1"/>
  <c r="E72" i="13" s="1"/>
  <c r="E69" i="13" s="1"/>
  <c r="D48" i="13"/>
  <c r="D42" i="13"/>
  <c r="F17" i="12"/>
  <c r="C20" i="12"/>
  <c r="D20" i="12"/>
  <c r="D34" i="12" s="1"/>
  <c r="E17" i="12"/>
  <c r="E15" i="12"/>
  <c r="F15" i="12" s="1"/>
  <c r="E41" i="11"/>
  <c r="F41" i="11" s="1"/>
  <c r="E22" i="11"/>
  <c r="F22" i="11" s="1"/>
  <c r="E38" i="11"/>
  <c r="F38" i="11"/>
  <c r="E56" i="11"/>
  <c r="F56" i="11"/>
  <c r="F120" i="10"/>
  <c r="E112" i="10"/>
  <c r="F112" i="10" s="1"/>
  <c r="E113" i="10"/>
  <c r="F113" i="10"/>
  <c r="E198" i="9"/>
  <c r="F198" i="9" s="1"/>
  <c r="E20" i="8"/>
  <c r="C137" i="8"/>
  <c r="C135" i="8"/>
  <c r="E157" i="8"/>
  <c r="D156" i="8"/>
  <c r="D21" i="8"/>
  <c r="C20" i="8"/>
  <c r="C21" i="8"/>
  <c r="E140" i="8"/>
  <c r="E138" i="8"/>
  <c r="E136" i="8"/>
  <c r="E139" i="8"/>
  <c r="E137" i="8"/>
  <c r="E135" i="8"/>
  <c r="D139" i="8"/>
  <c r="D137" i="8"/>
  <c r="D15" i="8"/>
  <c r="E17" i="8"/>
  <c r="E28" i="8" s="1"/>
  <c r="E43" i="8"/>
  <c r="D49" i="8"/>
  <c r="E53" i="8"/>
  <c r="D57" i="8"/>
  <c r="D62" i="8" s="1"/>
  <c r="D77" i="8"/>
  <c r="D71" i="8" s="1"/>
  <c r="E49" i="8"/>
  <c r="E41" i="6"/>
  <c r="F41" i="6" s="1"/>
  <c r="E84" i="6"/>
  <c r="F84" i="6" s="1"/>
  <c r="F65" i="4"/>
  <c r="E56" i="4"/>
  <c r="F56" i="4"/>
  <c r="E61" i="4"/>
  <c r="F61" i="4" s="1"/>
  <c r="D36" i="22"/>
  <c r="D30" i="22"/>
  <c r="D38" i="22" s="1"/>
  <c r="C53" i="22"/>
  <c r="C45" i="22"/>
  <c r="C35" i="22"/>
  <c r="C110" i="22"/>
  <c r="C54" i="22"/>
  <c r="C46" i="22"/>
  <c r="E53" i="22"/>
  <c r="E45" i="22"/>
  <c r="E39" i="22"/>
  <c r="E35" i="22"/>
  <c r="E29" i="22"/>
  <c r="E112" i="22" s="1"/>
  <c r="E110" i="22"/>
  <c r="E54" i="22"/>
  <c r="E40" i="22"/>
  <c r="E36" i="22"/>
  <c r="E30" i="22"/>
  <c r="E38" i="22" s="1"/>
  <c r="D53" i="22"/>
  <c r="D29" i="22"/>
  <c r="D55" i="22" s="1"/>
  <c r="F43" i="20"/>
  <c r="E46" i="20"/>
  <c r="F46" i="20"/>
  <c r="C77" i="18"/>
  <c r="D246" i="18"/>
  <c r="D223" i="18"/>
  <c r="E243" i="18"/>
  <c r="D252" i="18"/>
  <c r="D181" i="18"/>
  <c r="D169" i="18"/>
  <c r="C180" i="18"/>
  <c r="C145" i="18"/>
  <c r="E43" i="18"/>
  <c r="C99" i="18"/>
  <c r="E99" i="18" s="1"/>
  <c r="C98" i="18"/>
  <c r="C87" i="18"/>
  <c r="D44" i="18"/>
  <c r="D258" i="18" s="1"/>
  <c r="E316" i="18"/>
  <c r="D320" i="18"/>
  <c r="E320" i="18"/>
  <c r="E211" i="18"/>
  <c r="C281" i="17"/>
  <c r="D254" i="17"/>
  <c r="E264" i="17"/>
  <c r="E215" i="17"/>
  <c r="F215" i="17" s="1"/>
  <c r="D270" i="17"/>
  <c r="E267" i="17"/>
  <c r="D194" i="17"/>
  <c r="D288" i="17"/>
  <c r="F264" i="17"/>
  <c r="C271" i="17"/>
  <c r="C268" i="17"/>
  <c r="F190" i="17"/>
  <c r="F279" i="17"/>
  <c r="E172" i="17"/>
  <c r="D173" i="17"/>
  <c r="E173" i="17" s="1"/>
  <c r="F124" i="17"/>
  <c r="F192" i="17"/>
  <c r="D282" i="17"/>
  <c r="C174" i="17"/>
  <c r="D125" i="17"/>
  <c r="E125" i="17"/>
  <c r="E103" i="17"/>
  <c r="F103" i="17" s="1"/>
  <c r="C125" i="17"/>
  <c r="F125" i="17" s="1"/>
  <c r="D284" i="17"/>
  <c r="F267" i="17"/>
  <c r="C304" i="17"/>
  <c r="C49" i="17"/>
  <c r="C126" i="17"/>
  <c r="D207" i="17"/>
  <c r="D208" i="17" s="1"/>
  <c r="D138" i="17"/>
  <c r="C194" i="17"/>
  <c r="D160" i="17"/>
  <c r="D62" i="17"/>
  <c r="C175" i="17"/>
  <c r="C62" i="17"/>
  <c r="C63" i="17" s="1"/>
  <c r="G36" i="14"/>
  <c r="G38" i="14" s="1"/>
  <c r="G40" i="14" s="1"/>
  <c r="I33" i="14"/>
  <c r="I36" i="14" s="1"/>
  <c r="I38" i="14" s="1"/>
  <c r="I40" i="14" s="1"/>
  <c r="H33" i="14"/>
  <c r="H36" i="14"/>
  <c r="H38" i="14" s="1"/>
  <c r="E20" i="12"/>
  <c r="F20" i="12"/>
  <c r="C34" i="12"/>
  <c r="C42" i="12" s="1"/>
  <c r="C112" i="8"/>
  <c r="C111" i="8" s="1"/>
  <c r="C28" i="8"/>
  <c r="C99" i="8" s="1"/>
  <c r="E141" i="8"/>
  <c r="E112" i="8"/>
  <c r="E111" i="8"/>
  <c r="D24" i="8"/>
  <c r="D17" i="8"/>
  <c r="D47" i="22"/>
  <c r="D37" i="22"/>
  <c r="E56" i="22"/>
  <c r="E48" i="22"/>
  <c r="E55" i="22"/>
  <c r="E47" i="22"/>
  <c r="E37" i="22"/>
  <c r="D140" i="17"/>
  <c r="D100" i="18"/>
  <c r="D98" i="18"/>
  <c r="E98" i="18"/>
  <c r="D96" i="18"/>
  <c r="D89" i="18"/>
  <c r="D83" i="18"/>
  <c r="D101" i="18"/>
  <c r="D97" i="18"/>
  <c r="D86" i="18"/>
  <c r="D99" i="18"/>
  <c r="D95" i="18"/>
  <c r="D88" i="18"/>
  <c r="D84" i="18"/>
  <c r="E252" i="18"/>
  <c r="D247" i="18"/>
  <c r="C122" i="18"/>
  <c r="C176" i="17"/>
  <c r="F176" i="17" s="1"/>
  <c r="C50" i="17"/>
  <c r="E270" i="17"/>
  <c r="D265" i="17"/>
  <c r="D141" i="17"/>
  <c r="D322" i="17" s="1"/>
  <c r="C127" i="17"/>
  <c r="F270" i="17"/>
  <c r="D28" i="8"/>
  <c r="D22" i="8" s="1"/>
  <c r="D112" i="8"/>
  <c r="D111" i="8"/>
  <c r="E99" i="8"/>
  <c r="E101" i="8" s="1"/>
  <c r="E98" i="8" s="1"/>
  <c r="C101" i="8"/>
  <c r="C22" i="8"/>
  <c r="F281" i="17" l="1"/>
  <c r="F63" i="17"/>
  <c r="C70" i="17"/>
  <c r="C181" i="18"/>
  <c r="E181" i="18" s="1"/>
  <c r="C169" i="18"/>
  <c r="E169" i="18" s="1"/>
  <c r="E145" i="18"/>
  <c r="D284" i="18"/>
  <c r="E284" i="18" s="1"/>
  <c r="D99" i="8"/>
  <c r="D101" i="8" s="1"/>
  <c r="E204" i="9"/>
  <c r="F204" i="9" s="1"/>
  <c r="C246" i="18"/>
  <c r="E246" i="18" s="1"/>
  <c r="C223" i="18"/>
  <c r="E180" i="18"/>
  <c r="E65" i="18"/>
  <c r="C294" i="18"/>
  <c r="H40" i="14"/>
  <c r="D90" i="18"/>
  <c r="C35" i="5"/>
  <c r="E183" i="7"/>
  <c r="F183" i="7" s="1"/>
  <c r="D188" i="7"/>
  <c r="E188" i="7" s="1"/>
  <c r="F188" i="7" s="1"/>
  <c r="C127" i="18"/>
  <c r="C113" i="18"/>
  <c r="C125" i="18"/>
  <c r="C111" i="18"/>
  <c r="C123" i="18"/>
  <c r="C115" i="18"/>
  <c r="C121" i="18"/>
  <c r="C124" i="18"/>
  <c r="C112" i="18"/>
  <c r="E287" i="17"/>
  <c r="F287" i="17" s="1"/>
  <c r="D289" i="17"/>
  <c r="C114" i="18"/>
  <c r="E194" i="17"/>
  <c r="D195" i="17"/>
  <c r="E88" i="18"/>
  <c r="D126" i="17"/>
  <c r="D91" i="17"/>
  <c r="E21" i="17"/>
  <c r="F21" i="17" s="1"/>
  <c r="D196" i="17"/>
  <c r="D49" i="17"/>
  <c r="E61" i="17"/>
  <c r="F61" i="17" s="1"/>
  <c r="D139" i="17"/>
  <c r="D209" i="17"/>
  <c r="C86" i="18"/>
  <c r="E86" i="18" s="1"/>
  <c r="C83" i="18"/>
  <c r="C84" i="18"/>
  <c r="C258" i="18"/>
  <c r="C100" i="18"/>
  <c r="C96" i="18"/>
  <c r="C89" i="18"/>
  <c r="E89" i="18" s="1"/>
  <c r="C85" i="18"/>
  <c r="C97" i="18"/>
  <c r="E97" i="18" s="1"/>
  <c r="C95" i="18"/>
  <c r="C253" i="18"/>
  <c r="C254" i="18" s="1"/>
  <c r="E240" i="18"/>
  <c r="F194" i="17"/>
  <c r="C195" i="17"/>
  <c r="C196" i="17"/>
  <c r="C101" i="18"/>
  <c r="E101" i="18" s="1"/>
  <c r="E34" i="12"/>
  <c r="F34" i="12" s="1"/>
  <c r="D42" i="12"/>
  <c r="C286" i="17"/>
  <c r="C284" i="17"/>
  <c r="E283" i="17"/>
  <c r="F283" i="17" s="1"/>
  <c r="C109" i="18"/>
  <c r="D161" i="17"/>
  <c r="E16" i="5"/>
  <c r="F16" i="5" s="1"/>
  <c r="D263" i="17"/>
  <c r="E261" i="17"/>
  <c r="F261" i="17" s="1"/>
  <c r="D271" i="17"/>
  <c r="D268" i="17"/>
  <c r="E268" i="17" s="1"/>
  <c r="F268" i="17" s="1"/>
  <c r="D41" i="4"/>
  <c r="E41" i="4" s="1"/>
  <c r="F41" i="4" s="1"/>
  <c r="E38" i="4"/>
  <c r="F38" i="4" s="1"/>
  <c r="E41" i="7"/>
  <c r="F41" i="7" s="1"/>
  <c r="C95" i="7"/>
  <c r="C128" i="18"/>
  <c r="C126" i="18"/>
  <c r="C263" i="17"/>
  <c r="C272" i="17"/>
  <c r="E262" i="17"/>
  <c r="F262" i="17"/>
  <c r="E62" i="17"/>
  <c r="F62" i="17" s="1"/>
  <c r="D63" i="17"/>
  <c r="E63" i="17" s="1"/>
  <c r="E83" i="18"/>
  <c r="E274" i="17"/>
  <c r="F274" i="17" s="1"/>
  <c r="D300" i="17"/>
  <c r="E300" i="17" s="1"/>
  <c r="E206" i="17"/>
  <c r="F206" i="17" s="1"/>
  <c r="C110" i="18"/>
  <c r="C116" i="18" s="1"/>
  <c r="D174" i="17"/>
  <c r="E174" i="17" s="1"/>
  <c r="F174" i="17" s="1"/>
  <c r="D21" i="5"/>
  <c r="E18" i="5"/>
  <c r="F18" i="5" s="1"/>
  <c r="E44" i="18"/>
  <c r="C49" i="12"/>
  <c r="F205" i="17"/>
  <c r="D104" i="17"/>
  <c r="E104" i="17" s="1"/>
  <c r="F104" i="17" s="1"/>
  <c r="C273" i="17"/>
  <c r="E254" i="17"/>
  <c r="F254" i="17" s="1"/>
  <c r="D56" i="22"/>
  <c r="D48" i="22"/>
  <c r="C295" i="18"/>
  <c r="E295" i="18" s="1"/>
  <c r="E86" i="6"/>
  <c r="D95" i="6"/>
  <c r="E35" i="7"/>
  <c r="F35" i="7"/>
  <c r="E155" i="8"/>
  <c r="E153" i="8"/>
  <c r="E156" i="8"/>
  <c r="E154" i="8"/>
  <c r="E152" i="8"/>
  <c r="C166" i="8"/>
  <c r="E208" i="9"/>
  <c r="E282" i="17"/>
  <c r="F282" i="17" s="1"/>
  <c r="D281" i="17"/>
  <c r="E281" i="17" s="1"/>
  <c r="F39" i="20"/>
  <c r="C49" i="8"/>
  <c r="C43" i="8"/>
  <c r="E269" i="17"/>
  <c r="F216" i="17"/>
  <c r="E217" i="18"/>
  <c r="D241" i="18"/>
  <c r="E241" i="18" s="1"/>
  <c r="E33" i="18"/>
  <c r="C36" i="22"/>
  <c r="C30" i="22"/>
  <c r="C52" i="6"/>
  <c r="E24" i="9"/>
  <c r="F24" i="9"/>
  <c r="E89" i="9"/>
  <c r="F89" i="9" s="1"/>
  <c r="E203" i="9"/>
  <c r="F203" i="9" s="1"/>
  <c r="E40" i="20"/>
  <c r="E41" i="20" s="1"/>
  <c r="F41" i="20" s="1"/>
  <c r="D77" i="22"/>
  <c r="D101" i="22"/>
  <c r="D103" i="22" s="1"/>
  <c r="D102" i="18"/>
  <c r="E113" i="22"/>
  <c r="C265" i="17"/>
  <c r="C111" i="22"/>
  <c r="E199" i="9"/>
  <c r="F199" i="9" s="1"/>
  <c r="D45" i="22"/>
  <c r="D39" i="22"/>
  <c r="D35" i="22"/>
  <c r="F42" i="6"/>
  <c r="F137" i="6"/>
  <c r="F76" i="9"/>
  <c r="E115" i="9"/>
  <c r="F115" i="9" s="1"/>
  <c r="E24" i="10"/>
  <c r="C22" i="18"/>
  <c r="C284" i="18" s="1"/>
  <c r="E21" i="18"/>
  <c r="D55" i="18"/>
  <c r="D234" i="18"/>
  <c r="E234" i="18" s="1"/>
  <c r="E54" i="18"/>
  <c r="D76" i="18"/>
  <c r="E71" i="18"/>
  <c r="C260" i="18"/>
  <c r="E195" i="18"/>
  <c r="D98" i="8"/>
  <c r="C65" i="11"/>
  <c r="F61" i="11"/>
  <c r="E100" i="18"/>
  <c r="D216" i="17"/>
  <c r="E216" i="17" s="1"/>
  <c r="E214" i="17"/>
  <c r="F214" i="17" s="1"/>
  <c r="F91" i="6"/>
  <c r="F62" i="9"/>
  <c r="F37" i="15"/>
  <c r="E37" i="15"/>
  <c r="E265" i="18"/>
  <c r="D302" i="18"/>
  <c r="C303" i="18"/>
  <c r="C306" i="18" s="1"/>
  <c r="C310" i="18" s="1"/>
  <c r="E301" i="18"/>
  <c r="E22" i="8"/>
  <c r="F266" i="17"/>
  <c r="D291" i="17"/>
  <c r="D210" i="17"/>
  <c r="E32" i="17"/>
  <c r="F32" i="17" s="1"/>
  <c r="D175" i="17"/>
  <c r="E222" i="18"/>
  <c r="E294" i="18"/>
  <c r="E66" i="18"/>
  <c r="F86" i="6"/>
  <c r="E88" i="6"/>
  <c r="F88" i="6" s="1"/>
  <c r="E91" i="6"/>
  <c r="E94" i="6"/>
  <c r="F30" i="7"/>
  <c r="F130" i="7"/>
  <c r="E36" i="9"/>
  <c r="E62" i="9"/>
  <c r="E229" i="17"/>
  <c r="F229" i="17" s="1"/>
  <c r="E220" i="18"/>
  <c r="D244" i="18"/>
  <c r="E244" i="18" s="1"/>
  <c r="E233" i="18"/>
  <c r="D140" i="8"/>
  <c r="D138" i="8"/>
  <c r="D136" i="8"/>
  <c r="D141" i="8" s="1"/>
  <c r="D157" i="8"/>
  <c r="D155" i="8"/>
  <c r="D153" i="8"/>
  <c r="D158" i="8" s="1"/>
  <c r="D43" i="11"/>
  <c r="E43" i="11" s="1"/>
  <c r="E29" i="11"/>
  <c r="C89" i="17"/>
  <c r="E88" i="17"/>
  <c r="F88" i="17" s="1"/>
  <c r="F269" i="17"/>
  <c r="F200" i="17"/>
  <c r="E46" i="6"/>
  <c r="F46" i="6" s="1"/>
  <c r="C140" i="8"/>
  <c r="C138" i="8"/>
  <c r="E207" i="9"/>
  <c r="F207" i="9" s="1"/>
  <c r="F117" i="10"/>
  <c r="E193" i="17"/>
  <c r="F193" i="17" s="1"/>
  <c r="C40" i="22"/>
  <c r="D154" i="8"/>
  <c r="C136" i="8"/>
  <c r="C141" i="8" s="1"/>
  <c r="F300" i="17"/>
  <c r="D54" i="22"/>
  <c r="D46" i="22"/>
  <c r="D40" i="22"/>
  <c r="F89" i="6"/>
  <c r="E89" i="6"/>
  <c r="F111" i="6"/>
  <c r="E153" i="6"/>
  <c r="F153" i="6" s="1"/>
  <c r="F24" i="7"/>
  <c r="E30" i="7"/>
  <c r="E130" i="7"/>
  <c r="D20" i="8"/>
  <c r="F23" i="9"/>
  <c r="E101" i="9"/>
  <c r="F101" i="9" s="1"/>
  <c r="F73" i="11"/>
  <c r="D25" i="13"/>
  <c r="D27" i="13" s="1"/>
  <c r="D15" i="13"/>
  <c r="D111" i="17"/>
  <c r="E110" i="17"/>
  <c r="E48" i="6"/>
  <c r="F48" i="6" s="1"/>
  <c r="C95" i="6"/>
  <c r="F179" i="6"/>
  <c r="F18" i="7"/>
  <c r="E193" i="9"/>
  <c r="E122" i="10"/>
  <c r="F122" i="10" s="1"/>
  <c r="E117" i="10"/>
  <c r="F60" i="15"/>
  <c r="C181" i="17"/>
  <c r="E179" i="17"/>
  <c r="F179" i="17"/>
  <c r="F203" i="17"/>
  <c r="D85" i="18"/>
  <c r="C105" i="17"/>
  <c r="E46" i="22"/>
  <c r="C29" i="22"/>
  <c r="E42" i="6"/>
  <c r="F87" i="6"/>
  <c r="D53" i="8"/>
  <c r="F75" i="9"/>
  <c r="F201" i="9"/>
  <c r="E100" i="17"/>
  <c r="F100" i="17"/>
  <c r="C43" i="4"/>
  <c r="F48" i="5"/>
  <c r="F85" i="6"/>
  <c r="F124" i="6"/>
  <c r="E90" i="8"/>
  <c r="E86" i="8" s="1"/>
  <c r="F63" i="9"/>
  <c r="F140" i="9"/>
  <c r="F35" i="10"/>
  <c r="F158" i="17"/>
  <c r="C159" i="17"/>
  <c r="D87" i="18"/>
  <c r="E87" i="18" s="1"/>
  <c r="E22" i="4"/>
  <c r="F22" i="4" s="1"/>
  <c r="D43" i="4"/>
  <c r="E43" i="4" s="1"/>
  <c r="F41" i="5"/>
  <c r="E48" i="5"/>
  <c r="E85" i="6"/>
  <c r="E124" i="6"/>
  <c r="E88" i="9"/>
  <c r="F88" i="9"/>
  <c r="E202" i="9"/>
  <c r="F202" i="9"/>
  <c r="F120" i="17"/>
  <c r="F50" i="9"/>
  <c r="F127" i="9"/>
  <c r="F141" i="9"/>
  <c r="C208" i="9"/>
  <c r="E65" i="15"/>
  <c r="F65" i="15" s="1"/>
  <c r="E36" i="17"/>
  <c r="F36" i="17" s="1"/>
  <c r="D37" i="17"/>
  <c r="E37" i="17" s="1"/>
  <c r="F37" i="17" s="1"/>
  <c r="E95" i="17"/>
  <c r="F95" i="17" s="1"/>
  <c r="F170" i="17"/>
  <c r="E170" i="17"/>
  <c r="E203" i="17"/>
  <c r="E221" i="18"/>
  <c r="D245" i="18"/>
  <c r="E245" i="18" s="1"/>
  <c r="F21" i="21"/>
  <c r="F102" i="9"/>
  <c r="E25" i="16"/>
  <c r="F25" i="16" s="1"/>
  <c r="F307" i="17"/>
  <c r="D261" i="18"/>
  <c r="E261" i="18" s="1"/>
  <c r="E36" i="20"/>
  <c r="F36" i="20" s="1"/>
  <c r="F34" i="20"/>
  <c r="F114" i="9"/>
  <c r="E198" i="17"/>
  <c r="F198" i="17" s="1"/>
  <c r="E109" i="8"/>
  <c r="E106" i="8" s="1"/>
  <c r="E37" i="9"/>
  <c r="E114" i="9"/>
  <c r="F205" i="9"/>
  <c r="D121" i="10"/>
  <c r="E121" i="10" s="1"/>
  <c r="F121" i="10" s="1"/>
  <c r="F119" i="10"/>
  <c r="F70" i="15"/>
  <c r="C111" i="17"/>
  <c r="F110" i="17"/>
  <c r="F116" i="10"/>
  <c r="E60" i="15"/>
  <c r="F59" i="15"/>
  <c r="E94" i="17"/>
  <c r="F94" i="17" s="1"/>
  <c r="F130" i="17"/>
  <c r="F136" i="17"/>
  <c r="E158" i="17"/>
  <c r="E238" i="17"/>
  <c r="F238" i="17"/>
  <c r="E311" i="17"/>
  <c r="E262" i="18"/>
  <c r="F44" i="20"/>
  <c r="F114" i="10"/>
  <c r="C43" i="11"/>
  <c r="E73" i="11"/>
  <c r="E32" i="12"/>
  <c r="F32" i="12" s="1"/>
  <c r="F23" i="15"/>
  <c r="F55" i="15"/>
  <c r="E75" i="15"/>
  <c r="F75" i="15" s="1"/>
  <c r="F74" i="15"/>
  <c r="F223" i="17"/>
  <c r="E41" i="18"/>
  <c r="F16" i="20"/>
  <c r="F50" i="15"/>
  <c r="E307" i="17"/>
  <c r="F115" i="10"/>
  <c r="F118" i="10"/>
  <c r="F29" i="11"/>
  <c r="F45" i="15"/>
  <c r="F135" i="17"/>
  <c r="E144" i="17"/>
  <c r="F144" i="17" s="1"/>
  <c r="F204" i="17"/>
  <c r="E276" i="18"/>
  <c r="F22" i="20"/>
  <c r="E25" i="13"/>
  <c r="E27" i="13" s="1"/>
  <c r="C137" i="17"/>
  <c r="C285" i="17"/>
  <c r="C247" i="18" l="1"/>
  <c r="E247" i="18" s="1"/>
  <c r="E223" i="18"/>
  <c r="E20" i="13"/>
  <c r="E22" i="13"/>
  <c r="E21" i="13"/>
  <c r="C91" i="17"/>
  <c r="C90" i="17"/>
  <c r="F89" i="17"/>
  <c r="E89" i="17"/>
  <c r="F195" i="17"/>
  <c r="F49" i="12"/>
  <c r="D91" i="18"/>
  <c r="F208" i="9"/>
  <c r="F159" i="17"/>
  <c r="E159" i="17"/>
  <c r="C161" i="17"/>
  <c r="C160" i="17"/>
  <c r="F181" i="17"/>
  <c r="E181" i="17"/>
  <c r="D109" i="22"/>
  <c r="D108" i="22"/>
  <c r="D111" i="22"/>
  <c r="D112" i="22"/>
  <c r="D110" i="22"/>
  <c r="F40" i="20"/>
  <c r="D113" i="22"/>
  <c r="E272" i="17"/>
  <c r="F272" i="17" s="1"/>
  <c r="E263" i="17"/>
  <c r="D103" i="18"/>
  <c r="C102" i="18"/>
  <c r="E102" i="18" s="1"/>
  <c r="E96" i="18"/>
  <c r="C207" i="17"/>
  <c r="C138" i="17"/>
  <c r="E137" i="17"/>
  <c r="F137" i="17" s="1"/>
  <c r="D21" i="13"/>
  <c r="D20" i="13"/>
  <c r="D127" i="17"/>
  <c r="E126" i="17"/>
  <c r="F126" i="17" s="1"/>
  <c r="C43" i="5"/>
  <c r="E55" i="18"/>
  <c r="D235" i="18"/>
  <c r="E235" i="18" s="1"/>
  <c r="E271" i="17"/>
  <c r="F271" i="17" s="1"/>
  <c r="D304" i="17"/>
  <c r="D273" i="17"/>
  <c r="E273" i="17" s="1"/>
  <c r="F43" i="4"/>
  <c r="C47" i="22"/>
  <c r="C112" i="22"/>
  <c r="C55" i="22"/>
  <c r="C37" i="22"/>
  <c r="D253" i="18"/>
  <c r="D303" i="18"/>
  <c r="E302" i="18"/>
  <c r="C263" i="18"/>
  <c r="E260" i="18"/>
  <c r="F263" i="17"/>
  <c r="E49" i="17"/>
  <c r="F49" i="17" s="1"/>
  <c r="D50" i="17"/>
  <c r="D162" i="17"/>
  <c r="E42" i="12"/>
  <c r="F42" i="12" s="1"/>
  <c r="D49" i="12"/>
  <c r="E49" i="12" s="1"/>
  <c r="E258" i="18"/>
  <c r="C264" i="18"/>
  <c r="C266" i="18" s="1"/>
  <c r="C267" i="18" s="1"/>
  <c r="D197" i="17"/>
  <c r="E196" i="17"/>
  <c r="F196" i="17" s="1"/>
  <c r="C129" i="18"/>
  <c r="E52" i="6"/>
  <c r="F52" i="6" s="1"/>
  <c r="F105" i="17"/>
  <c r="C106" i="17"/>
  <c r="E105" i="17"/>
  <c r="E111" i="17"/>
  <c r="F111" i="17" s="1"/>
  <c r="D211" i="17"/>
  <c r="C75" i="11"/>
  <c r="E65" i="11"/>
  <c r="F65" i="11"/>
  <c r="D77" i="18"/>
  <c r="E76" i="18"/>
  <c r="D259" i="18"/>
  <c r="E265" i="17"/>
  <c r="F265" i="17" s="1"/>
  <c r="C152" i="8"/>
  <c r="C155" i="8"/>
  <c r="C156" i="8"/>
  <c r="C153" i="8"/>
  <c r="C157" i="8"/>
  <c r="C154" i="8"/>
  <c r="E95" i="6"/>
  <c r="F95" i="6" s="1"/>
  <c r="E21" i="5"/>
  <c r="F21" i="5" s="1"/>
  <c r="D35" i="5"/>
  <c r="C117" i="18"/>
  <c r="C131" i="18" s="1"/>
  <c r="C90" i="18"/>
  <c r="E90" i="18" s="1"/>
  <c r="E84" i="18"/>
  <c r="E286" i="17"/>
  <c r="F286" i="17" s="1"/>
  <c r="E284" i="17"/>
  <c r="F284" i="17"/>
  <c r="D176" i="17"/>
  <c r="E176" i="17" s="1"/>
  <c r="E175" i="17"/>
  <c r="F175" i="17" s="1"/>
  <c r="E95" i="7"/>
  <c r="F95" i="7" s="1"/>
  <c r="E195" i="17"/>
  <c r="C56" i="22"/>
  <c r="C113" i="22"/>
  <c r="C48" i="22"/>
  <c r="C38" i="22"/>
  <c r="C288" i="17"/>
  <c r="E285" i="17"/>
  <c r="F285" i="17" s="1"/>
  <c r="F43" i="11"/>
  <c r="E85" i="18"/>
  <c r="D17" i="13"/>
  <c r="D28" i="13" s="1"/>
  <c r="D70" i="13" s="1"/>
  <c r="D72" i="13" s="1"/>
  <c r="D69" i="13" s="1"/>
  <c r="D24" i="13"/>
  <c r="D305" i="17"/>
  <c r="E158" i="8"/>
  <c r="F273" i="17"/>
  <c r="E95" i="18"/>
  <c r="C91" i="18"/>
  <c r="D92" i="17"/>
  <c r="E22" i="18"/>
  <c r="C269" i="18" l="1"/>
  <c r="C268" i="18"/>
  <c r="D183" i="17"/>
  <c r="D323" i="17"/>
  <c r="C50" i="5"/>
  <c r="E90" i="17"/>
  <c r="F90" i="17" s="1"/>
  <c r="E259" i="18"/>
  <c r="D263" i="18"/>
  <c r="C140" i="17"/>
  <c r="C139" i="17"/>
  <c r="E138" i="17"/>
  <c r="F138" i="17" s="1"/>
  <c r="D105" i="18"/>
  <c r="E105" i="18" s="1"/>
  <c r="E91" i="18"/>
  <c r="C92" i="17"/>
  <c r="C103" i="18"/>
  <c r="C105" i="18"/>
  <c r="E106" i="17"/>
  <c r="F106" i="17" s="1"/>
  <c r="E303" i="18"/>
  <c r="D306" i="18"/>
  <c r="E127" i="17"/>
  <c r="F127" i="17" s="1"/>
  <c r="D148" i="17"/>
  <c r="E253" i="18"/>
  <c r="D254" i="18"/>
  <c r="E254" i="18" s="1"/>
  <c r="C162" i="17"/>
  <c r="F161" i="17"/>
  <c r="E91" i="17"/>
  <c r="F91" i="17" s="1"/>
  <c r="D309" i="17"/>
  <c r="D43" i="5"/>
  <c r="E35" i="5"/>
  <c r="F35" i="5" s="1"/>
  <c r="C158" i="8"/>
  <c r="E75" i="11"/>
  <c r="F75" i="11" s="1"/>
  <c r="D22" i="13"/>
  <c r="E103" i="18"/>
  <c r="D111" i="18"/>
  <c r="E111" i="18" s="1"/>
  <c r="D125" i="18"/>
  <c r="E125" i="18" s="1"/>
  <c r="E77" i="18"/>
  <c r="D123" i="18"/>
  <c r="E123" i="18" s="1"/>
  <c r="D126" i="18"/>
  <c r="E126" i="18" s="1"/>
  <c r="D121" i="18"/>
  <c r="D115" i="18"/>
  <c r="E115" i="18" s="1"/>
  <c r="D110" i="18"/>
  <c r="D122" i="18"/>
  <c r="D113" i="18"/>
  <c r="E113" i="18" s="1"/>
  <c r="D127" i="18"/>
  <c r="E127" i="18" s="1"/>
  <c r="D109" i="18"/>
  <c r="D124" i="18"/>
  <c r="E124" i="18" s="1"/>
  <c r="D114" i="18"/>
  <c r="E114" i="18" s="1"/>
  <c r="D112" i="18"/>
  <c r="E112" i="18" s="1"/>
  <c r="D70" i="17"/>
  <c r="E70" i="17" s="1"/>
  <c r="F70" i="17" s="1"/>
  <c r="E50" i="17"/>
  <c r="F50" i="17" s="1"/>
  <c r="C208" i="17"/>
  <c r="E207" i="17"/>
  <c r="F207" i="17" s="1"/>
  <c r="C291" i="17"/>
  <c r="E288" i="17"/>
  <c r="F288" i="17" s="1"/>
  <c r="C289" i="17"/>
  <c r="E304" i="17"/>
  <c r="F304" i="17" s="1"/>
  <c r="D310" i="17"/>
  <c r="E160" i="17"/>
  <c r="F160" i="17" s="1"/>
  <c r="E92" i="17"/>
  <c r="D113" i="17"/>
  <c r="D324" i="17"/>
  <c r="E161" i="17"/>
  <c r="F291" i="17" l="1"/>
  <c r="C305" i="17"/>
  <c r="E291" i="17"/>
  <c r="E121" i="18"/>
  <c r="C183" i="17"/>
  <c r="F183" i="17" s="1"/>
  <c r="F162" i="17"/>
  <c r="C323" i="17"/>
  <c r="F323" i="17" s="1"/>
  <c r="C197" i="17"/>
  <c r="E139" i="17"/>
  <c r="F139" i="17" s="1"/>
  <c r="D117" i="18"/>
  <c r="E109" i="18"/>
  <c r="C141" i="17"/>
  <c r="E140" i="17"/>
  <c r="F140" i="17" s="1"/>
  <c r="E162" i="17"/>
  <c r="D312" i="17"/>
  <c r="C210" i="17"/>
  <c r="C209" i="17"/>
  <c r="E208" i="17"/>
  <c r="F208" i="17" s="1"/>
  <c r="D50" i="5"/>
  <c r="E50" i="5" s="1"/>
  <c r="F50" i="5" s="1"/>
  <c r="E43" i="5"/>
  <c r="F43" i="5" s="1"/>
  <c r="C113" i="17"/>
  <c r="C324" i="17"/>
  <c r="F92" i="17"/>
  <c r="D128" i="18"/>
  <c r="E128" i="18" s="1"/>
  <c r="E122" i="18"/>
  <c r="E263" i="18"/>
  <c r="D264" i="18"/>
  <c r="E324" i="17"/>
  <c r="D325" i="17"/>
  <c r="E289" i="17"/>
  <c r="F289" i="17" s="1"/>
  <c r="D116" i="18"/>
  <c r="E116" i="18" s="1"/>
  <c r="E110" i="18"/>
  <c r="E306" i="18"/>
  <c r="D310" i="18"/>
  <c r="E310" i="18" s="1"/>
  <c r="C271" i="18"/>
  <c r="F305" i="17" l="1"/>
  <c r="C309" i="17"/>
  <c r="E305" i="17"/>
  <c r="E197" i="17"/>
  <c r="F197" i="17" s="1"/>
  <c r="E323" i="17"/>
  <c r="E209" i="17"/>
  <c r="F209" i="17" s="1"/>
  <c r="C322" i="17"/>
  <c r="C211" i="17"/>
  <c r="E141" i="17"/>
  <c r="F141" i="17"/>
  <c r="C148" i="17"/>
  <c r="E183" i="17"/>
  <c r="F324" i="17"/>
  <c r="F210" i="17"/>
  <c r="E210" i="17"/>
  <c r="D266" i="18"/>
  <c r="E264" i="18"/>
  <c r="F113" i="17"/>
  <c r="D313" i="17"/>
  <c r="D131" i="18"/>
  <c r="E131" i="18" s="1"/>
  <c r="E117" i="18"/>
  <c r="D129" i="18"/>
  <c r="E129" i="18" s="1"/>
  <c r="E113" i="17"/>
  <c r="F322" i="17" l="1"/>
  <c r="E322" i="17"/>
  <c r="C310" i="17"/>
  <c r="E309" i="17"/>
  <c r="F309" i="17" s="1"/>
  <c r="C325" i="17"/>
  <c r="D315" i="17"/>
  <c r="D314" i="17"/>
  <c r="D251" i="17"/>
  <c r="D256" i="17"/>
  <c r="E148" i="17"/>
  <c r="F148" i="17" s="1"/>
  <c r="D267" i="18"/>
  <c r="E266" i="18"/>
  <c r="E211" i="17"/>
  <c r="F211" i="17" s="1"/>
  <c r="D318" i="17" l="1"/>
  <c r="D269" i="18"/>
  <c r="E269" i="18" s="1"/>
  <c r="E267" i="18"/>
  <c r="D268" i="18"/>
  <c r="E325" i="17"/>
  <c r="F325" i="17" s="1"/>
  <c r="F310" i="17"/>
  <c r="C312" i="17"/>
  <c r="E310" i="17"/>
  <c r="D257" i="17"/>
  <c r="D271" i="18" l="1"/>
  <c r="E271" i="18" s="1"/>
  <c r="E268" i="18"/>
  <c r="C313" i="17"/>
  <c r="E312" i="17"/>
  <c r="F312" i="17" s="1"/>
  <c r="C256" i="17" l="1"/>
  <c r="C315" i="17"/>
  <c r="C314" i="17"/>
  <c r="C251" i="17"/>
  <c r="E313" i="17"/>
  <c r="F313" i="17" s="1"/>
  <c r="C257" i="17" l="1"/>
  <c r="E256" i="17"/>
  <c r="F256" i="17" s="1"/>
  <c r="E251" i="17"/>
  <c r="F251" i="17" s="1"/>
  <c r="C318" i="17"/>
  <c r="E314" i="17"/>
  <c r="F314" i="17" s="1"/>
  <c r="F315" i="17"/>
  <c r="E315" i="17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<sst xmlns="http://schemas.openxmlformats.org/spreadsheetml/2006/main" count="2337" uniqueCount="1011">
  <si>
    <t>YALE-NEW HAVEN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</si>
  <si>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</si>
  <si>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</si>
  <si>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</si>
  <si>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</si>
  <si>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</si>
  <si>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</si>
  <si>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</si>
  <si>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</si>
  <si>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</si>
  <si>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</si>
  <si>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</si>
  <si>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</si>
  <si>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</si>
  <si>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</si>
  <si>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</si>
  <si>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</si>
  <si>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</si>
  <si>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</si>
  <si>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</si>
  <si>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</si>
  <si>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</si>
  <si>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</si>
  <si>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</si>
  <si>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</si>
  <si>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</si>
  <si>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</si>
  <si>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</si>
  <si>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</si>
  <si>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</si>
  <si>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</si>
  <si>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</si>
  <si>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</si>
  <si>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</si>
  <si>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</si>
  <si>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</si>
  <si>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</si>
  <si>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</si>
  <si>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</si>
  <si>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</si>
  <si>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</si>
  <si>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</si>
  <si>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</si>
  <si>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</si>
  <si>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</si>
  <si>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</si>
  <si>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</si>
  <si>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</si>
  <si>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</si>
  <si>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</si>
  <si>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</si>
  <si>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</si>
  <si>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</si>
  <si>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</si>
  <si>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</si>
  <si>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</si>
  <si>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</si>
  <si>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</si>
  <si>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</si>
  <si>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</si>
  <si>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</si>
  <si>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</si>
  <si>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</si>
  <si>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</si>
  <si>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</si>
  <si>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</si>
  <si>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</si>
  <si>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</si>
  <si>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</si>
  <si>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</si>
  <si>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</si>
  <si>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</si>
  <si>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</si>
  <si>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</si>
  <si>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</si>
  <si>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</si>
  <si>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</si>
  <si>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</si>
  <si>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</si>
  <si>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</si>
  <si>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</si>
  <si>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</si>
  <si>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</si>
  <si>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</si>
  <si>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</si>
  <si>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</si>
  <si>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</si>
  <si>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</si>
  <si>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</si>
  <si>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</si>
  <si>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</si>
  <si>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</si>
  <si>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</si>
  <si>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</si>
  <si>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</si>
  <si>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</si>
  <si>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</si>
  <si>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</si>
  <si>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</si>
  <si>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</si>
  <si>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</si>
  <si>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</si>
  <si>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</si>
  <si>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</si>
  <si>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</si>
  <si>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</si>
  <si>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</si>
  <si>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</si>
  <si>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</si>
  <si>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</si>
  <si>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</si>
  <si>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</si>
  <si>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</si>
  <si>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</si>
  <si>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</si>
  <si>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</si>
  <si>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</si>
  <si>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</si>
  <si>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</si>
  <si>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</si>
  <si>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</si>
  <si>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</si>
  <si>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</si>
  <si>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</si>
  <si>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</si>
  <si>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</si>
  <si>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</si>
  <si>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</si>
  <si>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</si>
  <si>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</si>
  <si>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</si>
  <si>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</si>
  <si>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</si>
  <si>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</si>
  <si>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</si>
  <si>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</si>
  <si>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</si>
  <si>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</si>
  <si>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</si>
  <si>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</si>
  <si>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</si>
  <si>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</si>
  <si>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</si>
  <si>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</si>
  <si>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</si>
  <si>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</si>
  <si>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</si>
  <si>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</si>
  <si>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</si>
  <si>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</si>
  <si>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</si>
  <si>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</si>
  <si>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</si>
  <si>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</si>
  <si>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</si>
  <si>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</si>
  <si>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</si>
  <si>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</si>
  <si>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</si>
  <si>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</si>
  <si>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</si>
  <si>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</si>
  <si>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</si>
  <si>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</si>
  <si>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</si>
  <si>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</si>
  <si>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</si>
  <si>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</si>
  <si>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</si>
  <si>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</si>
  <si>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</si>
  <si>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</si>
  <si>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</si>
  <si>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</si>
  <si>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</si>
  <si>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</si>
  <si>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</si>
  <si>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</si>
  <si>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</si>
  <si>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</si>
  <si>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</si>
  <si>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</si>
  <si>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</si>
  <si>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</si>
  <si>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</si>
  <si>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</si>
  <si>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</si>
  <si>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</si>
  <si>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</si>
  <si>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</si>
  <si>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</si>
  <si>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</si>
  <si>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</si>
  <si>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</si>
  <si>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</si>
  <si>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</si>
  <si>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</si>
  <si>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</si>
  <si>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</si>
  <si>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</si>
  <si>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</si>
  <si>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</si>
  <si>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</si>
  <si>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</si>
  <si>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</si>
  <si>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</si>
  <si>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</si>
  <si>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</si>
  <si>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</si>
  <si>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</si>
  <si>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</si>
  <si>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</si>
  <si>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</si>
  <si>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</si>
  <si>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</si>
  <si>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</si>
  <si>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</si>
  <si>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</si>
  <si>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</si>
  <si>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</si>
  <si>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</si>
  <si>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</si>
  <si>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</si>
  <si>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</si>
  <si>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</si>
  <si>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</si>
  <si>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</si>
  <si>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</si>
  <si>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</si>
  <si>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</si>
  <si>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</si>
  <si>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</si>
  <si>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</si>
  <si>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</si>
  <si>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</si>
  <si>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</si>
  <si>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</si>
  <si>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</si>
  <si>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</si>
  <si>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</si>
  <si>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</si>
  <si>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</si>
  <si>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</si>
  <si>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</si>
  <si>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</si>
  <si>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</si>
  <si>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</si>
  <si>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</si>
  <si>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</si>
  <si>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</si>
  <si>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</si>
  <si>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</si>
  <si>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</si>
  <si>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</si>
  <si>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</si>
  <si>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</si>
  <si>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</si>
  <si>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</si>
  <si>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</si>
  <si>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</si>
  <si>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</si>
  <si>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</si>
  <si>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</si>
  <si>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</si>
  <si>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</si>
  <si>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</si>
  <si>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</si>
  <si>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</si>
  <si>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</si>
  <si>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</si>
  <si>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</si>
  <si>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</si>
  <si>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</si>
  <si>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</si>
  <si>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</si>
  <si>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</si>
  <si>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</si>
  <si>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</si>
  <si>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</si>
  <si>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</si>
  <si>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</si>
  <si>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</si>
  <si>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</si>
  <si>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</si>
  <si>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</si>
  <si>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</si>
  <si>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</si>
  <si>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</si>
  <si>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</si>
  <si>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</si>
  <si>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</si>
  <si>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</si>
  <si>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</si>
  <si>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</si>
  <si>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</si>
  <si>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</si>
  <si>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</si>
  <si>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</si>
  <si>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</si>
  <si>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</si>
  <si>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</si>
  <si>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</si>
  <si>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</si>
  <si>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</si>
  <si>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</si>
  <si>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</si>
  <si>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</si>
  <si>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</si>
  <si>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</si>
  <si>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</si>
  <si>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</si>
  <si>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</si>
  <si>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</si>
  <si>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</si>
  <si>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</si>
  <si>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</si>
  <si>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</si>
  <si>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</si>
  <si>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</si>
  <si>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</si>
  <si>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</si>
  <si>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</si>
  <si>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</si>
  <si>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</si>
  <si>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</si>
  <si>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</si>
  <si>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</si>
  <si>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</si>
  <si>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</si>
  <si>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</si>
  <si>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</si>
  <si>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</si>
  <si>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</si>
  <si>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</si>
  <si>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</si>
  <si>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</si>
  <si>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</si>
  <si>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</si>
  <si>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</si>
  <si>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</si>
  <si>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</si>
  <si>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</si>
  <si>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</si>
  <si>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</si>
  <si>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</si>
  <si>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</si>
  <si>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</si>
  <si>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</si>
  <si>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</si>
  <si>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</si>
  <si>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</si>
  <si>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</si>
  <si>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</si>
  <si>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</si>
  <si>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</si>
  <si>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</si>
  <si>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</si>
  <si>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</si>
  <si>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</si>
  <si>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</si>
  <si>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</si>
  <si>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</si>
  <si>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</si>
  <si>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</si>
  <si>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</si>
  <si>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</si>
  <si>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</si>
  <si>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</si>
  <si>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</si>
  <si>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</si>
  <si>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</si>
  <si>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</si>
  <si>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</si>
  <si>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</si>
  <si>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</si>
  <si>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</si>
  <si>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</si>
  <si>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</si>
  <si>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</si>
  <si>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</si>
  <si>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</si>
  <si>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</si>
  <si>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</si>
  <si>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</si>
  <si>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</si>
  <si>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</si>
  <si>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</si>
  <si>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</si>
  <si>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</si>
  <si>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</si>
  <si>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</si>
  <si>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</si>
  <si>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</si>
  <si>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</si>
  <si>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</si>
  <si>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</si>
  <si>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</si>
  <si>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</si>
  <si>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</si>
  <si>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</si>
  <si>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</si>
  <si>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</si>
  <si>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</si>
  <si>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</si>
  <si>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</si>
  <si>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</si>
  <si>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</si>
  <si>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</si>
  <si>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</si>
  <si>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</si>
  <si>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</si>
  <si>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</si>
  <si>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</si>
  <si>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</si>
  <si>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</si>
  <si>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</si>
  <si>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</si>
  <si>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</si>
  <si>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</si>
  <si>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</si>
  <si>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</si>
  <si>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</si>
  <si>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</si>
  <si>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</si>
  <si>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</si>
  <si>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</si>
  <si>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</si>
  <si>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</si>
  <si>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</si>
  <si>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</si>
  <si>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</si>
  <si>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</si>
  <si>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</si>
  <si>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</si>
  <si>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</si>
  <si>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</si>
  <si>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</si>
  <si>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</si>
  <si>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</si>
  <si>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</si>
  <si>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</si>
  <si>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</si>
  <si>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</si>
  <si>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</si>
  <si>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</si>
  <si>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</si>
  <si>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</si>
  <si>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</si>
  <si>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</si>
  <si>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</si>
  <si>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</si>
  <si>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</si>
  <si>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</si>
  <si>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</si>
  <si>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</si>
  <si>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</si>
  <si>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</si>
  <si>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</si>
  <si>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</si>
  <si>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</si>
  <si>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</si>
  <si>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</si>
  <si>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</si>
  <si>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</si>
  <si>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</si>
  <si>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</si>
  <si>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</si>
  <si>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</si>
  <si>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</si>
  <si>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</si>
  <si>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</si>
  <si>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</si>
  <si>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</si>
  <si>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</si>
  <si>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</si>
  <si>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</si>
  <si>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</si>
  <si>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</si>
  <si>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</si>
  <si>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</si>
  <si>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</si>
  <si>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</si>
  <si>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</si>
  <si>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</si>
  <si>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</si>
  <si>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</si>
  <si>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</si>
  <si>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</si>
  <si>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</si>
  <si>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</si>
  <si>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</si>
  <si>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</si>
  <si>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</si>
  <si>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</si>
  <si>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</si>
  <si>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</si>
  <si>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</si>
  <si>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</si>
  <si>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</si>
  <si>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</si>
  <si>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YNH NETWORK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</si>
  <si>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</si>
  <si>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</si>
  <si>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</si>
  <si>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</si>
  <si>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</si>
  <si>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</si>
  <si>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</si>
  <si>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</si>
  <si>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</si>
  <si>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</si>
  <si>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</si>
  <si>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</si>
  <si>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</si>
  <si>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</si>
  <si>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</si>
  <si>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</si>
  <si>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</si>
  <si>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</si>
  <si>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</si>
  <si>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</si>
  <si>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</si>
  <si>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</si>
  <si>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</si>
  <si>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</si>
  <si>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</si>
  <si>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</si>
  <si>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</si>
  <si>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</si>
  <si>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</si>
  <si>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</si>
  <si>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</si>
  <si>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</si>
  <si>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</si>
  <si>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</si>
  <si>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</si>
  <si>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</si>
  <si>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</si>
  <si>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</si>
  <si>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</si>
  <si>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</si>
  <si>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</si>
  <si>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</si>
  <si>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</si>
  <si>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</si>
  <si>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</si>
  <si>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</si>
  <si>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</si>
  <si>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</si>
  <si>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</si>
  <si>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</si>
  <si>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</si>
  <si>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</si>
  <si>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</si>
  <si>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</si>
  <si>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</si>
  <si>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</si>
  <si>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</si>
  <si>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</si>
  <si>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</si>
  <si>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</si>
  <si>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</si>
  <si>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</si>
  <si>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</si>
  <si>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</si>
  <si>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</si>
  <si>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</si>
  <si>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</si>
  <si>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</si>
  <si>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</si>
  <si>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</si>
  <si>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</si>
  <si>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</si>
  <si>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</si>
  <si>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</si>
  <si>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</si>
  <si>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</si>
  <si>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</si>
  <si>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</si>
  <si>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</si>
  <si>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</si>
  <si>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</si>
  <si>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</si>
  <si>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</si>
  <si>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</si>
  <si>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</si>
  <si>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</si>
  <si>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</si>
  <si>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</si>
  <si>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</si>
  <si>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</si>
  <si>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</si>
  <si>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</si>
  <si>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</si>
  <si>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</si>
  <si>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</si>
  <si>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</si>
  <si>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</si>
  <si>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</si>
  <si>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</si>
  <si>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</si>
  <si>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</si>
  <si>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</si>
  <si>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</si>
  <si>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</si>
  <si>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</si>
  <si>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</si>
  <si>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</si>
  <si>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</si>
  <si>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</si>
  <si>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</si>
  <si>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</si>
  <si>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</si>
  <si>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</si>
  <si>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</si>
  <si>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</si>
  <si>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</si>
  <si>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</si>
  <si>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</si>
  <si>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</si>
  <si>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</si>
  <si>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Temple Medical Center</t>
  </si>
  <si>
    <t>Yale New Haven Hospital</t>
  </si>
  <si>
    <t>Total Outpatient Surgical Procedures(A)</t>
  </si>
  <si>
    <t>Total Outpatient Endoscopy Procedures(B)</t>
  </si>
  <si>
    <t>Outpatient Hospital Emergency Room Visits</t>
  </si>
  <si>
    <t>N/A</t>
  </si>
  <si>
    <t>Shoreline Medical Center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</si>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</sst>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8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64528000</v>
      </c>
      <c r="D13" s="22">
        <v>38914000</v>
      </c>
      <c r="E13" s="22">
        <f t="shared" ref="E13:E22" si="0">D13-C13</f>
        <v>-25614000</v>
      </c>
      <c r="F13" s="23">
        <f t="shared" ref="F13:F22" si="1">IF(C13=0,0,E13/C13)</f>
        <v>-0.39694396231093476</v>
      </c>
    </row>
    <row r="14" spans="1:8" ht="24" customHeight="1" x14ac:dyDescent="0.2">
      <c r="A14" s="20">
        <v>2</v>
      </c>
      <c r="B14" s="21" t="s">
        <v>17</v>
      </c>
      <c r="C14" s="22">
        <v>571302000</v>
      </c>
      <c r="D14" s="22">
        <v>671389000</v>
      </c>
      <c r="E14" s="22">
        <f t="shared" si="0"/>
        <v>100087000</v>
      </c>
      <c r="F14" s="23">
        <f t="shared" si="1"/>
        <v>0.17519105481864233</v>
      </c>
    </row>
    <row r="15" spans="1:8" ht="24" customHeight="1" x14ac:dyDescent="0.2">
      <c r="A15" s="20">
        <v>3</v>
      </c>
      <c r="B15" s="21" t="s">
        <v>18</v>
      </c>
      <c r="C15" s="22">
        <v>202909000</v>
      </c>
      <c r="D15" s="22">
        <v>233822000</v>
      </c>
      <c r="E15" s="22">
        <f t="shared" si="0"/>
        <v>30913000</v>
      </c>
      <c r="F15" s="23">
        <f t="shared" si="1"/>
        <v>0.15234908259367499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28006000</v>
      </c>
      <c r="D19" s="22">
        <v>27342000</v>
      </c>
      <c r="E19" s="22">
        <f t="shared" si="0"/>
        <v>-664000</v>
      </c>
      <c r="F19" s="23">
        <f t="shared" si="1"/>
        <v>-2.3709205170320647E-2</v>
      </c>
    </row>
    <row r="20" spans="1:11" ht="24" customHeight="1" x14ac:dyDescent="0.2">
      <c r="A20" s="20">
        <v>8</v>
      </c>
      <c r="B20" s="21" t="s">
        <v>23</v>
      </c>
      <c r="C20" s="22">
        <v>19322000</v>
      </c>
      <c r="D20" s="22">
        <v>33410000</v>
      </c>
      <c r="E20" s="22">
        <f t="shared" si="0"/>
        <v>14088000</v>
      </c>
      <c r="F20" s="23">
        <f t="shared" si="1"/>
        <v>0.72911706862643622</v>
      </c>
    </row>
    <row r="21" spans="1:11" ht="24" customHeight="1" x14ac:dyDescent="0.2">
      <c r="A21" s="20">
        <v>9</v>
      </c>
      <c r="B21" s="21" t="s">
        <v>24</v>
      </c>
      <c r="C21" s="22">
        <v>70615000</v>
      </c>
      <c r="D21" s="22">
        <v>76334000</v>
      </c>
      <c r="E21" s="22">
        <f t="shared" si="0"/>
        <v>5719000</v>
      </c>
      <c r="F21" s="23">
        <f t="shared" si="1"/>
        <v>8.0988458542802524E-2</v>
      </c>
    </row>
    <row r="22" spans="1:11" ht="24" customHeight="1" x14ac:dyDescent="0.25">
      <c r="A22" s="24"/>
      <c r="B22" s="25" t="s">
        <v>25</v>
      </c>
      <c r="C22" s="26">
        <f>SUM(C13:C21)</f>
        <v>956682000</v>
      </c>
      <c r="D22" s="26">
        <f>SUM(D13:D21)</f>
        <v>1081211000</v>
      </c>
      <c r="E22" s="26">
        <f t="shared" si="0"/>
        <v>124529000</v>
      </c>
      <c r="F22" s="27">
        <f t="shared" si="1"/>
        <v>0.13016760010118306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12127000</v>
      </c>
      <c r="D25" s="22">
        <v>12538000</v>
      </c>
      <c r="E25" s="22">
        <f>D25-C25</f>
        <v>411000</v>
      </c>
      <c r="F25" s="23">
        <f>IF(C25=0,0,E25/C25)</f>
        <v>3.3891316896182071E-2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93561000</v>
      </c>
      <c r="D26" s="22">
        <v>71557000</v>
      </c>
      <c r="E26" s="22">
        <f>D26-C26</f>
        <v>-22004000</v>
      </c>
      <c r="F26" s="23">
        <f>IF(C26=0,0,E26/C26)</f>
        <v>-0.23518346319513472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105688000</v>
      </c>
      <c r="D29" s="26">
        <f>SUM(D25:D28)</f>
        <v>84095000</v>
      </c>
      <c r="E29" s="26">
        <f>D29-C29</f>
        <v>-21593000</v>
      </c>
      <c r="F29" s="27">
        <f>IF(C29=0,0,E29/C29)</f>
        <v>-0.20430890924229808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156946000</v>
      </c>
      <c r="D32" s="22">
        <v>207616000</v>
      </c>
      <c r="E32" s="22">
        <f>D32-C32</f>
        <v>50670000</v>
      </c>
      <c r="F32" s="23">
        <f>IF(C32=0,0,E32/C32)</f>
        <v>0.32284989741694597</v>
      </c>
    </row>
    <row r="33" spans="1:8" ht="24" customHeight="1" x14ac:dyDescent="0.2">
      <c r="A33" s="20">
        <v>7</v>
      </c>
      <c r="B33" s="21" t="s">
        <v>35</v>
      </c>
      <c r="C33" s="22">
        <v>269632000</v>
      </c>
      <c r="D33" s="22">
        <v>304698000</v>
      </c>
      <c r="E33" s="22">
        <f>D33-C33</f>
        <v>35066000</v>
      </c>
      <c r="F33" s="23">
        <f>IF(C33=0,0,E33/C33)</f>
        <v>0.1300513292190838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1528134000</v>
      </c>
      <c r="D36" s="22">
        <v>1596042000</v>
      </c>
      <c r="E36" s="22">
        <f>D36-C36</f>
        <v>67908000</v>
      </c>
      <c r="F36" s="23">
        <f>IF(C36=0,0,E36/C36)</f>
        <v>4.4438511282387537E-2</v>
      </c>
    </row>
    <row r="37" spans="1:8" ht="24" customHeight="1" x14ac:dyDescent="0.2">
      <c r="A37" s="20">
        <v>2</v>
      </c>
      <c r="B37" s="21" t="s">
        <v>39</v>
      </c>
      <c r="C37" s="22">
        <v>601670000</v>
      </c>
      <c r="D37" s="22">
        <v>677907000</v>
      </c>
      <c r="E37" s="22">
        <f>D37-C37</f>
        <v>76237000</v>
      </c>
      <c r="F37" s="23">
        <f>IF(C37=0,0,E37/C37)</f>
        <v>0.12670899330197616</v>
      </c>
    </row>
    <row r="38" spans="1:8" ht="24" customHeight="1" x14ac:dyDescent="0.25">
      <c r="A38" s="24"/>
      <c r="B38" s="25" t="s">
        <v>40</v>
      </c>
      <c r="C38" s="26">
        <f>C36-C37</f>
        <v>926464000</v>
      </c>
      <c r="D38" s="26">
        <f>D36-D37</f>
        <v>918135000</v>
      </c>
      <c r="E38" s="26">
        <f>D38-C38</f>
        <v>-8329000</v>
      </c>
      <c r="F38" s="27">
        <f>IF(C38=0,0,E38/C38)</f>
        <v>-8.9900956756009953E-3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63603000</v>
      </c>
      <c r="D40" s="22">
        <v>22942000</v>
      </c>
      <c r="E40" s="22">
        <f>D40-C40</f>
        <v>-40661000</v>
      </c>
      <c r="F40" s="23">
        <f>IF(C40=0,0,E40/C40)</f>
        <v>-0.63929374400578587</v>
      </c>
    </row>
    <row r="41" spans="1:8" ht="24" customHeight="1" x14ac:dyDescent="0.25">
      <c r="A41" s="24"/>
      <c r="B41" s="25" t="s">
        <v>42</v>
      </c>
      <c r="C41" s="26">
        <f>+C38+C40</f>
        <v>990067000</v>
      </c>
      <c r="D41" s="26">
        <f>+D38+D40</f>
        <v>941077000</v>
      </c>
      <c r="E41" s="26">
        <f>D41-C41</f>
        <v>-48990000</v>
      </c>
      <c r="F41" s="27">
        <f>IF(C41=0,0,E41/C41)</f>
        <v>-4.9481499736886495E-2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2479015000</v>
      </c>
      <c r="D43" s="26">
        <f>D22+D29+D31+D32+D33+D41</f>
        <v>2618697000</v>
      </c>
      <c r="E43" s="26">
        <f>D43-C43</f>
        <v>139682000</v>
      </c>
      <c r="F43" s="27">
        <f>IF(C43=0,0,E43/C43)</f>
        <v>5.6345766362849763E-2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213362000</v>
      </c>
      <c r="D49" s="22">
        <v>225782000</v>
      </c>
      <c r="E49" s="22">
        <f t="shared" ref="E49:E56" si="2">D49-C49</f>
        <v>12420000</v>
      </c>
      <c r="F49" s="23">
        <f t="shared" ref="F49:F56" si="3">IF(C49=0,0,E49/C49)</f>
        <v>5.8210927906562557E-2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89048000</v>
      </c>
      <c r="D50" s="22">
        <v>93206000</v>
      </c>
      <c r="E50" s="22">
        <f t="shared" si="2"/>
        <v>4158000</v>
      </c>
      <c r="F50" s="23">
        <f t="shared" si="3"/>
        <v>4.6693917886982302E-2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116229000</v>
      </c>
      <c r="D53" s="22">
        <v>33767000</v>
      </c>
      <c r="E53" s="22">
        <f t="shared" si="2"/>
        <v>-82462000</v>
      </c>
      <c r="F53" s="23">
        <f t="shared" si="3"/>
        <v>-0.70947870152887837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2847000</v>
      </c>
      <c r="D55" s="22">
        <v>15079000</v>
      </c>
      <c r="E55" s="22">
        <f t="shared" si="2"/>
        <v>12232000</v>
      </c>
      <c r="F55" s="23">
        <f t="shared" si="3"/>
        <v>4.2964524060414471</v>
      </c>
    </row>
    <row r="56" spans="1:6" ht="24" customHeight="1" x14ac:dyDescent="0.25">
      <c r="A56" s="24"/>
      <c r="B56" s="25" t="s">
        <v>54</v>
      </c>
      <c r="C56" s="26">
        <f>SUM(C49:C55)</f>
        <v>421486000</v>
      </c>
      <c r="D56" s="26">
        <f>SUM(D49:D55)</f>
        <v>367834000</v>
      </c>
      <c r="E56" s="26">
        <f t="shared" si="2"/>
        <v>-53652000</v>
      </c>
      <c r="F56" s="27">
        <f t="shared" si="3"/>
        <v>-0.12729248421062622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410888000</v>
      </c>
      <c r="D59" s="22">
        <v>676827000</v>
      </c>
      <c r="E59" s="22">
        <f>D59-C59</f>
        <v>265939000</v>
      </c>
      <c r="F59" s="23">
        <f>IF(C59=0,0,E59/C59)</f>
        <v>0.6472299020657698</v>
      </c>
    </row>
    <row r="60" spans="1:6" ht="24" customHeight="1" x14ac:dyDescent="0.2">
      <c r="A60" s="20">
        <v>2</v>
      </c>
      <c r="B60" s="21" t="s">
        <v>57</v>
      </c>
      <c r="C60" s="22">
        <v>316318000</v>
      </c>
      <c r="D60" s="22">
        <v>51347000</v>
      </c>
      <c r="E60" s="22">
        <f>D60-C60</f>
        <v>-264971000</v>
      </c>
      <c r="F60" s="23">
        <f>IF(C60=0,0,E60/C60)</f>
        <v>-0.83767284820971299</v>
      </c>
    </row>
    <row r="61" spans="1:6" ht="24" customHeight="1" x14ac:dyDescent="0.25">
      <c r="A61" s="24"/>
      <c r="B61" s="25" t="s">
        <v>58</v>
      </c>
      <c r="C61" s="26">
        <f>SUM(C59:C60)</f>
        <v>727206000</v>
      </c>
      <c r="D61" s="26">
        <f>SUM(D59:D60)</f>
        <v>728174000</v>
      </c>
      <c r="E61" s="26">
        <f>D61-C61</f>
        <v>968000</v>
      </c>
      <c r="F61" s="27">
        <f>IF(C61=0,0,E61/C61)</f>
        <v>1.3311221304554692E-3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280718000</v>
      </c>
      <c r="D63" s="22">
        <v>197950000</v>
      </c>
      <c r="E63" s="22">
        <f>D63-C63</f>
        <v>-82768000</v>
      </c>
      <c r="F63" s="23">
        <f>IF(C63=0,0,E63/C63)</f>
        <v>-0.29484393590720936</v>
      </c>
    </row>
    <row r="64" spans="1:6" ht="24" customHeight="1" x14ac:dyDescent="0.2">
      <c r="A64" s="20">
        <v>4</v>
      </c>
      <c r="B64" s="21" t="s">
        <v>60</v>
      </c>
      <c r="C64" s="22">
        <v>300827000</v>
      </c>
      <c r="D64" s="22">
        <v>306614000</v>
      </c>
      <c r="E64" s="22">
        <f>D64-C64</f>
        <v>5787000</v>
      </c>
      <c r="F64" s="23">
        <f>IF(C64=0,0,E64/C64)</f>
        <v>1.923697008579682E-2</v>
      </c>
    </row>
    <row r="65" spans="1:6" ht="24" customHeight="1" x14ac:dyDescent="0.25">
      <c r="A65" s="24"/>
      <c r="B65" s="25" t="s">
        <v>61</v>
      </c>
      <c r="C65" s="26">
        <f>SUM(C61:C64)</f>
        <v>1308751000</v>
      </c>
      <c r="D65" s="26">
        <f>SUM(D61:D64)</f>
        <v>1232738000</v>
      </c>
      <c r="E65" s="26">
        <f>D65-C65</f>
        <v>-76013000</v>
      </c>
      <c r="F65" s="27">
        <f>IF(C65=0,0,E65/C65)</f>
        <v>-5.8080566891639436E-2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676008000</v>
      </c>
      <c r="D70" s="22">
        <v>930988000</v>
      </c>
      <c r="E70" s="22">
        <f>D70-C70</f>
        <v>254980000</v>
      </c>
      <c r="F70" s="23">
        <f>IF(C70=0,0,E70/C70)</f>
        <v>0.37718488538597178</v>
      </c>
    </row>
    <row r="71" spans="1:6" ht="24" customHeight="1" x14ac:dyDescent="0.2">
      <c r="A71" s="20">
        <v>2</v>
      </c>
      <c r="B71" s="21" t="s">
        <v>65</v>
      </c>
      <c r="C71" s="22">
        <v>46026000</v>
      </c>
      <c r="D71" s="22">
        <v>59982000</v>
      </c>
      <c r="E71" s="22">
        <f>D71-C71</f>
        <v>13956000</v>
      </c>
      <c r="F71" s="23">
        <f>IF(C71=0,0,E71/C71)</f>
        <v>0.30321991917611785</v>
      </c>
    </row>
    <row r="72" spans="1:6" ht="24" customHeight="1" x14ac:dyDescent="0.2">
      <c r="A72" s="20">
        <v>3</v>
      </c>
      <c r="B72" s="21" t="s">
        <v>66</v>
      </c>
      <c r="C72" s="22">
        <v>26744000</v>
      </c>
      <c r="D72" s="22">
        <v>27155000</v>
      </c>
      <c r="E72" s="22">
        <f>D72-C72</f>
        <v>411000</v>
      </c>
      <c r="F72" s="23">
        <f>IF(C72=0,0,E72/C72)</f>
        <v>1.5367932994316482E-2</v>
      </c>
    </row>
    <row r="73" spans="1:6" ht="24" customHeight="1" x14ac:dyDescent="0.25">
      <c r="A73" s="20"/>
      <c r="B73" s="25" t="s">
        <v>67</v>
      </c>
      <c r="C73" s="26">
        <f>SUM(C70:C72)</f>
        <v>748778000</v>
      </c>
      <c r="D73" s="26">
        <f>SUM(D70:D72)</f>
        <v>1018125000</v>
      </c>
      <c r="E73" s="26">
        <f>D73-C73</f>
        <v>269347000</v>
      </c>
      <c r="F73" s="27">
        <f>IF(C73=0,0,E73/C73)</f>
        <v>0.35971542967341458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2479015000</v>
      </c>
      <c r="D75" s="26">
        <f>D56+D65+D67+D73</f>
        <v>2618697000</v>
      </c>
      <c r="E75" s="26">
        <f>D75-C75</f>
        <v>139682000</v>
      </c>
      <c r="F75" s="27">
        <f>IF(C75=0,0,E75/C75)</f>
        <v>5.6345766362849763E-2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1462366000</v>
      </c>
      <c r="D11" s="76">
        <v>1733252000</v>
      </c>
      <c r="E11" s="76">
        <v>2317430000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48257000</v>
      </c>
      <c r="D12" s="185">
        <v>49518000</v>
      </c>
      <c r="E12" s="185">
        <v>60720000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1510623000</v>
      </c>
      <c r="D13" s="76">
        <f>+D11+D12</f>
        <v>1782770000</v>
      </c>
      <c r="E13" s="76">
        <f>+E11+E12</f>
        <v>2378150000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1453315000</v>
      </c>
      <c r="D14" s="185">
        <v>1675207000</v>
      </c>
      <c r="E14" s="185">
        <v>2279435000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57308000</v>
      </c>
      <c r="D15" s="76">
        <f>+D13-D14</f>
        <v>107563000</v>
      </c>
      <c r="E15" s="76">
        <f>+E13-E14</f>
        <v>98715000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13708000</v>
      </c>
      <c r="D16" s="185">
        <v>22853000</v>
      </c>
      <c r="E16" s="185">
        <v>69945000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71016000</v>
      </c>
      <c r="D17" s="76">
        <f>D15+D16</f>
        <v>130416000</v>
      </c>
      <c r="E17" s="76">
        <f>E15+E16</f>
        <v>168660000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3.7595509111866127E-2</v>
      </c>
      <c r="D20" s="189">
        <f>IF(+D27=0,0,+D24/+D27)</f>
        <v>5.957112863537959E-2</v>
      </c>
      <c r="E20" s="189">
        <f>IF(+E27=0,0,+E24/+E27)</f>
        <v>4.032319007228069E-2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8.9927974960818877E-3</v>
      </c>
      <c r="D21" s="189">
        <f>IF(+D27=0,0,+D26/+D27)</f>
        <v>1.2656573382151202E-2</v>
      </c>
      <c r="E21" s="189">
        <f>IF(+E27=0,0,+E26/+E27)</f>
        <v>2.8571195153782838E-2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4.6588306607948014E-2</v>
      </c>
      <c r="D22" s="189">
        <f>IF(+D27=0,0,+D28/+D27)</f>
        <v>7.2227702017530787E-2</v>
      </c>
      <c r="E22" s="189">
        <f>IF(+E27=0,0,+E28/+E27)</f>
        <v>6.8894385226063531E-2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57308000</v>
      </c>
      <c r="D24" s="76">
        <f>+D15</f>
        <v>107563000</v>
      </c>
      <c r="E24" s="76">
        <f>+E15</f>
        <v>98715000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1510623000</v>
      </c>
      <c r="D25" s="76">
        <f>+D13</f>
        <v>1782770000</v>
      </c>
      <c r="E25" s="76">
        <f>+E13</f>
        <v>2378150000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13708000</v>
      </c>
      <c r="D26" s="76">
        <f>+D16</f>
        <v>22853000</v>
      </c>
      <c r="E26" s="76">
        <f>+E16</f>
        <v>69945000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1524331000</v>
      </c>
      <c r="D27" s="76">
        <f>SUM(D25:D26)</f>
        <v>1805623000</v>
      </c>
      <c r="E27" s="76">
        <f>SUM(E25:E26)</f>
        <v>2448095000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71016000</v>
      </c>
      <c r="D28" s="76">
        <f>+D17</f>
        <v>130416000</v>
      </c>
      <c r="E28" s="76">
        <f>+E17</f>
        <v>168660000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615732000</v>
      </c>
      <c r="D31" s="76">
        <v>686529000</v>
      </c>
      <c r="E31" s="76">
        <v>938843000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685202000</v>
      </c>
      <c r="D32" s="76">
        <v>759299000</v>
      </c>
      <c r="E32" s="76">
        <v>1025980000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29688000</v>
      </c>
      <c r="D33" s="76">
        <f>+D32-C32</f>
        <v>74097000</v>
      </c>
      <c r="E33" s="76">
        <f>+E32-D32</f>
        <v>266681000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1.0451999999999999</v>
      </c>
      <c r="D34" s="193">
        <f>IF(C32=0,0,+D33/C32)</f>
        <v>0.10813891378016993</v>
      </c>
      <c r="E34" s="193">
        <f>IF(D32=0,0,+E33/D32)</f>
        <v>0.35122000687476213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3.0315633706174614</v>
      </c>
      <c r="D38" s="338">
        <f>IF(+D40=0,0,+D39/+D40)</f>
        <v>2.3584687913207212</v>
      </c>
      <c r="E38" s="338">
        <f>IF(+E40=0,0,+E39/+E40)</f>
        <v>3.0049494986944341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733414000</v>
      </c>
      <c r="D39" s="341">
        <v>1009552000</v>
      </c>
      <c r="E39" s="341">
        <v>1134711000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241926000</v>
      </c>
      <c r="D40" s="341">
        <v>428054000</v>
      </c>
      <c r="E40" s="341">
        <v>377614000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125.71186299835614</v>
      </c>
      <c r="D42" s="343">
        <f>IF((D48/365)=0,0,+D45/(D48/365))</f>
        <v>155.70988151824585</v>
      </c>
      <c r="E42" s="343">
        <f>IF((E48/365)=0,0,+E45/(E48/365))</f>
        <v>127.13236680110184</v>
      </c>
    </row>
    <row r="43" spans="1:14" ht="24" customHeight="1" x14ac:dyDescent="0.2">
      <c r="A43" s="339">
        <v>5</v>
      </c>
      <c r="B43" s="344" t="s">
        <v>16</v>
      </c>
      <c r="C43" s="345">
        <v>74087000</v>
      </c>
      <c r="D43" s="345">
        <v>69453000</v>
      </c>
      <c r="E43" s="345">
        <v>46312000</v>
      </c>
    </row>
    <row r="44" spans="1:14" ht="24" customHeight="1" x14ac:dyDescent="0.2">
      <c r="A44" s="339">
        <v>6</v>
      </c>
      <c r="B44" s="346" t="s">
        <v>17</v>
      </c>
      <c r="C44" s="345">
        <v>402559000</v>
      </c>
      <c r="D44" s="345">
        <v>613360000</v>
      </c>
      <c r="E44" s="345">
        <v>709453000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476646000</v>
      </c>
      <c r="D45" s="341">
        <f>+D43+D44</f>
        <v>682813000</v>
      </c>
      <c r="E45" s="341">
        <f>+E43+E44</f>
        <v>755765000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1453315000</v>
      </c>
      <c r="D46" s="341">
        <f>+D14</f>
        <v>1675207000</v>
      </c>
      <c r="E46" s="341">
        <f>+E14</f>
        <v>2279435000</v>
      </c>
    </row>
    <row r="47" spans="1:14" ht="24" customHeight="1" x14ac:dyDescent="0.2">
      <c r="A47" s="339">
        <v>9</v>
      </c>
      <c r="B47" s="340" t="s">
        <v>356</v>
      </c>
      <c r="C47" s="341">
        <v>69390000</v>
      </c>
      <c r="D47" s="341">
        <v>74623000</v>
      </c>
      <c r="E47" s="341">
        <v>109616000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1383925000</v>
      </c>
      <c r="D48" s="341">
        <f>+D46-D47</f>
        <v>1600584000</v>
      </c>
      <c r="E48" s="341">
        <f>+E46-E47</f>
        <v>2169819000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42.295458182151393</v>
      </c>
      <c r="D50" s="350">
        <f>IF((D55/365)=0,0,+D54/(D55/365))</f>
        <v>43.318548024176522</v>
      </c>
      <c r="E50" s="350">
        <f>IF((E55/365)=0,0,+E54/(E55/365))</f>
        <v>37.62739974885973</v>
      </c>
    </row>
    <row r="51" spans="1:5" ht="24" customHeight="1" x14ac:dyDescent="0.2">
      <c r="A51" s="339">
        <v>12</v>
      </c>
      <c r="B51" s="344" t="s">
        <v>359</v>
      </c>
      <c r="C51" s="351">
        <v>169456000</v>
      </c>
      <c r="D51" s="351">
        <v>205704000</v>
      </c>
      <c r="E51" s="351">
        <v>238901000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169456000</v>
      </c>
      <c r="D54" s="352">
        <f>+D51+D52-D53</f>
        <v>205704000</v>
      </c>
      <c r="E54" s="352">
        <f>+E51+E52-E53</f>
        <v>238901000</v>
      </c>
    </row>
    <row r="55" spans="1:5" ht="24" customHeight="1" x14ac:dyDescent="0.2">
      <c r="A55" s="339">
        <v>16</v>
      </c>
      <c r="B55" s="340" t="s">
        <v>75</v>
      </c>
      <c r="C55" s="341">
        <f>+C11</f>
        <v>1462366000</v>
      </c>
      <c r="D55" s="341">
        <f>+D11</f>
        <v>1733252000</v>
      </c>
      <c r="E55" s="341">
        <f>+E11</f>
        <v>2317430000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63.806196145022312</v>
      </c>
      <c r="D57" s="355">
        <f>IF((D61/365)=0,0,+D58/(D61/365))</f>
        <v>97.614189570806658</v>
      </c>
      <c r="E57" s="355">
        <f>IF((E61/365)=0,0,+E58/(E61/365))</f>
        <v>63.521017190834812</v>
      </c>
    </row>
    <row r="58" spans="1:5" ht="24" customHeight="1" x14ac:dyDescent="0.2">
      <c r="A58" s="339">
        <v>18</v>
      </c>
      <c r="B58" s="340" t="s">
        <v>54</v>
      </c>
      <c r="C58" s="353">
        <f>+C40</f>
        <v>241926000</v>
      </c>
      <c r="D58" s="353">
        <f>+D40</f>
        <v>428054000</v>
      </c>
      <c r="E58" s="353">
        <f>+E40</f>
        <v>377614000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1453315000</v>
      </c>
      <c r="D59" s="353">
        <f t="shared" si="0"/>
        <v>1675207000</v>
      </c>
      <c r="E59" s="353">
        <f t="shared" si="0"/>
        <v>2279435000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69390000</v>
      </c>
      <c r="D60" s="356">
        <f t="shared" si="0"/>
        <v>74623000</v>
      </c>
      <c r="E60" s="356">
        <f t="shared" si="0"/>
        <v>109616000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1383925000</v>
      </c>
      <c r="D61" s="353">
        <f>+D59-D60</f>
        <v>1600584000</v>
      </c>
      <c r="E61" s="353">
        <f>+E59-E60</f>
        <v>2169819000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33.934095147913993</v>
      </c>
      <c r="D65" s="357">
        <f>IF(D67=0,0,(D66/D67)*100)</f>
        <v>29.905659002568353</v>
      </c>
      <c r="E65" s="357">
        <f>IF(E67=0,0,(E66/E67)*100)</f>
        <v>38.266700980556706</v>
      </c>
    </row>
    <row r="66" spans="1:5" ht="24" customHeight="1" x14ac:dyDescent="0.2">
      <c r="A66" s="339">
        <v>2</v>
      </c>
      <c r="B66" s="340" t="s">
        <v>67</v>
      </c>
      <c r="C66" s="353">
        <f>+C32</f>
        <v>685202000</v>
      </c>
      <c r="D66" s="353">
        <f>+D32</f>
        <v>759299000</v>
      </c>
      <c r="E66" s="353">
        <f>+E32</f>
        <v>1025980000</v>
      </c>
    </row>
    <row r="67" spans="1:5" ht="24" customHeight="1" x14ac:dyDescent="0.2">
      <c r="A67" s="339">
        <v>3</v>
      </c>
      <c r="B67" s="340" t="s">
        <v>43</v>
      </c>
      <c r="C67" s="353">
        <v>2019214000</v>
      </c>
      <c r="D67" s="353">
        <v>2538981000</v>
      </c>
      <c r="E67" s="353">
        <v>2681130000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16.254024261914768</v>
      </c>
      <c r="D69" s="357">
        <f>IF(D75=0,0,(D72/D75)*100)</f>
        <v>17.684648677181137</v>
      </c>
      <c r="E69" s="357">
        <f>IF(E75=0,0,(E72/E75)*100)</f>
        <v>25.094620198086947</v>
      </c>
    </row>
    <row r="70" spans="1:5" ht="24" customHeight="1" x14ac:dyDescent="0.2">
      <c r="A70" s="339">
        <v>5</v>
      </c>
      <c r="B70" s="340" t="s">
        <v>366</v>
      </c>
      <c r="C70" s="353">
        <f>+C28</f>
        <v>71016000</v>
      </c>
      <c r="D70" s="353">
        <f>+D28</f>
        <v>130416000</v>
      </c>
      <c r="E70" s="353">
        <f>+E28</f>
        <v>168660000</v>
      </c>
    </row>
    <row r="71" spans="1:5" ht="24" customHeight="1" x14ac:dyDescent="0.2">
      <c r="A71" s="339">
        <v>6</v>
      </c>
      <c r="B71" s="340" t="s">
        <v>356</v>
      </c>
      <c r="C71" s="356">
        <f>+C47</f>
        <v>69390000</v>
      </c>
      <c r="D71" s="356">
        <f>+D47</f>
        <v>74623000</v>
      </c>
      <c r="E71" s="356">
        <f>+E47</f>
        <v>109616000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140406000</v>
      </c>
      <c r="D72" s="353">
        <f>+D70+D71</f>
        <v>205039000</v>
      </c>
      <c r="E72" s="353">
        <f>+E70+E71</f>
        <v>278276000</v>
      </c>
    </row>
    <row r="73" spans="1:5" ht="24" customHeight="1" x14ac:dyDescent="0.2">
      <c r="A73" s="339">
        <v>8</v>
      </c>
      <c r="B73" s="340" t="s">
        <v>54</v>
      </c>
      <c r="C73" s="341">
        <f>+C40</f>
        <v>241926000</v>
      </c>
      <c r="D73" s="341">
        <f>+D40</f>
        <v>428054000</v>
      </c>
      <c r="E73" s="341">
        <f>+E40</f>
        <v>377614000</v>
      </c>
    </row>
    <row r="74" spans="1:5" ht="24" customHeight="1" x14ac:dyDescent="0.2">
      <c r="A74" s="339">
        <v>9</v>
      </c>
      <c r="B74" s="340" t="s">
        <v>58</v>
      </c>
      <c r="C74" s="353">
        <v>621897000</v>
      </c>
      <c r="D74" s="353">
        <v>731364000</v>
      </c>
      <c r="E74" s="353">
        <v>731293000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863823000</v>
      </c>
      <c r="D75" s="341">
        <f>+D73+D74</f>
        <v>1159418000</v>
      </c>
      <c r="E75" s="341">
        <f>+E73+E74</f>
        <v>1108907000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47.57841601898555</v>
      </c>
      <c r="D77" s="359">
        <f>IF(D80=0,0,(D78/D80)*100)</f>
        <v>49.063000825807038</v>
      </c>
      <c r="E77" s="359">
        <f>IF(E80=0,0,(E78/E80)*100)</f>
        <v>41.615218580152316</v>
      </c>
    </row>
    <row r="78" spans="1:5" ht="24" customHeight="1" x14ac:dyDescent="0.2">
      <c r="A78" s="339">
        <v>12</v>
      </c>
      <c r="B78" s="340" t="s">
        <v>58</v>
      </c>
      <c r="C78" s="341">
        <f>+C74</f>
        <v>621897000</v>
      </c>
      <c r="D78" s="341">
        <f>+D74</f>
        <v>731364000</v>
      </c>
      <c r="E78" s="341">
        <f>+E74</f>
        <v>731293000</v>
      </c>
    </row>
    <row r="79" spans="1:5" ht="24" customHeight="1" x14ac:dyDescent="0.2">
      <c r="A79" s="339">
        <v>13</v>
      </c>
      <c r="B79" s="340" t="s">
        <v>67</v>
      </c>
      <c r="C79" s="341">
        <f>+C32</f>
        <v>685202000</v>
      </c>
      <c r="D79" s="341">
        <f>+D32</f>
        <v>759299000</v>
      </c>
      <c r="E79" s="341">
        <f>+E32</f>
        <v>1025980000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1307099000</v>
      </c>
      <c r="D80" s="341">
        <f>+D78+D79</f>
        <v>1490663000</v>
      </c>
      <c r="E80" s="341">
        <f>+E78+E79</f>
        <v>1757273000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292411</v>
      </c>
      <c r="D11" s="376">
        <v>54673</v>
      </c>
      <c r="E11" s="376">
        <v>44206</v>
      </c>
      <c r="F11" s="377">
        <v>986</v>
      </c>
      <c r="G11" s="377">
        <v>1024</v>
      </c>
      <c r="H11" s="378">
        <f>IF(F11=0,0,$C11/(F11*365))</f>
        <v>0.81250104198505102</v>
      </c>
      <c r="I11" s="378">
        <f>IF(G11=0,0,$C11/(G11*365))</f>
        <v>0.78234963613013697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48332</v>
      </c>
      <c r="D13" s="376">
        <v>9811</v>
      </c>
      <c r="E13" s="376">
        <v>0</v>
      </c>
      <c r="F13" s="377">
        <v>153</v>
      </c>
      <c r="G13" s="377">
        <v>161</v>
      </c>
      <c r="H13" s="378">
        <f>IF(F13=0,0,$C13/(F13*365))</f>
        <v>0.86546691736055148</v>
      </c>
      <c r="I13" s="378">
        <f>IF(G13=0,0,$C13/(G13*365))</f>
        <v>0.82246235003828805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11303</v>
      </c>
      <c r="D15" s="376">
        <v>1054</v>
      </c>
      <c r="E15" s="376">
        <v>1039</v>
      </c>
      <c r="F15" s="377">
        <v>32</v>
      </c>
      <c r="G15" s="377">
        <v>32</v>
      </c>
      <c r="H15" s="378">
        <f t="shared" ref="H15:I17" si="0">IF(F15=0,0,$C15/(F15*365))</f>
        <v>0.96772260273972599</v>
      </c>
      <c r="I15" s="378">
        <f t="shared" si="0"/>
        <v>0.96772260273972599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34943</v>
      </c>
      <c r="D16" s="376">
        <v>3733</v>
      </c>
      <c r="E16" s="376">
        <v>3678</v>
      </c>
      <c r="F16" s="377">
        <v>98</v>
      </c>
      <c r="G16" s="377">
        <v>98</v>
      </c>
      <c r="H16" s="378">
        <f t="shared" si="0"/>
        <v>0.97688006709533126</v>
      </c>
      <c r="I16" s="378">
        <f t="shared" si="0"/>
        <v>0.97688006709533126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46246</v>
      </c>
      <c r="D17" s="381">
        <f>SUM(D15:D16)</f>
        <v>4787</v>
      </c>
      <c r="E17" s="381">
        <f>SUM(E15:E16)</f>
        <v>4717</v>
      </c>
      <c r="F17" s="381">
        <f>SUM(F15:F16)</f>
        <v>130</v>
      </c>
      <c r="G17" s="381">
        <f>SUM(G15:G16)</f>
        <v>130</v>
      </c>
      <c r="H17" s="382">
        <f t="shared" si="0"/>
        <v>0.97462592202318232</v>
      </c>
      <c r="I17" s="382">
        <f t="shared" si="0"/>
        <v>0.97462592202318232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3140</v>
      </c>
      <c r="D19" s="376">
        <v>257</v>
      </c>
      <c r="E19" s="376">
        <v>253</v>
      </c>
      <c r="F19" s="377">
        <v>18</v>
      </c>
      <c r="G19" s="377">
        <v>18</v>
      </c>
      <c r="H19" s="378">
        <f>IF(F19=0,0,$C19/(F19*365))</f>
        <v>0.47792998477929982</v>
      </c>
      <c r="I19" s="378">
        <f>IF(G19=0,0,$C19/(G19*365))</f>
        <v>0.47792998477929982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16638</v>
      </c>
      <c r="D21" s="376">
        <v>4960</v>
      </c>
      <c r="E21" s="376">
        <v>4887</v>
      </c>
      <c r="F21" s="377">
        <v>68</v>
      </c>
      <c r="G21" s="377">
        <v>68</v>
      </c>
      <c r="H21" s="378">
        <f>IF(F21=0,0,$C21/(F21*365))</f>
        <v>0.67034649476228847</v>
      </c>
      <c r="I21" s="378">
        <f>IF(G21=0,0,$C21/(G21*365))</f>
        <v>0.67034649476228847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13446</v>
      </c>
      <c r="D23" s="376">
        <v>6195</v>
      </c>
      <c r="E23" s="376">
        <v>6104</v>
      </c>
      <c r="F23" s="377">
        <v>53</v>
      </c>
      <c r="G23" s="377">
        <v>53</v>
      </c>
      <c r="H23" s="378">
        <f>IF(F23=0,0,$C23/(F23*365))</f>
        <v>0.69506332385629366</v>
      </c>
      <c r="I23" s="378">
        <f>IF(G23=0,0,$C23/(G23*365))</f>
        <v>0.69506332385629366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15915</v>
      </c>
      <c r="D25" s="376">
        <v>858</v>
      </c>
      <c r="E25" s="376">
        <v>0</v>
      </c>
      <c r="F25" s="377">
        <v>61</v>
      </c>
      <c r="G25" s="377">
        <v>61</v>
      </c>
      <c r="H25" s="378">
        <f>IF(F25=0,0,$C25/(F25*365))</f>
        <v>0.7147990119020885</v>
      </c>
      <c r="I25" s="378">
        <f>IF(G25=0,0,$C25/(G25*365))</f>
        <v>0.7147990119020885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26091</v>
      </c>
      <c r="D27" s="376">
        <v>8773</v>
      </c>
      <c r="E27" s="376">
        <v>8645</v>
      </c>
      <c r="F27" s="377">
        <v>103</v>
      </c>
      <c r="G27" s="377">
        <v>103</v>
      </c>
      <c r="H27" s="378">
        <f>IF(F27=0,0,$C27/(F27*365))</f>
        <v>0.69400186194972735</v>
      </c>
      <c r="I27" s="378">
        <f>IF(G27=0,0,$C27/(G27*365))</f>
        <v>0.69400186194972735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448773</v>
      </c>
      <c r="D31" s="384">
        <f>SUM(D10:D29)-D13-D17-D23</f>
        <v>74308</v>
      </c>
      <c r="E31" s="384">
        <f>SUM(E10:E29)-E17-E23</f>
        <v>62708</v>
      </c>
      <c r="F31" s="384">
        <f>SUM(F10:F29)-F17-F23</f>
        <v>1519</v>
      </c>
      <c r="G31" s="384">
        <f>SUM(G10:G29)-G17-G23</f>
        <v>1565</v>
      </c>
      <c r="H31" s="385">
        <f>IF(F31=0,0,$C31/(F31*365))</f>
        <v>0.80942400822458904</v>
      </c>
      <c r="I31" s="385">
        <f>IF(G31=0,0,$C31/(G31*365))</f>
        <v>0.7856326316250164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462219</v>
      </c>
      <c r="D33" s="384">
        <f>SUM(D10:D29)-D13-D17</f>
        <v>80503</v>
      </c>
      <c r="E33" s="384">
        <f>SUM(E10:E29)-E17</f>
        <v>68812</v>
      </c>
      <c r="F33" s="384">
        <f>SUM(F10:F29)-F17</f>
        <v>1572</v>
      </c>
      <c r="G33" s="384">
        <f>SUM(G10:G29)-G17</f>
        <v>1618</v>
      </c>
      <c r="H33" s="385">
        <f>IF(F33=0,0,$C33/(F33*365))</f>
        <v>0.80556833629614133</v>
      </c>
      <c r="I33" s="385">
        <f>IF(G33=0,0,$C33/(G33*365))</f>
        <v>0.78266589904668371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462219</v>
      </c>
      <c r="D36" s="384">
        <f t="shared" si="1"/>
        <v>80503</v>
      </c>
      <c r="E36" s="384">
        <f t="shared" si="1"/>
        <v>68812</v>
      </c>
      <c r="F36" s="384">
        <f t="shared" si="1"/>
        <v>1572</v>
      </c>
      <c r="G36" s="384">
        <f t="shared" si="1"/>
        <v>1618</v>
      </c>
      <c r="H36" s="387">
        <f t="shared" si="1"/>
        <v>0.80556833629614133</v>
      </c>
      <c r="I36" s="387">
        <f t="shared" si="1"/>
        <v>0.78266589904668371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311547</v>
      </c>
      <c r="D37" s="384">
        <v>59426</v>
      </c>
      <c r="E37" s="384">
        <v>59356</v>
      </c>
      <c r="F37" s="386">
        <v>859</v>
      </c>
      <c r="G37" s="386">
        <v>1001</v>
      </c>
      <c r="H37" s="385">
        <f>IF(F37=0,0,$C37/(F37*365))</f>
        <v>0.99365940006697817</v>
      </c>
      <c r="I37" s="385">
        <f>IF(G37=0,0,$C37/(G37*365))</f>
        <v>0.85270072393360064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150672</v>
      </c>
      <c r="D38" s="384">
        <f t="shared" si="2"/>
        <v>21077</v>
      </c>
      <c r="E38" s="384">
        <f t="shared" si="2"/>
        <v>9456</v>
      </c>
      <c r="F38" s="384">
        <f t="shared" si="2"/>
        <v>713</v>
      </c>
      <c r="G38" s="384">
        <f t="shared" si="2"/>
        <v>617</v>
      </c>
      <c r="H38" s="387">
        <f t="shared" si="2"/>
        <v>-0.18809106377083684</v>
      </c>
      <c r="I38" s="387">
        <f t="shared" si="2"/>
        <v>-7.0034824886916924E-2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0.48362526360388641</v>
      </c>
      <c r="D40" s="389">
        <f t="shared" si="3"/>
        <v>0.35467640426749236</v>
      </c>
      <c r="E40" s="389">
        <f t="shared" si="3"/>
        <v>0.15930992654491544</v>
      </c>
      <c r="F40" s="389">
        <f t="shared" si="3"/>
        <v>0.83003492433061699</v>
      </c>
      <c r="G40" s="389">
        <f t="shared" si="3"/>
        <v>0.61638361638361638</v>
      </c>
      <c r="H40" s="389">
        <f t="shared" si="3"/>
        <v>-0.18929128407395779</v>
      </c>
      <c r="I40" s="389">
        <f t="shared" si="3"/>
        <v>-8.2132948783998572E-2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1541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31839</v>
      </c>
      <c r="D12" s="409">
        <v>42201</v>
      </c>
      <c r="E12" s="409">
        <f>+D12-C12</f>
        <v>10362</v>
      </c>
      <c r="F12" s="410">
        <f>IF(C12=0,0,+E12/C12)</f>
        <v>0.32544991990954492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37565</v>
      </c>
      <c r="D13" s="409">
        <v>48448</v>
      </c>
      <c r="E13" s="409">
        <f>+D13-C13</f>
        <v>10883</v>
      </c>
      <c r="F13" s="410">
        <f>IF(C13=0,0,+E13/C13)</f>
        <v>0.28971116730999602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15343</v>
      </c>
      <c r="D14" s="409">
        <v>26127</v>
      </c>
      <c r="E14" s="409">
        <f>+D14-C14</f>
        <v>10784</v>
      </c>
      <c r="F14" s="410">
        <f>IF(C14=0,0,+E14/C14)</f>
        <v>0.70286123965326208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84747</v>
      </c>
      <c r="D16" s="401">
        <f>SUM(D12:D15)</f>
        <v>116776</v>
      </c>
      <c r="E16" s="401">
        <f>+D16-C16</f>
        <v>32029</v>
      </c>
      <c r="F16" s="402">
        <f>IF(C16=0,0,+E16/C16)</f>
        <v>0.37793668212444098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8845</v>
      </c>
      <c r="D19" s="409">
        <v>10230</v>
      </c>
      <c r="E19" s="409">
        <f>+D19-C19</f>
        <v>1385</v>
      </c>
      <c r="F19" s="410">
        <f>IF(C19=0,0,+E19/C19)</f>
        <v>0.15658564160542679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25828</v>
      </c>
      <c r="D20" s="409">
        <v>35856</v>
      </c>
      <c r="E20" s="409">
        <f>+D20-C20</f>
        <v>10028</v>
      </c>
      <c r="F20" s="410">
        <f>IF(C20=0,0,+E20/C20)</f>
        <v>0.38826080223013781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10549</v>
      </c>
      <c r="D21" s="409">
        <v>12131</v>
      </c>
      <c r="E21" s="409">
        <f>+D21-C21</f>
        <v>1582</v>
      </c>
      <c r="F21" s="410">
        <f>IF(C21=0,0,+E21/C21)</f>
        <v>0.14996682149966822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45222</v>
      </c>
      <c r="D23" s="401">
        <f>SUM(D19:D22)</f>
        <v>58217</v>
      </c>
      <c r="E23" s="401">
        <f>+D23-C23</f>
        <v>12995</v>
      </c>
      <c r="F23" s="402">
        <f>IF(C23=0,0,+E23/C23)</f>
        <v>0.28736013444783515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77</v>
      </c>
      <c r="D26" s="409">
        <v>104</v>
      </c>
      <c r="E26" s="409">
        <f>+D26-C26</f>
        <v>27</v>
      </c>
      <c r="F26" s="410">
        <f>IF(C26=0,0,+E26/C26)</f>
        <v>0.35064935064935066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141</v>
      </c>
      <c r="D27" s="409">
        <v>190</v>
      </c>
      <c r="E27" s="409">
        <f>+D27-C27</f>
        <v>49</v>
      </c>
      <c r="F27" s="410">
        <f>IF(C27=0,0,+E27/C27)</f>
        <v>0.3475177304964539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57</v>
      </c>
      <c r="D28" s="409">
        <v>66</v>
      </c>
      <c r="E28" s="409">
        <f>+D28-C28</f>
        <v>9</v>
      </c>
      <c r="F28" s="410">
        <f>IF(C28=0,0,+E28/C28)</f>
        <v>0.15789473684210525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275</v>
      </c>
      <c r="D30" s="401">
        <f>SUM(D26:D29)</f>
        <v>360</v>
      </c>
      <c r="E30" s="401">
        <f>+D30-C30</f>
        <v>85</v>
      </c>
      <c r="F30" s="402">
        <f>IF(C30=0,0,+E30/C30)</f>
        <v>0.30909090909090908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395</v>
      </c>
      <c r="D33" s="409">
        <v>612</v>
      </c>
      <c r="E33" s="409">
        <f>+D33-C33</f>
        <v>217</v>
      </c>
      <c r="F33" s="410">
        <f>IF(C33=0,0,+E33/C33)</f>
        <v>0.54936708860759498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2474</v>
      </c>
      <c r="D34" s="409">
        <v>3598</v>
      </c>
      <c r="E34" s="409">
        <f>+D34-C34</f>
        <v>1124</v>
      </c>
      <c r="F34" s="410">
        <f>IF(C34=0,0,+E34/C34)</f>
        <v>0.45432497978981407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1010</v>
      </c>
      <c r="D35" s="409">
        <v>2455</v>
      </c>
      <c r="E35" s="409">
        <f>+D35-C35</f>
        <v>1445</v>
      </c>
      <c r="F35" s="410">
        <f>IF(C35=0,0,+E35/C35)</f>
        <v>1.4306930693069306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3879</v>
      </c>
      <c r="D37" s="401">
        <f>SUM(D33:D36)</f>
        <v>6665</v>
      </c>
      <c r="E37" s="401">
        <f>+D37-C37</f>
        <v>2786</v>
      </c>
      <c r="F37" s="402">
        <f>IF(C37=0,0,+E37/C37)</f>
        <v>0.71822634699664867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1443</v>
      </c>
      <c r="D43" s="409">
        <v>1527</v>
      </c>
      <c r="E43" s="409">
        <f>+D43-C43</f>
        <v>84</v>
      </c>
      <c r="F43" s="410">
        <f>IF(C43=0,0,+E43/C43)</f>
        <v>5.8212058212058215E-2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30892</v>
      </c>
      <c r="D44" s="409">
        <v>46200</v>
      </c>
      <c r="E44" s="409">
        <f>+D44-C44</f>
        <v>15308</v>
      </c>
      <c r="F44" s="410">
        <f>IF(C44=0,0,+E44/C44)</f>
        <v>0.49553282403211185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32335</v>
      </c>
      <c r="D45" s="401">
        <f>SUM(D43:D44)</f>
        <v>47727</v>
      </c>
      <c r="E45" s="401">
        <f>+D45-C45</f>
        <v>15392</v>
      </c>
      <c r="F45" s="402">
        <f>IF(C45=0,0,+E45/C45)</f>
        <v>0.47601670017009434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2633</v>
      </c>
      <c r="D48" s="409">
        <v>1469</v>
      </c>
      <c r="E48" s="409">
        <f>+D48-C48</f>
        <v>-1164</v>
      </c>
      <c r="F48" s="410">
        <f>IF(C48=0,0,+E48/C48)</f>
        <v>-0.44208127611090009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633</v>
      </c>
      <c r="D49" s="409">
        <v>935</v>
      </c>
      <c r="E49" s="409">
        <f>+D49-C49</f>
        <v>302</v>
      </c>
      <c r="F49" s="410">
        <f>IF(C49=0,0,+E49/C49)</f>
        <v>0.47709320695102686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3266</v>
      </c>
      <c r="D50" s="401">
        <f>SUM(D48:D49)</f>
        <v>2404</v>
      </c>
      <c r="E50" s="401">
        <f>+D50-C50</f>
        <v>-862</v>
      </c>
      <c r="F50" s="402">
        <f>IF(C50=0,0,+E50/C50)</f>
        <v>-0.26393141457440294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271</v>
      </c>
      <c r="D53" s="409">
        <v>359</v>
      </c>
      <c r="E53" s="409">
        <f>+D53-C53</f>
        <v>88</v>
      </c>
      <c r="F53" s="410">
        <f>IF(C53=0,0,+E53/C53)</f>
        <v>0.32472324723247231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1237</v>
      </c>
      <c r="D54" s="409">
        <v>1470</v>
      </c>
      <c r="E54" s="409">
        <f>+D54-C54</f>
        <v>233</v>
      </c>
      <c r="F54" s="410">
        <f>IF(C54=0,0,+E54/C54)</f>
        <v>0.1883589329021827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1508</v>
      </c>
      <c r="D55" s="401">
        <f>SUM(D53:D54)</f>
        <v>1829</v>
      </c>
      <c r="E55" s="401">
        <f>+D55-C55</f>
        <v>321</v>
      </c>
      <c r="F55" s="402">
        <f>IF(C55=0,0,+E55/C55)</f>
        <v>0.21286472148541113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1258</v>
      </c>
      <c r="D58" s="409">
        <v>1651</v>
      </c>
      <c r="E58" s="409">
        <f>+D58-C58</f>
        <v>393</v>
      </c>
      <c r="F58" s="410">
        <f>IF(C58=0,0,+E58/C58)</f>
        <v>0.31240063593004769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325</v>
      </c>
      <c r="D59" s="409">
        <v>694</v>
      </c>
      <c r="E59" s="409">
        <f>+D59-C59</f>
        <v>369</v>
      </c>
      <c r="F59" s="410">
        <f>IF(C59=0,0,+E59/C59)</f>
        <v>1.1353846153846154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1583</v>
      </c>
      <c r="D60" s="401">
        <f>SUM(D58:D59)</f>
        <v>2345</v>
      </c>
      <c r="E60" s="401">
        <f>SUM(E58:E59)</f>
        <v>762</v>
      </c>
      <c r="F60" s="402">
        <f>IF(C60=0,0,+E60/C60)</f>
        <v>0.48136449778900819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15074</v>
      </c>
      <c r="D63" s="409">
        <v>12296</v>
      </c>
      <c r="E63" s="409">
        <f>+D63-C63</f>
        <v>-2778</v>
      </c>
      <c r="F63" s="410">
        <f>IF(C63=0,0,+E63/C63)</f>
        <v>-0.18429083189597983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22086</v>
      </c>
      <c r="D64" s="409">
        <v>30314</v>
      </c>
      <c r="E64" s="409">
        <f>+D64-C64</f>
        <v>8228</v>
      </c>
      <c r="F64" s="410">
        <f>IF(C64=0,0,+E64/C64)</f>
        <v>0.37254369283709138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37160</v>
      </c>
      <c r="D65" s="401">
        <f>SUM(D63:D64)</f>
        <v>42610</v>
      </c>
      <c r="E65" s="401">
        <f>+D65-C65</f>
        <v>5450</v>
      </c>
      <c r="F65" s="402">
        <f>IF(C65=0,0,+E65/C65)</f>
        <v>0.14666307857911734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210</v>
      </c>
      <c r="D68" s="409">
        <v>4316</v>
      </c>
      <c r="E68" s="409">
        <f>+D68-C68</f>
        <v>4106</v>
      </c>
      <c r="F68" s="410">
        <f>IF(C68=0,0,+E68/C68)</f>
        <v>19.552380952380954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11431</v>
      </c>
      <c r="D69" s="409">
        <v>14720</v>
      </c>
      <c r="E69" s="409">
        <f>+D69-C69</f>
        <v>3289</v>
      </c>
      <c r="F69" s="412">
        <f>IF(C69=0,0,+E69/C69)</f>
        <v>0.28772635814889336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11641</v>
      </c>
      <c r="D70" s="401">
        <f>SUM(D68:D69)</f>
        <v>19036</v>
      </c>
      <c r="E70" s="401">
        <f>+D70-C70</f>
        <v>7395</v>
      </c>
      <c r="F70" s="402">
        <f>IF(C70=0,0,+E70/C70)</f>
        <v>0.63525470320419208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26732</v>
      </c>
      <c r="D73" s="376">
        <v>40919</v>
      </c>
      <c r="E73" s="409">
        <f>+D73-C73</f>
        <v>14187</v>
      </c>
      <c r="F73" s="410">
        <f>IF(C73=0,0,+E73/C73)</f>
        <v>0.53071225497531049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114396</v>
      </c>
      <c r="D74" s="376">
        <v>163785</v>
      </c>
      <c r="E74" s="409">
        <f>+D74-C74</f>
        <v>49389</v>
      </c>
      <c r="F74" s="410">
        <f>IF(C74=0,0,+E74/C74)</f>
        <v>0.43173712367565298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141128</v>
      </c>
      <c r="D75" s="401">
        <f>SUM(D73:D74)</f>
        <v>204704</v>
      </c>
      <c r="E75" s="401">
        <f>SUM(E73:E74)</f>
        <v>63576</v>
      </c>
      <c r="F75" s="402">
        <f>IF(C75=0,0,+E75/C75)</f>
        <v>0.45048466640213142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182</v>
      </c>
      <c r="E80" s="409">
        <f t="shared" si="0"/>
        <v>182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103211</v>
      </c>
      <c r="D87" s="376">
        <v>0</v>
      </c>
      <c r="E87" s="409">
        <f t="shared" si="0"/>
        <v>-103211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284071</v>
      </c>
      <c r="E91" s="409">
        <f t="shared" si="0"/>
        <v>284071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103211</v>
      </c>
      <c r="D92" s="381">
        <f>SUM(D79:D91)</f>
        <v>284253</v>
      </c>
      <c r="E92" s="401">
        <f t="shared" si="0"/>
        <v>181042</v>
      </c>
      <c r="F92" s="402">
        <f t="shared" si="1"/>
        <v>1.7540959781418648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0</v>
      </c>
      <c r="E95" s="415">
        <f t="shared" ref="E95:E100" si="2">+D95-C95</f>
        <v>0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9765</v>
      </c>
      <c r="E96" s="409">
        <f t="shared" si="2"/>
        <v>9765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55463</v>
      </c>
      <c r="D97" s="414">
        <v>81490</v>
      </c>
      <c r="E97" s="409">
        <f t="shared" si="2"/>
        <v>26027</v>
      </c>
      <c r="F97" s="410">
        <f t="shared" si="3"/>
        <v>0.46926780015505831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13493</v>
      </c>
      <c r="D98" s="414">
        <v>13392</v>
      </c>
      <c r="E98" s="409">
        <f t="shared" si="2"/>
        <v>-101</v>
      </c>
      <c r="F98" s="410">
        <f t="shared" si="3"/>
        <v>-7.4853627807011042E-3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705129</v>
      </c>
      <c r="D99" s="414">
        <v>995887</v>
      </c>
      <c r="E99" s="409">
        <f t="shared" si="2"/>
        <v>290758</v>
      </c>
      <c r="F99" s="410">
        <f t="shared" si="3"/>
        <v>0.41234724426310648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774085</v>
      </c>
      <c r="D100" s="381">
        <f>SUM(D95:D99)</f>
        <v>1100534</v>
      </c>
      <c r="E100" s="401">
        <f t="shared" si="2"/>
        <v>326449</v>
      </c>
      <c r="F100" s="402">
        <f t="shared" si="3"/>
        <v>0.4217224206643973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3089</v>
      </c>
      <c r="D104" s="416">
        <v>4083</v>
      </c>
      <c r="E104" s="417">
        <f>+D104-C104</f>
        <v>994</v>
      </c>
      <c r="F104" s="410">
        <f>IF(C104=0,0,+E104/C104)</f>
        <v>0.3217869860796374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780.6</v>
      </c>
      <c r="D105" s="416">
        <v>0</v>
      </c>
      <c r="E105" s="417">
        <f>+D105-C105</f>
        <v>-780.6</v>
      </c>
      <c r="F105" s="410">
        <f>IF(C105=0,0,+E105/C105)</f>
        <v>-1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4281</v>
      </c>
      <c r="D106" s="416">
        <v>6988.7</v>
      </c>
      <c r="E106" s="417">
        <f>+D106-C106</f>
        <v>2707.7</v>
      </c>
      <c r="F106" s="410">
        <f>IF(C106=0,0,+E106/C106)</f>
        <v>0.63249240831581399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8150.6</v>
      </c>
      <c r="D107" s="418">
        <f>SUM(D104:D106)</f>
        <v>11071.7</v>
      </c>
      <c r="E107" s="418">
        <f>+D107-C107</f>
        <v>2921.1000000000004</v>
      </c>
      <c r="F107" s="402">
        <f>IF(C107=0,0,+E107/C107)</f>
        <v>0.35839079331582951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10730</v>
      </c>
      <c r="D12" s="409">
        <v>12308</v>
      </c>
      <c r="E12" s="409">
        <f>+D12-C12</f>
        <v>1578</v>
      </c>
      <c r="F12" s="410">
        <f>IF(C12=0,0,+E12/C12)</f>
        <v>0.14706430568499534</v>
      </c>
    </row>
    <row r="13" spans="1:6" ht="15.75" customHeight="1" x14ac:dyDescent="0.2">
      <c r="A13" s="374">
        <v>2</v>
      </c>
      <c r="B13" s="408" t="s">
        <v>622</v>
      </c>
      <c r="C13" s="409">
        <v>11356</v>
      </c>
      <c r="D13" s="409">
        <v>18006</v>
      </c>
      <c r="E13" s="409">
        <f>+D13-C13</f>
        <v>6650</v>
      </c>
      <c r="F13" s="410">
        <f>IF(C13=0,0,+E13/C13)</f>
        <v>0.5855935188446636</v>
      </c>
    </row>
    <row r="14" spans="1:6" ht="15.75" customHeight="1" x14ac:dyDescent="0.25">
      <c r="A14" s="374"/>
      <c r="B14" s="399" t="s">
        <v>623</v>
      </c>
      <c r="C14" s="401">
        <f>SUM(C11:C13)</f>
        <v>22086</v>
      </c>
      <c r="D14" s="401">
        <f>SUM(D11:D13)</f>
        <v>30314</v>
      </c>
      <c r="E14" s="401">
        <f>+D14-C14</f>
        <v>8228</v>
      </c>
      <c r="F14" s="402">
        <f>IF(C14=0,0,+E14/C14)</f>
        <v>0.37254369283709138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6051</v>
      </c>
      <c r="D17" s="409">
        <v>5740</v>
      </c>
      <c r="E17" s="409">
        <f>+D17-C17</f>
        <v>-311</v>
      </c>
      <c r="F17" s="410">
        <f>IF(C17=0,0,+E17/C17)</f>
        <v>-5.139646339448025E-2</v>
      </c>
    </row>
    <row r="18" spans="1:6" ht="15.75" customHeight="1" x14ac:dyDescent="0.2">
      <c r="A18" s="374">
        <v>2</v>
      </c>
      <c r="B18" s="408" t="s">
        <v>622</v>
      </c>
      <c r="C18" s="409">
        <v>5380</v>
      </c>
      <c r="D18" s="409">
        <v>8980</v>
      </c>
      <c r="E18" s="409">
        <f>+D18-C18</f>
        <v>3600</v>
      </c>
      <c r="F18" s="410">
        <f>IF(C18=0,0,+E18/C18)</f>
        <v>0.66914498141263945</v>
      </c>
    </row>
    <row r="19" spans="1:6" ht="15.75" customHeight="1" x14ac:dyDescent="0.25">
      <c r="A19" s="374"/>
      <c r="B19" s="399" t="s">
        <v>624</v>
      </c>
      <c r="C19" s="401">
        <f>SUM(C16:C18)</f>
        <v>11431</v>
      </c>
      <c r="D19" s="401">
        <f>SUM(D16:D18)</f>
        <v>14720</v>
      </c>
      <c r="E19" s="401">
        <f>+D19-C19</f>
        <v>3289</v>
      </c>
      <c r="F19" s="402">
        <f>IF(C19=0,0,+E19/C19)</f>
        <v>0.28772635814889336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626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</row>
    <row r="23" spans="1:6" ht="15.75" customHeight="1" x14ac:dyDescent="0.2">
      <c r="A23" s="374">
        <v>2</v>
      </c>
      <c r="B23" s="408" t="s">
        <v>627</v>
      </c>
      <c r="C23" s="409">
        <v>20235</v>
      </c>
      <c r="D23" s="409">
        <v>24765</v>
      </c>
      <c r="E23" s="409">
        <f>+D23-C23</f>
        <v>4530</v>
      </c>
      <c r="F23" s="410">
        <f>IF(C23=0,0,+E23/C23)</f>
        <v>0.22386953298739806</v>
      </c>
    </row>
    <row r="24" spans="1:6" ht="15.75" customHeight="1" x14ac:dyDescent="0.2">
      <c r="A24" s="374">
        <v>3</v>
      </c>
      <c r="B24" s="408" t="s">
        <v>622</v>
      </c>
      <c r="C24" s="409">
        <v>94161</v>
      </c>
      <c r="D24" s="409">
        <v>139020</v>
      </c>
      <c r="E24" s="409">
        <f>+D24-C24</f>
        <v>44859</v>
      </c>
      <c r="F24" s="410">
        <f>IF(C24=0,0,+E24/C24)</f>
        <v>0.47640742982763562</v>
      </c>
    </row>
    <row r="25" spans="1:6" ht="15.75" customHeight="1" x14ac:dyDescent="0.25">
      <c r="A25" s="374"/>
      <c r="B25" s="399" t="s">
        <v>628</v>
      </c>
      <c r="C25" s="401">
        <f>SUM(C21:C24)</f>
        <v>114396</v>
      </c>
      <c r="D25" s="401">
        <f>SUM(D21:D24)</f>
        <v>163785</v>
      </c>
      <c r="E25" s="401">
        <f>+D25-C25</f>
        <v>49389</v>
      </c>
      <c r="F25" s="402">
        <f>IF(C25=0,0,+E25/C25)</f>
        <v>0.43173712367565298</v>
      </c>
    </row>
    <row r="26" spans="1:6" ht="15.75" customHeight="1" x14ac:dyDescent="0.25">
      <c r="A26" s="136"/>
      <c r="B26" s="399"/>
      <c r="C26" s="401"/>
      <c r="D26" s="401"/>
      <c r="E26" s="401"/>
      <c r="F26" s="40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630</v>
      </c>
      <c r="C29" s="811"/>
      <c r="D29" s="811"/>
      <c r="E29" s="811"/>
      <c r="F29" s="812"/>
    </row>
    <row r="30" spans="1:6" ht="15.75" customHeight="1" x14ac:dyDescent="0.25">
      <c r="A30" s="392"/>
    </row>
    <row r="31" spans="1:6" ht="15.75" customHeight="1" x14ac:dyDescent="0.25">
      <c r="B31" s="810" t="s">
        <v>631</v>
      </c>
      <c r="C31" s="811"/>
      <c r="D31" s="811"/>
      <c r="E31" s="811"/>
      <c r="F31" s="812"/>
    </row>
    <row r="32" spans="1:6" ht="15.75" customHeight="1" x14ac:dyDescent="0.25">
      <c r="A32" s="392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.5703125" style="421" bestFit="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1269673723</v>
      </c>
      <c r="D15" s="448">
        <v>1929011508</v>
      </c>
      <c r="E15" s="448">
        <f t="shared" ref="E15:E24" si="0">D15-C15</f>
        <v>659337785</v>
      </c>
      <c r="F15" s="449">
        <f t="shared" ref="F15:F24" si="1">IF(C15=0,0,E15/C15)</f>
        <v>0.51929702336605732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360960589</v>
      </c>
      <c r="D16" s="448">
        <v>538717515</v>
      </c>
      <c r="E16" s="448">
        <f t="shared" si="0"/>
        <v>177756926</v>
      </c>
      <c r="F16" s="449">
        <f t="shared" si="1"/>
        <v>0.49245521925940783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0.28429397447646476</v>
      </c>
      <c r="D17" s="453">
        <f>IF(LN_IA1=0,0,LN_IA2/LN_IA1)</f>
        <v>0.27927128105033577</v>
      </c>
      <c r="E17" s="454">
        <f t="shared" si="0"/>
        <v>-5.0226934261289879E-3</v>
      </c>
      <c r="F17" s="449">
        <f t="shared" si="1"/>
        <v>-1.7667252481796059E-2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18100</v>
      </c>
      <c r="D18" s="456">
        <v>28633</v>
      </c>
      <c r="E18" s="456">
        <f t="shared" si="0"/>
        <v>10533</v>
      </c>
      <c r="F18" s="449">
        <f t="shared" si="1"/>
        <v>0.58193370165745861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1.7742500000000001</v>
      </c>
      <c r="D19" s="459">
        <v>1.7250099999999999</v>
      </c>
      <c r="E19" s="460">
        <f t="shared" si="0"/>
        <v>-4.9240000000000173E-2</v>
      </c>
      <c r="F19" s="449">
        <f t="shared" si="1"/>
        <v>-2.7752571509088442E-2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32113.925000000003</v>
      </c>
      <c r="D20" s="463">
        <f>LN_IA4*LN_IA5</f>
        <v>49392.211329999998</v>
      </c>
      <c r="E20" s="463">
        <f t="shared" si="0"/>
        <v>17278.286329999995</v>
      </c>
      <c r="F20" s="449">
        <f t="shared" si="1"/>
        <v>0.53803097347957296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11240.002242018065</v>
      </c>
      <c r="D21" s="465">
        <f>IF(LN_IA6=0,0,LN_IA2/LN_IA6)</f>
        <v>10906.932499958593</v>
      </c>
      <c r="E21" s="465">
        <f t="shared" si="0"/>
        <v>-333.06974205947154</v>
      </c>
      <c r="F21" s="449">
        <f t="shared" si="1"/>
        <v>-2.9632533418398249E-2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111924</v>
      </c>
      <c r="D22" s="456">
        <v>192150</v>
      </c>
      <c r="E22" s="456">
        <f t="shared" si="0"/>
        <v>80226</v>
      </c>
      <c r="F22" s="449">
        <f t="shared" si="1"/>
        <v>0.71678996461884847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3225.0508291340552</v>
      </c>
      <c r="D23" s="465">
        <f>IF(LN_IA8=0,0,LN_IA2/LN_IA8)</f>
        <v>2803.6300546448088</v>
      </c>
      <c r="E23" s="465">
        <f t="shared" si="0"/>
        <v>-421.42077448924647</v>
      </c>
      <c r="F23" s="449">
        <f t="shared" si="1"/>
        <v>-0.13067104886604233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6.1836464088397793</v>
      </c>
      <c r="D24" s="466">
        <f>IF(LN_IA4=0,0,LN_IA8/LN_IA4)</f>
        <v>6.7107882513184087</v>
      </c>
      <c r="E24" s="466">
        <f t="shared" si="0"/>
        <v>0.52714184247862939</v>
      </c>
      <c r="F24" s="449">
        <f t="shared" si="1"/>
        <v>8.5247733719874125E-2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750963660</v>
      </c>
      <c r="D27" s="448">
        <v>1270169412</v>
      </c>
      <c r="E27" s="448">
        <f t="shared" ref="E27:E32" si="2">D27-C27</f>
        <v>519205752</v>
      </c>
      <c r="F27" s="449">
        <f t="shared" ref="F27:F32" si="3">IF(C27=0,0,E27/C27)</f>
        <v>0.69138598797177486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122010581</v>
      </c>
      <c r="D28" s="448">
        <v>177236120</v>
      </c>
      <c r="E28" s="448">
        <f t="shared" si="2"/>
        <v>55225539</v>
      </c>
      <c r="F28" s="449">
        <f t="shared" si="3"/>
        <v>0.45262909616011088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0.16247201762066624</v>
      </c>
      <c r="D29" s="453">
        <f>IF(LN_IA11=0,0,LN_IA12/LN_IA11)</f>
        <v>0.13953738637188973</v>
      </c>
      <c r="E29" s="454">
        <f t="shared" si="2"/>
        <v>-2.293463124877651E-2</v>
      </c>
      <c r="F29" s="449">
        <f t="shared" si="3"/>
        <v>-0.14116050003344854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0.59146192159164657</v>
      </c>
      <c r="D30" s="453">
        <f>IF(LN_IA1=0,0,LN_IA11/LN_IA1)</f>
        <v>0.65845610911720909</v>
      </c>
      <c r="E30" s="454">
        <f t="shared" si="2"/>
        <v>6.6994187525562521E-2</v>
      </c>
      <c r="F30" s="449">
        <f t="shared" si="3"/>
        <v>0.11326880916573397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10705.460780808802</v>
      </c>
      <c r="D31" s="463">
        <f>LN_IA14*LN_IA4</f>
        <v>18853.573772353047</v>
      </c>
      <c r="E31" s="463">
        <f t="shared" si="2"/>
        <v>8148.1129915442452</v>
      </c>
      <c r="F31" s="449">
        <f t="shared" si="3"/>
        <v>0.76111744822334049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11397.041519102371</v>
      </c>
      <c r="D32" s="465">
        <f>IF(LN_IA15=0,0,LN_IA12/LN_IA15)</f>
        <v>9400.6644119588473</v>
      </c>
      <c r="E32" s="465">
        <f t="shared" si="2"/>
        <v>-1996.377107143524</v>
      </c>
      <c r="F32" s="449">
        <f t="shared" si="3"/>
        <v>-0.17516625729558263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2020637383</v>
      </c>
      <c r="D35" s="448">
        <f>LN_IA1+LN_IA11</f>
        <v>3199180920</v>
      </c>
      <c r="E35" s="448">
        <f>D35-C35</f>
        <v>1178543537</v>
      </c>
      <c r="F35" s="449">
        <f>IF(C35=0,0,E35/C35)</f>
        <v>0.58325335704234071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482971170</v>
      </c>
      <c r="D36" s="448">
        <f>LN_IA2+LN_IA12</f>
        <v>715953635</v>
      </c>
      <c r="E36" s="448">
        <f>D36-C36</f>
        <v>232982465</v>
      </c>
      <c r="F36" s="449">
        <f>IF(C36=0,0,E36/C36)</f>
        <v>0.48239414580377543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1537666213</v>
      </c>
      <c r="D37" s="448">
        <f>LN_IA17-LN_IA18</f>
        <v>2483227285</v>
      </c>
      <c r="E37" s="448">
        <f>D37-C37</f>
        <v>945561072</v>
      </c>
      <c r="F37" s="449">
        <f>IF(C37=0,0,E37/C37)</f>
        <v>0.61493259330658134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1220213989</v>
      </c>
      <c r="D42" s="448">
        <v>1530896286</v>
      </c>
      <c r="E42" s="448">
        <f t="shared" ref="E42:E53" si="4">D42-C42</f>
        <v>310682297</v>
      </c>
      <c r="F42" s="449">
        <f t="shared" ref="F42:F53" si="5">IF(C42=0,0,E42/C42)</f>
        <v>0.25461296116971494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443164491</v>
      </c>
      <c r="D43" s="448">
        <v>560461644</v>
      </c>
      <c r="E43" s="448">
        <f t="shared" si="4"/>
        <v>117297153</v>
      </c>
      <c r="F43" s="449">
        <f t="shared" si="5"/>
        <v>0.26468084736509273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0.363185879685895</v>
      </c>
      <c r="D44" s="453">
        <f>IF(LN_IB1=0,0,LN_IB2/LN_IB1)</f>
        <v>0.3661003355520584</v>
      </c>
      <c r="E44" s="454">
        <f t="shared" si="4"/>
        <v>2.9144558661634012E-3</v>
      </c>
      <c r="F44" s="449">
        <f t="shared" si="5"/>
        <v>8.0246948716288149E-3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23650</v>
      </c>
      <c r="D45" s="456">
        <v>28416</v>
      </c>
      <c r="E45" s="456">
        <f t="shared" si="4"/>
        <v>4766</v>
      </c>
      <c r="F45" s="449">
        <f t="shared" si="5"/>
        <v>0.20152219873150107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1.3531299999999999</v>
      </c>
      <c r="D46" s="459">
        <v>1.3871500000000001</v>
      </c>
      <c r="E46" s="460">
        <f t="shared" si="4"/>
        <v>3.4020000000000161E-2</v>
      </c>
      <c r="F46" s="449">
        <f t="shared" si="5"/>
        <v>2.5141708483294407E-2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32001.5245</v>
      </c>
      <c r="D47" s="463">
        <f>LN_IB4*LN_IB5</f>
        <v>39417.254400000005</v>
      </c>
      <c r="E47" s="463">
        <f t="shared" si="4"/>
        <v>7415.7299000000057</v>
      </c>
      <c r="F47" s="449">
        <f t="shared" si="5"/>
        <v>0.23173051958821542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13848.230605388815</v>
      </c>
      <c r="D48" s="465">
        <f>IF(LN_IB6=0,0,LN_IB2/LN_IB6)</f>
        <v>14218.688047435387</v>
      </c>
      <c r="E48" s="465">
        <f t="shared" si="4"/>
        <v>370.4574420465724</v>
      </c>
      <c r="F48" s="449">
        <f t="shared" si="5"/>
        <v>2.6751247332811954E-2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-2608.2283633707502</v>
      </c>
      <c r="D49" s="465">
        <f>LN_IA7-LN_IB7</f>
        <v>-3311.7555474767942</v>
      </c>
      <c r="E49" s="465">
        <f t="shared" si="4"/>
        <v>-703.52718410604393</v>
      </c>
      <c r="F49" s="449">
        <f t="shared" si="5"/>
        <v>0.26973373727016714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-83467283.872003958</v>
      </c>
      <c r="D50" s="479">
        <f>LN_IB8*LN_IB6</f>
        <v>-130540310.92550409</v>
      </c>
      <c r="E50" s="479">
        <f t="shared" si="4"/>
        <v>-47073027.053500131</v>
      </c>
      <c r="F50" s="449">
        <f t="shared" si="5"/>
        <v>0.56396979594646968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101047</v>
      </c>
      <c r="D51" s="456">
        <v>135240</v>
      </c>
      <c r="E51" s="456">
        <f t="shared" si="4"/>
        <v>34193</v>
      </c>
      <c r="F51" s="449">
        <f t="shared" si="5"/>
        <v>0.33838708719704691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4385.7263550624957</v>
      </c>
      <c r="D52" s="465">
        <f>IF(LN_IB10=0,0,LN_IB2/LN_IB10)</f>
        <v>4144.2002661934339</v>
      </c>
      <c r="E52" s="465">
        <f t="shared" si="4"/>
        <v>-241.52608886906182</v>
      </c>
      <c r="F52" s="449">
        <f t="shared" si="5"/>
        <v>-5.5070943628360534E-2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4.2726004228329808</v>
      </c>
      <c r="D53" s="466">
        <f>IF(LN_IB4=0,0,LN_IB10/LN_IB4)</f>
        <v>4.7592905405405403</v>
      </c>
      <c r="E53" s="466">
        <f t="shared" si="4"/>
        <v>0.48669011770755954</v>
      </c>
      <c r="F53" s="449">
        <f t="shared" si="5"/>
        <v>0.11390957954005347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1125564889</v>
      </c>
      <c r="D56" s="448">
        <v>1662915246</v>
      </c>
      <c r="E56" s="448">
        <f t="shared" ref="E56:E63" si="6">D56-C56</f>
        <v>537350357</v>
      </c>
      <c r="F56" s="449">
        <f t="shared" ref="F56:F63" si="7">IF(C56=0,0,E56/C56)</f>
        <v>0.47740504545891177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467539403</v>
      </c>
      <c r="D57" s="448">
        <v>660511946</v>
      </c>
      <c r="E57" s="448">
        <f t="shared" si="6"/>
        <v>192972543</v>
      </c>
      <c r="F57" s="449">
        <f t="shared" si="7"/>
        <v>0.41274070540745417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0.41538200735399805</v>
      </c>
      <c r="D58" s="453">
        <f>IF(LN_IB13=0,0,LN_IB14/LN_IB13)</f>
        <v>0.3972012088943227</v>
      </c>
      <c r="E58" s="454">
        <f t="shared" si="6"/>
        <v>-1.8180798459675351E-2</v>
      </c>
      <c r="F58" s="449">
        <f t="shared" si="7"/>
        <v>-4.3768863691250978E-2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0.92243237591664751</v>
      </c>
      <c r="D59" s="453">
        <f>IF(LN_IB1=0,0,LN_IB13/LN_IB1)</f>
        <v>1.086236384010667</v>
      </c>
      <c r="E59" s="454">
        <f t="shared" si="6"/>
        <v>0.16380400809401952</v>
      </c>
      <c r="F59" s="449">
        <f t="shared" si="7"/>
        <v>0.1775783378496909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21815.525690428713</v>
      </c>
      <c r="D60" s="463">
        <f>LN_IB16*LN_IB4</f>
        <v>30866.493088047115</v>
      </c>
      <c r="E60" s="463">
        <f t="shared" si="6"/>
        <v>9050.9673976184022</v>
      </c>
      <c r="F60" s="449">
        <f t="shared" si="7"/>
        <v>0.41488651367174711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21431.498357388977</v>
      </c>
      <c r="D61" s="465">
        <f>IF(LN_IB17=0,0,LN_IB14/LN_IB17)</f>
        <v>21398.995477584063</v>
      </c>
      <c r="E61" s="465">
        <f t="shared" si="6"/>
        <v>-32.502879804913391</v>
      </c>
      <c r="F61" s="449">
        <f t="shared" si="7"/>
        <v>-1.5165939059835877E-3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-10034.456838286605</v>
      </c>
      <c r="D62" s="465">
        <f>LN_IA16-LN_IB18</f>
        <v>-11998.331065625216</v>
      </c>
      <c r="E62" s="465">
        <f t="shared" si="6"/>
        <v>-1963.8742273386106</v>
      </c>
      <c r="F62" s="449">
        <f t="shared" si="7"/>
        <v>0.19571305741686207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-218906950.94513953</v>
      </c>
      <c r="D63" s="448">
        <f>LN_IB19*LN_IB17</f>
        <v>-370346402.9052217</v>
      </c>
      <c r="E63" s="448">
        <f t="shared" si="6"/>
        <v>-151439451.96008217</v>
      </c>
      <c r="F63" s="449">
        <f t="shared" si="7"/>
        <v>0.69179827916032943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2345778878</v>
      </c>
      <c r="D66" s="448">
        <f>LN_IB1+LN_IB13</f>
        <v>3193811532</v>
      </c>
      <c r="E66" s="448">
        <f>D66-C66</f>
        <v>848032654</v>
      </c>
      <c r="F66" s="449">
        <f>IF(C66=0,0,E66/C66)</f>
        <v>0.36151431916849242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910703894</v>
      </c>
      <c r="D67" s="448">
        <f>LN_IB2+LN_IB14</f>
        <v>1220973590</v>
      </c>
      <c r="E67" s="448">
        <f>D67-C67</f>
        <v>310269696</v>
      </c>
      <c r="F67" s="449">
        <f>IF(C67=0,0,E67/C67)</f>
        <v>0.34069218111853161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1435074984</v>
      </c>
      <c r="D68" s="448">
        <f>LN_IB21-LN_IB22</f>
        <v>1972837942</v>
      </c>
      <c r="E68" s="448">
        <f>D68-C68</f>
        <v>537762958</v>
      </c>
      <c r="F68" s="449">
        <f>IF(C68=0,0,E68/C68)</f>
        <v>0.37472812500785674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-302374234.8171435</v>
      </c>
      <c r="D70" s="441">
        <f>LN_IB9+LN_IB20</f>
        <v>-500886713.83072579</v>
      </c>
      <c r="E70" s="448">
        <f>D70-C70</f>
        <v>-198512479.01358229</v>
      </c>
      <c r="F70" s="449">
        <f>IF(C70=0,0,E70/C70)</f>
        <v>0.65651254688955185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2345778878</v>
      </c>
      <c r="D73" s="488">
        <v>3004952573</v>
      </c>
      <c r="E73" s="488">
        <f>D73-C73</f>
        <v>659173695</v>
      </c>
      <c r="F73" s="489">
        <f>IF(C73=0,0,E73/C73)</f>
        <v>0.28100419062601861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910703894</v>
      </c>
      <c r="D74" s="488">
        <v>1210596860</v>
      </c>
      <c r="E74" s="488">
        <f>D74-C74</f>
        <v>299892966</v>
      </c>
      <c r="F74" s="489">
        <f>IF(C74=0,0,E74/C74)</f>
        <v>0.3292979946344668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1435074984</v>
      </c>
      <c r="D76" s="441">
        <f>LN_IB32-LN_IB33</f>
        <v>1794355713</v>
      </c>
      <c r="E76" s="488">
        <f>D76-C76</f>
        <v>359280729</v>
      </c>
      <c r="F76" s="489">
        <f>IF(E76=0,0,E76/C76)</f>
        <v>0.25035676393617634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0.61176907911436995</v>
      </c>
      <c r="D77" s="453">
        <f>IF(LN_IB32=0,0,LN_IB34/LN_IB32)</f>
        <v>0.59713278975601325</v>
      </c>
      <c r="E77" s="493">
        <f>D77-C77</f>
        <v>-1.4636289358356702E-2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41945010</v>
      </c>
      <c r="D83" s="448">
        <v>47404499</v>
      </c>
      <c r="E83" s="448">
        <f t="shared" ref="E83:E95" si="8">D83-C83</f>
        <v>5459489</v>
      </c>
      <c r="F83" s="449">
        <f t="shared" ref="F83:F95" si="9">IF(C83=0,0,E83/C83)</f>
        <v>0.13015824766760098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5452129</v>
      </c>
      <c r="D84" s="448">
        <v>6033320</v>
      </c>
      <c r="E84" s="448">
        <f t="shared" si="8"/>
        <v>581191</v>
      </c>
      <c r="F84" s="449">
        <f t="shared" si="9"/>
        <v>0.10659890842641472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0.12998277983483614</v>
      </c>
      <c r="D85" s="453">
        <f>IF(LN_IC1=0,0,LN_IC2/LN_IC1)</f>
        <v>0.12727315185843435</v>
      </c>
      <c r="E85" s="454">
        <f t="shared" si="8"/>
        <v>-2.709627976401785E-3</v>
      </c>
      <c r="F85" s="449">
        <f t="shared" si="9"/>
        <v>-2.0846053452963538E-2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977</v>
      </c>
      <c r="D86" s="456">
        <v>885</v>
      </c>
      <c r="E86" s="456">
        <f t="shared" si="8"/>
        <v>-92</v>
      </c>
      <c r="F86" s="449">
        <f t="shared" si="9"/>
        <v>-9.4165813715455474E-2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1.2179</v>
      </c>
      <c r="D87" s="459">
        <v>1.42665</v>
      </c>
      <c r="E87" s="460">
        <f t="shared" si="8"/>
        <v>0.20874999999999999</v>
      </c>
      <c r="F87" s="449">
        <f t="shared" si="9"/>
        <v>0.17140159290582149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1189.8883000000001</v>
      </c>
      <c r="D88" s="463">
        <f>LN_IC4*LN_IC5</f>
        <v>1262.5852500000001</v>
      </c>
      <c r="E88" s="463">
        <f t="shared" si="8"/>
        <v>72.696950000000015</v>
      </c>
      <c r="F88" s="449">
        <f t="shared" si="9"/>
        <v>6.1095608722264105E-2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4582.051105133145</v>
      </c>
      <c r="D89" s="465">
        <f>IF(LN_IC6=0,0,LN_IC2/LN_IC6)</f>
        <v>4778.544656687538</v>
      </c>
      <c r="E89" s="465">
        <f t="shared" si="8"/>
        <v>196.49355155439298</v>
      </c>
      <c r="F89" s="449">
        <f t="shared" si="9"/>
        <v>4.2883317327968407E-2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9266.1795002556701</v>
      </c>
      <c r="D90" s="465">
        <f>LN_IB7-LN_IC7</f>
        <v>9440.1433907478495</v>
      </c>
      <c r="E90" s="465">
        <f t="shared" si="8"/>
        <v>173.96389049217942</v>
      </c>
      <c r="F90" s="449">
        <f t="shared" si="9"/>
        <v>1.8774068696530154E-2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6657.9511368849198</v>
      </c>
      <c r="D91" s="465">
        <f>LN_IA7-LN_IC7</f>
        <v>6128.3878432710553</v>
      </c>
      <c r="E91" s="465">
        <f t="shared" si="8"/>
        <v>-529.56329361386452</v>
      </c>
      <c r="F91" s="449">
        <f t="shared" si="9"/>
        <v>-7.9538477036891153E-2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7922218.1597510651</v>
      </c>
      <c r="D92" s="441">
        <f>LN_IC9*LN_IC6</f>
        <v>7737612.0971933464</v>
      </c>
      <c r="E92" s="441">
        <f t="shared" si="8"/>
        <v>-184606.06255771872</v>
      </c>
      <c r="F92" s="449">
        <f t="shared" si="9"/>
        <v>-2.3302319986037785E-2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3513</v>
      </c>
      <c r="D93" s="456">
        <v>3950</v>
      </c>
      <c r="E93" s="456">
        <f t="shared" si="8"/>
        <v>437</v>
      </c>
      <c r="F93" s="449">
        <f t="shared" si="9"/>
        <v>0.12439510389980074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1551.9866211215485</v>
      </c>
      <c r="D94" s="499">
        <f>IF(LN_IC11=0,0,LN_IC2/LN_IC11)</f>
        <v>1527.4227848101266</v>
      </c>
      <c r="E94" s="499">
        <f t="shared" si="8"/>
        <v>-24.563836311421937</v>
      </c>
      <c r="F94" s="449">
        <f t="shared" si="9"/>
        <v>-1.5827350556456985E-2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3.5957011258955989</v>
      </c>
      <c r="D95" s="466">
        <f>IF(LN_IC4=0,0,LN_IC11/LN_IC4)</f>
        <v>4.463276836158192</v>
      </c>
      <c r="E95" s="466">
        <f t="shared" si="8"/>
        <v>0.86757571026259317</v>
      </c>
      <c r="F95" s="449">
        <f t="shared" si="9"/>
        <v>0.24128137458768958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75084664</v>
      </c>
      <c r="D98" s="448">
        <v>113777717</v>
      </c>
      <c r="E98" s="448">
        <f t="shared" ref="E98:E106" si="10">D98-C98</f>
        <v>38693053</v>
      </c>
      <c r="F98" s="449">
        <f t="shared" ref="F98:F106" si="11">IF(C98=0,0,E98/C98)</f>
        <v>0.51532564625980082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5654176</v>
      </c>
      <c r="D99" s="448">
        <v>6485741</v>
      </c>
      <c r="E99" s="448">
        <f t="shared" si="10"/>
        <v>831565</v>
      </c>
      <c r="F99" s="449">
        <f t="shared" si="11"/>
        <v>0.1470709436706604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7.5304006154971945E-2</v>
      </c>
      <c r="D100" s="453">
        <f>IF(LN_IC14=0,0,LN_IC15/LN_IC14)</f>
        <v>5.7003613457984922E-2</v>
      </c>
      <c r="E100" s="454">
        <f t="shared" si="10"/>
        <v>-1.8300392696987022E-2</v>
      </c>
      <c r="F100" s="449">
        <f t="shared" si="11"/>
        <v>-0.24302017424313008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1.7900738133093781</v>
      </c>
      <c r="D101" s="453">
        <f>IF(LN_IC1=0,0,LN_IC14/LN_IC1)</f>
        <v>2.4001459650485919</v>
      </c>
      <c r="E101" s="454">
        <f t="shared" si="10"/>
        <v>0.61007215173921381</v>
      </c>
      <c r="F101" s="449">
        <f t="shared" si="11"/>
        <v>0.34080837739944925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1748.9021156032625</v>
      </c>
      <c r="D102" s="463">
        <f>LN_IC17*LN_IC4</f>
        <v>2124.1291790680039</v>
      </c>
      <c r="E102" s="463">
        <f t="shared" si="10"/>
        <v>375.22706346474138</v>
      </c>
      <c r="F102" s="449">
        <f t="shared" si="11"/>
        <v>0.21455006550513056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3232.9859684855264</v>
      </c>
      <c r="D103" s="465">
        <f>IF(LN_IC18=0,0,LN_IC15/LN_IC18)</f>
        <v>3053.3646747632006</v>
      </c>
      <c r="E103" s="465">
        <f t="shared" si="10"/>
        <v>-179.62129372232585</v>
      </c>
      <c r="F103" s="449">
        <f t="shared" si="11"/>
        <v>-5.5558946272342903E-2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18198.512388903451</v>
      </c>
      <c r="D104" s="465">
        <f>LN_IB18-LN_IC19</f>
        <v>18345.630802820862</v>
      </c>
      <c r="E104" s="465">
        <f t="shared" si="10"/>
        <v>147.11841391741109</v>
      </c>
      <c r="F104" s="449">
        <f t="shared" si="11"/>
        <v>8.0840901043712013E-3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8164.0555506168448</v>
      </c>
      <c r="D105" s="465">
        <f>LN_IA16-LN_IC19</f>
        <v>6347.2997371956462</v>
      </c>
      <c r="E105" s="465">
        <f t="shared" si="10"/>
        <v>-1816.7558134211986</v>
      </c>
      <c r="F105" s="449">
        <f t="shared" si="11"/>
        <v>-0.22253104503728316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14278134.024376357</v>
      </c>
      <c r="D106" s="448">
        <f>LN_IC21*LN_IC18</f>
        <v>13482484.580067944</v>
      </c>
      <c r="E106" s="448">
        <f t="shared" si="10"/>
        <v>-795649.44430841319</v>
      </c>
      <c r="F106" s="449">
        <f t="shared" si="11"/>
        <v>-5.5725029821826859E-2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117029674</v>
      </c>
      <c r="D109" s="448">
        <f>LN_IC1+LN_IC14</f>
        <v>161182216</v>
      </c>
      <c r="E109" s="448">
        <f>D109-C109</f>
        <v>44152542</v>
      </c>
      <c r="F109" s="449">
        <f>IF(C109=0,0,E109/C109)</f>
        <v>0.37727646750515598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11106305</v>
      </c>
      <c r="D110" s="448">
        <f>LN_IC2+LN_IC15</f>
        <v>12519061</v>
      </c>
      <c r="E110" s="448">
        <f>D110-C110</f>
        <v>1412756</v>
      </c>
      <c r="F110" s="449">
        <f>IF(C110=0,0,E110/C110)</f>
        <v>0.12720306168433157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105923369</v>
      </c>
      <c r="D111" s="448">
        <f>LN_IC23-LN_IC24</f>
        <v>148663155</v>
      </c>
      <c r="E111" s="448">
        <f>D111-C111</f>
        <v>42739786</v>
      </c>
      <c r="F111" s="449">
        <f>IF(C111=0,0,E111/C111)</f>
        <v>0.40349723015324407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22200352.18412742</v>
      </c>
      <c r="D113" s="448">
        <f>LN_IC10+LN_IC22</f>
        <v>21220096.677261289</v>
      </c>
      <c r="E113" s="448">
        <f>D113-C113</f>
        <v>-980255.50686613098</v>
      </c>
      <c r="F113" s="449">
        <f>IF(C113=0,0,E113/C113)</f>
        <v>-4.4154952981646123E-2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920891714</v>
      </c>
      <c r="D118" s="448">
        <v>1155720092</v>
      </c>
      <c r="E118" s="448">
        <f t="shared" ref="E118:E130" si="12">D118-C118</f>
        <v>234828378</v>
      </c>
      <c r="F118" s="449">
        <f t="shared" ref="F118:F130" si="13">IF(C118=0,0,E118/C118)</f>
        <v>0.25500107605485522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152306574</v>
      </c>
      <c r="D119" s="448">
        <v>187684822</v>
      </c>
      <c r="E119" s="448">
        <f t="shared" si="12"/>
        <v>35378248</v>
      </c>
      <c r="F119" s="449">
        <f t="shared" si="13"/>
        <v>0.23228313178392418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0.16539031862762532</v>
      </c>
      <c r="D120" s="453">
        <f>IF(LN_ID1=0,0,LN_1D2/LN_ID1)</f>
        <v>0.16239643430893991</v>
      </c>
      <c r="E120" s="454">
        <f t="shared" si="12"/>
        <v>-2.9938843186854136E-3</v>
      </c>
      <c r="F120" s="449">
        <f t="shared" si="13"/>
        <v>-1.8101932105385896E-2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17294</v>
      </c>
      <c r="D121" s="456">
        <v>23006</v>
      </c>
      <c r="E121" s="456">
        <f t="shared" si="12"/>
        <v>5712</v>
      </c>
      <c r="F121" s="449">
        <f t="shared" si="13"/>
        <v>0.33028796114259279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1.1750799999999999</v>
      </c>
      <c r="D122" s="459">
        <v>1.1861299999999999</v>
      </c>
      <c r="E122" s="460">
        <f t="shared" si="12"/>
        <v>1.1050000000000004E-2</v>
      </c>
      <c r="F122" s="449">
        <f t="shared" si="13"/>
        <v>9.4036150730163089E-3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20321.833519999996</v>
      </c>
      <c r="D123" s="463">
        <f>LN_ID4*LN_ID5</f>
        <v>27288.106779999998</v>
      </c>
      <c r="E123" s="463">
        <f t="shared" si="12"/>
        <v>6966.2732600000018</v>
      </c>
      <c r="F123" s="449">
        <f t="shared" si="13"/>
        <v>0.34279747706544555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7494.7259975388297</v>
      </c>
      <c r="D124" s="465">
        <f>IF(LN_ID6=0,0,LN_1D2/LN_ID6)</f>
        <v>6877.8982548381837</v>
      </c>
      <c r="E124" s="465">
        <f t="shared" si="12"/>
        <v>-616.82774270064601</v>
      </c>
      <c r="F124" s="449">
        <f t="shared" si="13"/>
        <v>-8.2301573520260005E-2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6353.5046078499854</v>
      </c>
      <c r="D125" s="465">
        <f>LN_IB7-LN_ID7</f>
        <v>7340.7897925972038</v>
      </c>
      <c r="E125" s="465">
        <f t="shared" si="12"/>
        <v>987.28518474721841</v>
      </c>
      <c r="F125" s="449">
        <f t="shared" si="13"/>
        <v>0.15539221983523735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3745.2762444792352</v>
      </c>
      <c r="D126" s="465">
        <f>LN_IA7-LN_ID7</f>
        <v>4029.0342451204097</v>
      </c>
      <c r="E126" s="465">
        <f t="shared" si="12"/>
        <v>283.75800064117448</v>
      </c>
      <c r="F126" s="449">
        <f t="shared" si="13"/>
        <v>7.5764237967613474E-2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76110880.326717824</v>
      </c>
      <c r="D127" s="479">
        <f>LN_ID9*LN_ID6</f>
        <v>109944716.70112242</v>
      </c>
      <c r="E127" s="479">
        <f t="shared" si="12"/>
        <v>33833836.374404594</v>
      </c>
      <c r="F127" s="449">
        <f t="shared" si="13"/>
        <v>0.44453350466014285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96744</v>
      </c>
      <c r="D128" s="456">
        <v>132732</v>
      </c>
      <c r="E128" s="456">
        <f t="shared" si="12"/>
        <v>35988</v>
      </c>
      <c r="F128" s="449">
        <f t="shared" si="13"/>
        <v>0.37199206152319525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1574.3257876457455</v>
      </c>
      <c r="D129" s="465">
        <f>IF(LN_ID11=0,0,LN_1D2/LN_ID11)</f>
        <v>1414.0133652774011</v>
      </c>
      <c r="E129" s="465">
        <f t="shared" si="12"/>
        <v>-160.31242236834441</v>
      </c>
      <c r="F129" s="449">
        <f t="shared" si="13"/>
        <v>-0.101829255181087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5.5940788712848386</v>
      </c>
      <c r="D130" s="466">
        <f>IF(LN_ID4=0,0,LN_ID11/LN_ID4)</f>
        <v>5.7694514474484917</v>
      </c>
      <c r="E130" s="466">
        <f t="shared" si="12"/>
        <v>0.17537257616365309</v>
      </c>
      <c r="F130" s="449">
        <f t="shared" si="13"/>
        <v>3.1349678865606308E-2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420544880</v>
      </c>
      <c r="D133" s="448">
        <v>653663080</v>
      </c>
      <c r="E133" s="448">
        <f t="shared" ref="E133:E141" si="14">D133-C133</f>
        <v>233118200</v>
      </c>
      <c r="F133" s="449">
        <f t="shared" ref="F133:F141" si="15">IF(C133=0,0,E133/C133)</f>
        <v>0.55432419008406431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102527578</v>
      </c>
      <c r="D134" s="448">
        <v>149393789</v>
      </c>
      <c r="E134" s="448">
        <f t="shared" si="14"/>
        <v>46866211</v>
      </c>
      <c r="F134" s="449">
        <f t="shared" si="15"/>
        <v>0.45710834015800117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0.24379699498422142</v>
      </c>
      <c r="D135" s="453">
        <f>IF(LN_ID14=0,0,LN_ID15/LN_ID14)</f>
        <v>0.22854861100614707</v>
      </c>
      <c r="E135" s="454">
        <f t="shared" si="14"/>
        <v>-1.5248383978074348E-2</v>
      </c>
      <c r="F135" s="449">
        <f t="shared" si="15"/>
        <v>-6.2545413978795053E-2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0.45667136928978819</v>
      </c>
      <c r="D136" s="453">
        <f>IF(LN_ID1=0,0,LN_ID14/LN_ID1)</f>
        <v>0.56558944031925684</v>
      </c>
      <c r="E136" s="454">
        <f t="shared" si="14"/>
        <v>0.10891807102946865</v>
      </c>
      <c r="F136" s="449">
        <f t="shared" si="15"/>
        <v>0.2385042688330937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7897.674660497597</v>
      </c>
      <c r="D137" s="463">
        <f>LN_ID17*LN_ID4</f>
        <v>13011.950663984822</v>
      </c>
      <c r="E137" s="463">
        <f t="shared" si="14"/>
        <v>5114.2760034872254</v>
      </c>
      <c r="F137" s="449">
        <f t="shared" si="15"/>
        <v>0.64756731865237382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12981.995638896095</v>
      </c>
      <c r="D138" s="465">
        <f>IF(LN_ID18=0,0,LN_ID15/LN_ID18)</f>
        <v>11481.275395048966</v>
      </c>
      <c r="E138" s="465">
        <f t="shared" si="14"/>
        <v>-1500.7202438471286</v>
      </c>
      <c r="F138" s="449">
        <f t="shared" si="15"/>
        <v>-0.11560011924135419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8449.5027184928822</v>
      </c>
      <c r="D139" s="465">
        <f>LN_IB18-LN_ID19</f>
        <v>9917.7200825350974</v>
      </c>
      <c r="E139" s="465">
        <f t="shared" si="14"/>
        <v>1468.2173640422152</v>
      </c>
      <c r="F139" s="449">
        <f t="shared" si="15"/>
        <v>0.1737637601830487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-1584.9541197937233</v>
      </c>
      <c r="D140" s="465">
        <f>LN_IA16-LN_ID19</f>
        <v>-2080.6109830901187</v>
      </c>
      <c r="E140" s="465">
        <f t="shared" si="14"/>
        <v>-495.65686329639539</v>
      </c>
      <c r="F140" s="449">
        <f t="shared" si="15"/>
        <v>0.312726316242456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-12517451.98994616</v>
      </c>
      <c r="D141" s="441">
        <f>LN_ID21*LN_ID18</f>
        <v>-27072807.462913584</v>
      </c>
      <c r="E141" s="441">
        <f t="shared" si="14"/>
        <v>-14555355.472967423</v>
      </c>
      <c r="F141" s="449">
        <f t="shared" si="15"/>
        <v>1.1628049769759914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1341436594</v>
      </c>
      <c r="D144" s="448">
        <f>LN_ID1+LN_ID14</f>
        <v>1809383172</v>
      </c>
      <c r="E144" s="448">
        <f>D144-C144</f>
        <v>467946578</v>
      </c>
      <c r="F144" s="449">
        <f>IF(C144=0,0,E144/C144)</f>
        <v>0.34883987815230272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254834152</v>
      </c>
      <c r="D145" s="448">
        <f>LN_1D2+LN_ID15</f>
        <v>337078611</v>
      </c>
      <c r="E145" s="448">
        <f>D145-C145</f>
        <v>82244459</v>
      </c>
      <c r="F145" s="449">
        <f>IF(C145=0,0,E145/C145)</f>
        <v>0.32273719340412427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1086602442</v>
      </c>
      <c r="D146" s="448">
        <f>LN_ID23-LN_ID24</f>
        <v>1472304561</v>
      </c>
      <c r="E146" s="448">
        <f>D146-C146</f>
        <v>385702119</v>
      </c>
      <c r="F146" s="449">
        <f>IF(C146=0,0,E146/C146)</f>
        <v>0.35496157940716278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63593428.336771667</v>
      </c>
      <c r="D148" s="448">
        <f>LN_ID10+LN_ID22</f>
        <v>82871909.23820883</v>
      </c>
      <c r="E148" s="448">
        <f>D148-C148</f>
        <v>19278480.901437163</v>
      </c>
      <c r="F148" s="503">
        <f>IF(C148=0,0,E148/C148)</f>
        <v>0.30315209300156187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13848.230605388815</v>
      </c>
      <c r="D160" s="465">
        <f>LN_IB7-LN_IE7</f>
        <v>14218.688047435387</v>
      </c>
      <c r="E160" s="465">
        <f t="shared" si="16"/>
        <v>370.4574420465724</v>
      </c>
      <c r="F160" s="449">
        <f t="shared" si="17"/>
        <v>2.6751247332811954E-2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11240.002242018065</v>
      </c>
      <c r="D161" s="465">
        <f>LN_IA7-LN_IE7</f>
        <v>10906.932499958593</v>
      </c>
      <c r="E161" s="465">
        <f t="shared" si="16"/>
        <v>-333.06974205947154</v>
      </c>
      <c r="F161" s="449">
        <f t="shared" si="17"/>
        <v>-2.9632533418398249E-2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21431.498357388977</v>
      </c>
      <c r="D174" s="465">
        <f>LN_IB18-LN_IE19</f>
        <v>21398.995477584063</v>
      </c>
      <c r="E174" s="465">
        <f t="shared" si="18"/>
        <v>-32.502879804913391</v>
      </c>
      <c r="F174" s="449">
        <f t="shared" si="19"/>
        <v>-1.5165939059835877E-3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11397.041519102371</v>
      </c>
      <c r="D175" s="465">
        <f>LN_IA16-LN_IE19</f>
        <v>9400.6644119588473</v>
      </c>
      <c r="E175" s="465">
        <f t="shared" si="18"/>
        <v>-1996.377107143524</v>
      </c>
      <c r="F175" s="449">
        <f t="shared" si="19"/>
        <v>-0.17516625729558263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920891714</v>
      </c>
      <c r="D188" s="448">
        <f>LN_ID1+LN_IE1</f>
        <v>1155720092</v>
      </c>
      <c r="E188" s="448">
        <f t="shared" ref="E188:E200" si="20">D188-C188</f>
        <v>234828378</v>
      </c>
      <c r="F188" s="449">
        <f t="shared" ref="F188:F200" si="21">IF(C188=0,0,E188/C188)</f>
        <v>0.25500107605485522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152306574</v>
      </c>
      <c r="D189" s="448">
        <f>LN_1D2+LN_IE2</f>
        <v>187684822</v>
      </c>
      <c r="E189" s="448">
        <f t="shared" si="20"/>
        <v>35378248</v>
      </c>
      <c r="F189" s="449">
        <f t="shared" si="21"/>
        <v>0.23228313178392418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0.16539031862762532</v>
      </c>
      <c r="D190" s="453">
        <f>IF(LN_IF1=0,0,LN_IF2/LN_IF1)</f>
        <v>0.16239643430893991</v>
      </c>
      <c r="E190" s="454">
        <f t="shared" si="20"/>
        <v>-2.9938843186854136E-3</v>
      </c>
      <c r="F190" s="449">
        <f t="shared" si="21"/>
        <v>-1.8101932105385896E-2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17294</v>
      </c>
      <c r="D191" s="456">
        <f>LN_ID4+LN_IE4</f>
        <v>23006</v>
      </c>
      <c r="E191" s="456">
        <f t="shared" si="20"/>
        <v>5712</v>
      </c>
      <c r="F191" s="449">
        <f t="shared" si="21"/>
        <v>0.33028796114259279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1.1750799999999999</v>
      </c>
      <c r="D192" s="459">
        <f>IF((LN_ID4+LN_IE4)=0,0,(LN_ID6+LN_IE6)/(LN_ID4+LN_IE4))</f>
        <v>1.1861299999999999</v>
      </c>
      <c r="E192" s="460">
        <f t="shared" si="20"/>
        <v>1.1050000000000004E-2</v>
      </c>
      <c r="F192" s="449">
        <f t="shared" si="21"/>
        <v>9.4036150730163089E-3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20321.833519999996</v>
      </c>
      <c r="D193" s="463">
        <f>LN_IF4*LN_IF5</f>
        <v>27288.106779999998</v>
      </c>
      <c r="E193" s="463">
        <f t="shared" si="20"/>
        <v>6966.2732600000018</v>
      </c>
      <c r="F193" s="449">
        <f t="shared" si="21"/>
        <v>0.34279747706544555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7494.7259975388297</v>
      </c>
      <c r="D194" s="465">
        <f>IF(LN_IF6=0,0,LN_IF2/LN_IF6)</f>
        <v>6877.8982548381837</v>
      </c>
      <c r="E194" s="465">
        <f t="shared" si="20"/>
        <v>-616.82774270064601</v>
      </c>
      <c r="F194" s="449">
        <f t="shared" si="21"/>
        <v>-8.2301573520260005E-2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6353.5046078499854</v>
      </c>
      <c r="D195" s="465">
        <f>LN_IB7-LN_IF7</f>
        <v>7340.7897925972038</v>
      </c>
      <c r="E195" s="465">
        <f t="shared" si="20"/>
        <v>987.28518474721841</v>
      </c>
      <c r="F195" s="449">
        <f t="shared" si="21"/>
        <v>0.15539221983523735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3745.2762444792352</v>
      </c>
      <c r="D196" s="465">
        <f>LN_IA7-LN_IF7</f>
        <v>4029.0342451204097</v>
      </c>
      <c r="E196" s="465">
        <f t="shared" si="20"/>
        <v>283.75800064117448</v>
      </c>
      <c r="F196" s="449">
        <f t="shared" si="21"/>
        <v>7.5764237967613474E-2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76110880.326717824</v>
      </c>
      <c r="D197" s="479">
        <f>LN_IF9*LN_IF6</f>
        <v>109944716.70112242</v>
      </c>
      <c r="E197" s="479">
        <f t="shared" si="20"/>
        <v>33833836.374404594</v>
      </c>
      <c r="F197" s="449">
        <f t="shared" si="21"/>
        <v>0.44453350466014285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96744</v>
      </c>
      <c r="D198" s="456">
        <f>LN_ID11+LN_IE11</f>
        <v>132732</v>
      </c>
      <c r="E198" s="456">
        <f t="shared" si="20"/>
        <v>35988</v>
      </c>
      <c r="F198" s="449">
        <f t="shared" si="21"/>
        <v>0.37199206152319525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1574.3257876457455</v>
      </c>
      <c r="D199" s="519">
        <f>IF(LN_IF11=0,0,LN_IF2/LN_IF11)</f>
        <v>1414.0133652774011</v>
      </c>
      <c r="E199" s="519">
        <f t="shared" si="20"/>
        <v>-160.31242236834441</v>
      </c>
      <c r="F199" s="449">
        <f t="shared" si="21"/>
        <v>-0.101829255181087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5.5940788712848386</v>
      </c>
      <c r="D200" s="466">
        <f>IF(LN_IF4=0,0,LN_IF11/LN_IF4)</f>
        <v>5.7694514474484917</v>
      </c>
      <c r="E200" s="466">
        <f t="shared" si="20"/>
        <v>0.17537257616365309</v>
      </c>
      <c r="F200" s="449">
        <f t="shared" si="21"/>
        <v>3.1349678865606308E-2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420544880</v>
      </c>
      <c r="D203" s="448">
        <f>LN_ID14+LN_IE14</f>
        <v>653663080</v>
      </c>
      <c r="E203" s="448">
        <f t="shared" ref="E203:E211" si="22">D203-C203</f>
        <v>233118200</v>
      </c>
      <c r="F203" s="449">
        <f t="shared" ref="F203:F211" si="23">IF(C203=0,0,E203/C203)</f>
        <v>0.55432419008406431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102527578</v>
      </c>
      <c r="D204" s="448">
        <f>LN_ID15+LN_IE15</f>
        <v>149393789</v>
      </c>
      <c r="E204" s="448">
        <f t="shared" si="22"/>
        <v>46866211</v>
      </c>
      <c r="F204" s="449">
        <f t="shared" si="23"/>
        <v>0.45710834015800117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0.24379699498422142</v>
      </c>
      <c r="D205" s="453">
        <f>IF(LN_IF14=0,0,LN_IF15/LN_IF14)</f>
        <v>0.22854861100614707</v>
      </c>
      <c r="E205" s="454">
        <f t="shared" si="22"/>
        <v>-1.5248383978074348E-2</v>
      </c>
      <c r="F205" s="449">
        <f t="shared" si="23"/>
        <v>-6.2545413978795053E-2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0.45667136928978819</v>
      </c>
      <c r="D206" s="453">
        <f>IF(LN_IF1=0,0,LN_IF14/LN_IF1)</f>
        <v>0.56558944031925684</v>
      </c>
      <c r="E206" s="454">
        <f t="shared" si="22"/>
        <v>0.10891807102946865</v>
      </c>
      <c r="F206" s="449">
        <f t="shared" si="23"/>
        <v>0.2385042688330937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7897.674660497597</v>
      </c>
      <c r="D207" s="463">
        <f>LN_ID18+LN_IE18</f>
        <v>13011.950663984822</v>
      </c>
      <c r="E207" s="463">
        <f t="shared" si="22"/>
        <v>5114.2760034872254</v>
      </c>
      <c r="F207" s="449">
        <f t="shared" si="23"/>
        <v>0.64756731865237382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12981.995638896095</v>
      </c>
      <c r="D208" s="465">
        <f>IF(LN_IF18=0,0,LN_IF15/LN_IF18)</f>
        <v>11481.275395048966</v>
      </c>
      <c r="E208" s="465">
        <f t="shared" si="22"/>
        <v>-1500.7202438471286</v>
      </c>
      <c r="F208" s="449">
        <f t="shared" si="23"/>
        <v>-0.11560011924135419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8449.5027184928822</v>
      </c>
      <c r="D209" s="465">
        <f>LN_IB18-LN_IF19</f>
        <v>9917.7200825350974</v>
      </c>
      <c r="E209" s="465">
        <f t="shared" si="22"/>
        <v>1468.2173640422152</v>
      </c>
      <c r="F209" s="449">
        <f t="shared" si="23"/>
        <v>0.1737637601830487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-1584.9541197937233</v>
      </c>
      <c r="D210" s="465">
        <f>LN_IA16-LN_IF19</f>
        <v>-2080.6109830901187</v>
      </c>
      <c r="E210" s="465">
        <f t="shared" si="22"/>
        <v>-495.65686329639539</v>
      </c>
      <c r="F210" s="449">
        <f t="shared" si="23"/>
        <v>0.312726316242456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-12517451.98994616</v>
      </c>
      <c r="D211" s="441">
        <f>LN_IF21*LN_IF18</f>
        <v>-27072807.462913584</v>
      </c>
      <c r="E211" s="441">
        <f t="shared" si="22"/>
        <v>-14555355.472967423</v>
      </c>
      <c r="F211" s="449">
        <f t="shared" si="23"/>
        <v>1.1628049769759914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1341436594</v>
      </c>
      <c r="D214" s="448">
        <f>LN_IF1+LN_IF14</f>
        <v>1809383172</v>
      </c>
      <c r="E214" s="448">
        <f>D214-C214</f>
        <v>467946578</v>
      </c>
      <c r="F214" s="449">
        <f>IF(C214=0,0,E214/C214)</f>
        <v>0.34883987815230272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254834152</v>
      </c>
      <c r="D215" s="448">
        <f>LN_IF2+LN_IF15</f>
        <v>337078611</v>
      </c>
      <c r="E215" s="448">
        <f>D215-C215</f>
        <v>82244459</v>
      </c>
      <c r="F215" s="449">
        <f>IF(C215=0,0,E215/C215)</f>
        <v>0.32273719340412427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1086602442</v>
      </c>
      <c r="D216" s="448">
        <f>LN_IF23-LN_IF24</f>
        <v>1472304561</v>
      </c>
      <c r="E216" s="448">
        <f>D216-C216</f>
        <v>385702119</v>
      </c>
      <c r="F216" s="449">
        <f>IF(C216=0,0,E216/C216)</f>
        <v>0.35496157940716278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22354824</v>
      </c>
      <c r="D221" s="448">
        <v>25246609</v>
      </c>
      <c r="E221" s="448">
        <f t="shared" ref="E221:E230" si="24">D221-C221</f>
        <v>2891785</v>
      </c>
      <c r="F221" s="449">
        <f t="shared" ref="F221:F230" si="25">IF(C221=0,0,E221/C221)</f>
        <v>0.12935843288231658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4592608</v>
      </c>
      <c r="D222" s="448">
        <v>4797029</v>
      </c>
      <c r="E222" s="448">
        <f t="shared" si="24"/>
        <v>204421</v>
      </c>
      <c r="F222" s="449">
        <f t="shared" si="25"/>
        <v>4.4510874866742385E-2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0.20544147428760789</v>
      </c>
      <c r="D223" s="453">
        <f>IF(LN_IG1=0,0,LN_IG2/LN_IG1)</f>
        <v>0.19000686389209734</v>
      </c>
      <c r="E223" s="454">
        <f t="shared" si="24"/>
        <v>-1.5434610395510556E-2</v>
      </c>
      <c r="F223" s="449">
        <f t="shared" si="25"/>
        <v>-7.5128989650370528E-2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382</v>
      </c>
      <c r="D224" s="456">
        <v>448</v>
      </c>
      <c r="E224" s="456">
        <f t="shared" si="24"/>
        <v>66</v>
      </c>
      <c r="F224" s="449">
        <f t="shared" si="25"/>
        <v>0.17277486910994763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1.4587699999999999</v>
      </c>
      <c r="D225" s="459">
        <v>1.3638300000000001</v>
      </c>
      <c r="E225" s="460">
        <f t="shared" si="24"/>
        <v>-9.4939999999999802E-2</v>
      </c>
      <c r="F225" s="449">
        <f t="shared" si="25"/>
        <v>-6.5082226807515783E-2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557.25013999999999</v>
      </c>
      <c r="D226" s="463">
        <f>LN_IG3*LN_IG4</f>
        <v>610.99584000000004</v>
      </c>
      <c r="E226" s="463">
        <f t="shared" si="24"/>
        <v>53.745700000000056</v>
      </c>
      <c r="F226" s="449">
        <f t="shared" si="25"/>
        <v>9.6448069084379334E-2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8241.5555786132245</v>
      </c>
      <c r="D227" s="465">
        <f>IF(LN_IG5=0,0,LN_IG2/LN_IG5)</f>
        <v>7851.1647477010638</v>
      </c>
      <c r="E227" s="465">
        <f t="shared" si="24"/>
        <v>-390.39083091216071</v>
      </c>
      <c r="F227" s="449">
        <f t="shared" si="25"/>
        <v>-4.7368585601148164E-2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1832</v>
      </c>
      <c r="D228" s="456">
        <v>2097</v>
      </c>
      <c r="E228" s="456">
        <f t="shared" si="24"/>
        <v>265</v>
      </c>
      <c r="F228" s="449">
        <f t="shared" si="25"/>
        <v>0.14465065502183405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2506.882096069869</v>
      </c>
      <c r="D229" s="465">
        <f>IF(LN_IG6=0,0,LN_IG2/LN_IG6)</f>
        <v>2287.567477348593</v>
      </c>
      <c r="E229" s="465">
        <f t="shared" si="24"/>
        <v>-219.31461872127602</v>
      </c>
      <c r="F229" s="449">
        <f t="shared" si="25"/>
        <v>-8.7485015376312911E-2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4.7958115183246077</v>
      </c>
      <c r="D230" s="466">
        <f>IF(LN_IG3=0,0,LN_IG6/LN_IG3)</f>
        <v>4.6808035714285712</v>
      </c>
      <c r="E230" s="466">
        <f t="shared" si="24"/>
        <v>-0.11500794689603655</v>
      </c>
      <c r="F230" s="449">
        <f t="shared" si="25"/>
        <v>-2.3980914691204124E-2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10096397</v>
      </c>
      <c r="D233" s="448">
        <v>15430638</v>
      </c>
      <c r="E233" s="448">
        <f>D233-C233</f>
        <v>5334241</v>
      </c>
      <c r="F233" s="449">
        <f>IF(C233=0,0,E233/C233)</f>
        <v>0.52833114624949873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1701828</v>
      </c>
      <c r="D234" s="448">
        <v>1970886</v>
      </c>
      <c r="E234" s="448">
        <f>D234-C234</f>
        <v>269058</v>
      </c>
      <c r="F234" s="449">
        <f>IF(C234=0,0,E234/C234)</f>
        <v>0.15809940840084896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32451221</v>
      </c>
      <c r="D237" s="448">
        <f>LN_IG1+LN_IG9</f>
        <v>40677247</v>
      </c>
      <c r="E237" s="448">
        <f>D237-C237</f>
        <v>8226026</v>
      </c>
      <c r="F237" s="449">
        <f>IF(C237=0,0,E237/C237)</f>
        <v>0.25348895192572263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6294436</v>
      </c>
      <c r="D238" s="448">
        <f>LN_IG2+LN_IG10</f>
        <v>6767915</v>
      </c>
      <c r="E238" s="448">
        <f>D238-C238</f>
        <v>473479</v>
      </c>
      <c r="F238" s="449">
        <f>IF(C238=0,0,E238/C238)</f>
        <v>7.5221830835995471E-2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26156785</v>
      </c>
      <c r="D239" s="448">
        <f>LN_IG13-LN_IG14</f>
        <v>33909332</v>
      </c>
      <c r="E239" s="448">
        <f>D239-C239</f>
        <v>7752547</v>
      </c>
      <c r="F239" s="449">
        <f>IF(C239=0,0,E239/C239)</f>
        <v>0.29638761032749245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3034922</v>
      </c>
      <c r="D243" s="448">
        <v>3256036</v>
      </c>
      <c r="E243" s="441">
        <f>D243-C243</f>
        <v>221114</v>
      </c>
      <c r="F243" s="503">
        <f>IF(C243=0,0,E243/C243)</f>
        <v>7.2856567648196563E-2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1654251000</v>
      </c>
      <c r="D244" s="448">
        <v>2236673000</v>
      </c>
      <c r="E244" s="441">
        <f>D244-C244</f>
        <v>582422000</v>
      </c>
      <c r="F244" s="503">
        <f>IF(C244=0,0,E244/C244)</f>
        <v>0.3520759546163188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35745214</v>
      </c>
      <c r="D248" s="441">
        <v>32480929</v>
      </c>
      <c r="E248" s="441">
        <f>D248-C248</f>
        <v>-3264285</v>
      </c>
      <c r="F248" s="449">
        <f>IF(C248=0,0,E248/C248)</f>
        <v>-9.132089683390901E-2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74971258</v>
      </c>
      <c r="D249" s="441">
        <v>118694071</v>
      </c>
      <c r="E249" s="441">
        <f>D249-C249</f>
        <v>43722813</v>
      </c>
      <c r="F249" s="449">
        <f>IF(C249=0,0,E249/C249)</f>
        <v>0.583194335621259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110716472</v>
      </c>
      <c r="D250" s="441">
        <f>LN_IH4+LN_IH5</f>
        <v>151175000</v>
      </c>
      <c r="E250" s="441">
        <f>D250-C250</f>
        <v>40458528</v>
      </c>
      <c r="F250" s="449">
        <f>IF(C250=0,0,E250/C250)</f>
        <v>0.36542464973052968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29781677.549938381</v>
      </c>
      <c r="D251" s="441">
        <f>LN_IH6*LN_III10</f>
        <v>42329480.061817259</v>
      </c>
      <c r="E251" s="441">
        <f>D251-C251</f>
        <v>12547802.511878878</v>
      </c>
      <c r="F251" s="449">
        <f>IF(C251=0,0,E251/C251)</f>
        <v>0.42132624969961907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1341436594</v>
      </c>
      <c r="D254" s="441">
        <f>LN_IF23</f>
        <v>1809383172</v>
      </c>
      <c r="E254" s="441">
        <f>D254-C254</f>
        <v>467946578</v>
      </c>
      <c r="F254" s="449">
        <f>IF(C254=0,0,E254/C254)</f>
        <v>0.34883987815230272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254834152</v>
      </c>
      <c r="D255" s="441">
        <f>LN_IF24</f>
        <v>337078611</v>
      </c>
      <c r="E255" s="441">
        <f>D255-C255</f>
        <v>82244459</v>
      </c>
      <c r="F255" s="449">
        <f>IF(C255=0,0,E255/C255)</f>
        <v>0.32273719340412427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360833680.6125434</v>
      </c>
      <c r="D256" s="441">
        <f>LN_IH8*LN_III10</f>
        <v>506633033.92334497</v>
      </c>
      <c r="E256" s="441">
        <f>D256-C256</f>
        <v>145799353.31080157</v>
      </c>
      <c r="F256" s="449">
        <f>IF(C256=0,0,E256/C256)</f>
        <v>0.40406248403224376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105999528.6125434</v>
      </c>
      <c r="D257" s="441">
        <f>LN_IH10-LN_IH9</f>
        <v>169554422.92334497</v>
      </c>
      <c r="E257" s="441">
        <f>D257-C257</f>
        <v>63554894.310801566</v>
      </c>
      <c r="F257" s="449">
        <f>IF(C257=0,0,E257/C257)</f>
        <v>0.59957714098061399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3433134250</v>
      </c>
      <c r="D261" s="448">
        <f>LN_IA1+LN_IB1+LN_IF1+LN_IG1</f>
        <v>4640874495</v>
      </c>
      <c r="E261" s="448">
        <f t="shared" ref="E261:E274" si="26">D261-C261</f>
        <v>1207740245</v>
      </c>
      <c r="F261" s="503">
        <f t="shared" ref="F261:F274" si="27">IF(C261=0,0,E261/C261)</f>
        <v>0.35178940206023113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961024262</v>
      </c>
      <c r="D262" s="448">
        <f>+LN_IA2+LN_IB2+LN_IF2+LN_IG2</f>
        <v>1291661010</v>
      </c>
      <c r="E262" s="448">
        <f t="shared" si="26"/>
        <v>330636748</v>
      </c>
      <c r="F262" s="503">
        <f t="shared" si="27"/>
        <v>0.34404620265455899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0.27992621086693598</v>
      </c>
      <c r="D263" s="453">
        <f>IF(LN_IIA1=0,0,LN_IIA2/LN_IIA1)</f>
        <v>0.27832276252926336</v>
      </c>
      <c r="E263" s="454">
        <f t="shared" si="26"/>
        <v>-1.6034483376726194E-3</v>
      </c>
      <c r="F263" s="458">
        <f t="shared" si="27"/>
        <v>-5.7281107499962724E-3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59426</v>
      </c>
      <c r="D264" s="456">
        <f>LN_IA4+LN_IB4+LN_IF4+LN_IG3</f>
        <v>80503</v>
      </c>
      <c r="E264" s="456">
        <f t="shared" si="26"/>
        <v>21077</v>
      </c>
      <c r="F264" s="503">
        <f t="shared" si="27"/>
        <v>0.35467640426749236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1.4302583576212433</v>
      </c>
      <c r="D265" s="525">
        <f>IF(LN_IIA4=0,0,LN_IIA6/LN_IIA4)</f>
        <v>1.4497418524775474</v>
      </c>
      <c r="E265" s="525">
        <f t="shared" si="26"/>
        <v>1.9483494856304073E-2</v>
      </c>
      <c r="F265" s="503">
        <f t="shared" si="27"/>
        <v>1.3622360430536728E-2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84994.533160000006</v>
      </c>
      <c r="D266" s="463">
        <f>LN_IA6+LN_IB6+LN_IF6+LN_IG5</f>
        <v>116708.56835</v>
      </c>
      <c r="E266" s="463">
        <f t="shared" si="26"/>
        <v>31714.035189999995</v>
      </c>
      <c r="F266" s="503">
        <f t="shared" si="27"/>
        <v>0.37313029451316765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2307169826</v>
      </c>
      <c r="D267" s="448">
        <f>LN_IA11+LN_IB13+LN_IF14+LN_IG9</f>
        <v>3602178376</v>
      </c>
      <c r="E267" s="448">
        <f t="shared" si="26"/>
        <v>1295008550</v>
      </c>
      <c r="F267" s="503">
        <f t="shared" si="27"/>
        <v>0.5612974543123207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0.67203017941986976</v>
      </c>
      <c r="D268" s="453">
        <f>IF(LN_IIA1=0,0,LN_IIA7/LN_IIA1)</f>
        <v>0.77618525988602505</v>
      </c>
      <c r="E268" s="454">
        <f t="shared" si="26"/>
        <v>0.10415508046615529</v>
      </c>
      <c r="F268" s="458">
        <f t="shared" si="27"/>
        <v>0.15498571887957055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693779390</v>
      </c>
      <c r="D269" s="448">
        <f>LN_IA12+LN_IB14+LN_IF15+LN_IG10</f>
        <v>989112741</v>
      </c>
      <c r="E269" s="448">
        <f t="shared" si="26"/>
        <v>295333351</v>
      </c>
      <c r="F269" s="503">
        <f t="shared" si="27"/>
        <v>0.42568769735290063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0.30070581809004637</v>
      </c>
      <c r="D270" s="453">
        <f>IF(LN_IIA7=0,0,LN_IIA9/LN_IIA7)</f>
        <v>0.27458738511954245</v>
      </c>
      <c r="E270" s="454">
        <f t="shared" si="26"/>
        <v>-2.6118432970503924E-2</v>
      </c>
      <c r="F270" s="458">
        <f t="shared" si="27"/>
        <v>-8.6857092211906448E-2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5740304076</v>
      </c>
      <c r="D271" s="441">
        <f>LN_IIA1+LN_IIA7</f>
        <v>8243052871</v>
      </c>
      <c r="E271" s="441">
        <f t="shared" si="26"/>
        <v>2502748795</v>
      </c>
      <c r="F271" s="503">
        <f t="shared" si="27"/>
        <v>0.43599585699020726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1654803652</v>
      </c>
      <c r="D272" s="441">
        <f>LN_IIA2+LN_IIA9</f>
        <v>2280773751</v>
      </c>
      <c r="E272" s="441">
        <f t="shared" si="26"/>
        <v>625970099</v>
      </c>
      <c r="F272" s="503">
        <f t="shared" si="27"/>
        <v>0.37827454528726168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0.28827804765929965</v>
      </c>
      <c r="D273" s="453">
        <f>IF(LN_IIA11=0,0,LN_IIA12/LN_IIA11)</f>
        <v>0.27669041879180734</v>
      </c>
      <c r="E273" s="454">
        <f t="shared" si="26"/>
        <v>-1.1587628867492317E-2</v>
      </c>
      <c r="F273" s="458">
        <f t="shared" si="27"/>
        <v>-4.0196015484283816E-2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311547</v>
      </c>
      <c r="D274" s="508">
        <f>LN_IA8+LN_IB10+LN_IF11+LN_IG6</f>
        <v>462219</v>
      </c>
      <c r="E274" s="528">
        <f t="shared" si="26"/>
        <v>150672</v>
      </c>
      <c r="F274" s="458">
        <f t="shared" si="27"/>
        <v>0.48362526360388641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2212920261</v>
      </c>
      <c r="D277" s="448">
        <f>LN_IA1+LN_IF1+LN_IG1</f>
        <v>3109978209</v>
      </c>
      <c r="E277" s="448">
        <f t="shared" ref="E277:E291" si="28">D277-C277</f>
        <v>897057948</v>
      </c>
      <c r="F277" s="503">
        <f t="shared" ref="F277:F291" si="29">IF(C277=0,0,E277/C277)</f>
        <v>0.40537292003220537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517859771</v>
      </c>
      <c r="D278" s="448">
        <f>LN_IA2+LN_IF2+LN_IG2</f>
        <v>731199366</v>
      </c>
      <c r="E278" s="448">
        <f t="shared" si="28"/>
        <v>213339595</v>
      </c>
      <c r="F278" s="503">
        <f t="shared" si="29"/>
        <v>0.41196402375113245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0.23401646237627358</v>
      </c>
      <c r="D279" s="453">
        <f>IF(D277=0,0,LN_IIB2/D277)</f>
        <v>0.23511398371987757</v>
      </c>
      <c r="E279" s="454">
        <f t="shared" si="28"/>
        <v>1.0975213436039966E-3</v>
      </c>
      <c r="F279" s="458">
        <f t="shared" si="29"/>
        <v>4.6899322058774609E-3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35776</v>
      </c>
      <c r="D280" s="456">
        <f>LN_IA4+LN_IF4+LN_IG3</f>
        <v>52087</v>
      </c>
      <c r="E280" s="456">
        <f t="shared" si="28"/>
        <v>16311</v>
      </c>
      <c r="F280" s="503">
        <f t="shared" si="29"/>
        <v>0.45592016994633272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1.4812446517218247</v>
      </c>
      <c r="D281" s="525">
        <f>IF(LN_IIB4=0,0,LN_IIB6/LN_IIB4)</f>
        <v>1.4838887620711501</v>
      </c>
      <c r="E281" s="525">
        <f t="shared" si="28"/>
        <v>2.6441103493253237E-3</v>
      </c>
      <c r="F281" s="503">
        <f t="shared" si="29"/>
        <v>1.7850598456181858E-3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52993.00866</v>
      </c>
      <c r="D282" s="463">
        <f>LN_IA6+LN_IF6+LN_IG5</f>
        <v>77291.313949999996</v>
      </c>
      <c r="E282" s="463">
        <f t="shared" si="28"/>
        <v>24298.305289999997</v>
      </c>
      <c r="F282" s="503">
        <f t="shared" si="29"/>
        <v>0.45851907458012964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1181604937</v>
      </c>
      <c r="D283" s="448">
        <f>LN_IA11+LN_IF14+LN_IG9</f>
        <v>1939263130</v>
      </c>
      <c r="E283" s="448">
        <f t="shared" si="28"/>
        <v>757658193</v>
      </c>
      <c r="F283" s="503">
        <f t="shared" si="29"/>
        <v>0.64121109287477529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0.53395730421214671</v>
      </c>
      <c r="D284" s="453">
        <f>IF(D277=0,0,LN_IIB7/D277)</f>
        <v>0.62356164566939576</v>
      </c>
      <c r="E284" s="454">
        <f t="shared" si="28"/>
        <v>8.9604341457249048E-2</v>
      </c>
      <c r="F284" s="458">
        <f t="shared" si="29"/>
        <v>0.16781180957803385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226239987</v>
      </c>
      <c r="D285" s="448">
        <f>LN_IA12+LN_IF15+LN_IG10</f>
        <v>328600795</v>
      </c>
      <c r="E285" s="448">
        <f t="shared" si="28"/>
        <v>102360808</v>
      </c>
      <c r="F285" s="503">
        <f t="shared" si="29"/>
        <v>0.45244348427230063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0.19146838331126573</v>
      </c>
      <c r="D286" s="453">
        <f>IF(LN_IIB7=0,0,LN_IIB9/LN_IIB7)</f>
        <v>0.16944621383071415</v>
      </c>
      <c r="E286" s="454">
        <f t="shared" si="28"/>
        <v>-2.2022169480551579E-2</v>
      </c>
      <c r="F286" s="458">
        <f t="shared" si="29"/>
        <v>-0.11501726342333317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3394525198</v>
      </c>
      <c r="D287" s="441">
        <f>D277+LN_IIB7</f>
        <v>5049241339</v>
      </c>
      <c r="E287" s="441">
        <f t="shared" si="28"/>
        <v>1654716141</v>
      </c>
      <c r="F287" s="503">
        <f t="shared" si="29"/>
        <v>0.48746615343286664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744099758</v>
      </c>
      <c r="D288" s="441">
        <f>LN_IIB2+LN_IIB9</f>
        <v>1059800161</v>
      </c>
      <c r="E288" s="441">
        <f t="shared" si="28"/>
        <v>315700403</v>
      </c>
      <c r="F288" s="503">
        <f t="shared" si="29"/>
        <v>0.42427161090408527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0.21920584311420391</v>
      </c>
      <c r="D289" s="453">
        <f>IF(LN_IIB11=0,0,LN_IIB12/LN_IIB11)</f>
        <v>0.20989295021693158</v>
      </c>
      <c r="E289" s="454">
        <f t="shared" si="28"/>
        <v>-9.3128928972723291E-3</v>
      </c>
      <c r="F289" s="458">
        <f t="shared" si="29"/>
        <v>-4.2484692766243511E-2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210500</v>
      </c>
      <c r="D290" s="508">
        <f>LN_IA8+LN_IF11+LN_IG6</f>
        <v>326979</v>
      </c>
      <c r="E290" s="528">
        <f t="shared" si="28"/>
        <v>116479</v>
      </c>
      <c r="F290" s="458">
        <f t="shared" si="29"/>
        <v>0.55334441805225654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2650425440</v>
      </c>
      <c r="D291" s="516">
        <f>LN_IIB11-LN_IIB12</f>
        <v>3989441178</v>
      </c>
      <c r="E291" s="441">
        <f t="shared" si="28"/>
        <v>1339015738</v>
      </c>
      <c r="F291" s="503">
        <f t="shared" si="29"/>
        <v>0.50520784995181756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6.1836464088397793</v>
      </c>
      <c r="D294" s="466">
        <f>IF(LN_IA4=0,0,LN_IA8/LN_IA4)</f>
        <v>6.7107882513184087</v>
      </c>
      <c r="E294" s="466">
        <f t="shared" ref="E294:E300" si="30">D294-C294</f>
        <v>0.52714184247862939</v>
      </c>
      <c r="F294" s="503">
        <f t="shared" ref="F294:F300" si="31">IF(C294=0,0,E294/C294)</f>
        <v>8.5247733719874125E-2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4.2726004228329808</v>
      </c>
      <c r="D295" s="466">
        <f>IF(LN_IB4=0,0,(LN_IB10)/(LN_IB4))</f>
        <v>4.7592905405405403</v>
      </c>
      <c r="E295" s="466">
        <f t="shared" si="30"/>
        <v>0.48669011770755954</v>
      </c>
      <c r="F295" s="503">
        <f t="shared" si="31"/>
        <v>0.11390957954005347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3.5957011258955989</v>
      </c>
      <c r="D296" s="466">
        <f>IF(LN_IC4=0,0,LN_IC11/LN_IC4)</f>
        <v>4.463276836158192</v>
      </c>
      <c r="E296" s="466">
        <f t="shared" si="30"/>
        <v>0.86757571026259317</v>
      </c>
      <c r="F296" s="503">
        <f t="shared" si="31"/>
        <v>0.24128137458768958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5.5940788712848386</v>
      </c>
      <c r="D297" s="466">
        <f>IF(LN_ID4=0,0,LN_ID11/LN_ID4)</f>
        <v>5.7694514474484917</v>
      </c>
      <c r="E297" s="466">
        <f t="shared" si="30"/>
        <v>0.17537257616365309</v>
      </c>
      <c r="F297" s="503">
        <f t="shared" si="31"/>
        <v>3.1349678865606308E-2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4.7958115183246077</v>
      </c>
      <c r="D299" s="466">
        <f>IF(LN_IG3=0,0,LN_IG6/LN_IG3)</f>
        <v>4.6808035714285712</v>
      </c>
      <c r="E299" s="466">
        <f t="shared" si="30"/>
        <v>-0.11500794689603655</v>
      </c>
      <c r="F299" s="503">
        <f t="shared" si="31"/>
        <v>-2.3980914691204124E-2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5.2426042472991616</v>
      </c>
      <c r="D300" s="466">
        <f>IF(LN_IIA4=0,0,LN_IIA14/LN_IIA4)</f>
        <v>5.7416369576289084</v>
      </c>
      <c r="E300" s="466">
        <f t="shared" si="30"/>
        <v>0.49903271032974672</v>
      </c>
      <c r="F300" s="503">
        <f t="shared" si="31"/>
        <v>9.5187942249662275E-2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5740304076</v>
      </c>
      <c r="D304" s="441">
        <f>LN_IIA11</f>
        <v>8243052871</v>
      </c>
      <c r="E304" s="441">
        <f t="shared" ref="E304:E316" si="32">D304-C304</f>
        <v>2502748795</v>
      </c>
      <c r="F304" s="449">
        <f>IF(C304=0,0,E304/C304)</f>
        <v>0.43599585699020726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2650425440</v>
      </c>
      <c r="D305" s="441">
        <f>LN_IIB14</f>
        <v>3989441178</v>
      </c>
      <c r="E305" s="441">
        <f t="shared" si="32"/>
        <v>1339015738</v>
      </c>
      <c r="F305" s="449">
        <f>IF(C305=0,0,E305/C305)</f>
        <v>0.50520784995181756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110716472</v>
      </c>
      <c r="D306" s="441">
        <f>LN_IH6</f>
        <v>151175000</v>
      </c>
      <c r="E306" s="441">
        <f t="shared" si="32"/>
        <v>40458528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1435074984</v>
      </c>
      <c r="D307" s="441">
        <f>LN_IB32-LN_IB33</f>
        <v>1794355713</v>
      </c>
      <c r="E307" s="441">
        <f t="shared" si="32"/>
        <v>359280729</v>
      </c>
      <c r="F307" s="449">
        <f t="shared" ref="F307:F316" si="33">IF(C307=0,0,E307/C307)</f>
        <v>0.25035676393617634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4196216896</v>
      </c>
      <c r="D309" s="441">
        <f>LN_III2+LN_III3+LN_III4+LN_III5</f>
        <v>5934971891</v>
      </c>
      <c r="E309" s="441">
        <f t="shared" si="32"/>
        <v>1738754995</v>
      </c>
      <c r="F309" s="449">
        <f t="shared" si="33"/>
        <v>0.41436251702276161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1544087180</v>
      </c>
      <c r="D310" s="441">
        <f>LN_III1-LN_III6</f>
        <v>2308080980</v>
      </c>
      <c r="E310" s="441">
        <f t="shared" si="32"/>
        <v>763993800</v>
      </c>
      <c r="F310" s="449">
        <f t="shared" si="33"/>
        <v>0.49478669980279222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1544087180</v>
      </c>
      <c r="D312" s="441">
        <f>LN_III7+LN_III8</f>
        <v>2308080980</v>
      </c>
      <c r="E312" s="441">
        <f t="shared" si="32"/>
        <v>763993800</v>
      </c>
      <c r="F312" s="449">
        <f t="shared" si="33"/>
        <v>0.49478669980279222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0.26899048544410248</v>
      </c>
      <c r="D313" s="532">
        <f>IF(LN_III1=0,0,LN_III9/LN_III1)</f>
        <v>0.28000317553707466</v>
      </c>
      <c r="E313" s="532">
        <f t="shared" si="32"/>
        <v>1.1012690092972177E-2</v>
      </c>
      <c r="F313" s="449">
        <f t="shared" si="33"/>
        <v>4.0940816455980807E-2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29781677.549938381</v>
      </c>
      <c r="D314" s="441">
        <f>D313*LN_III5</f>
        <v>42329480.061817259</v>
      </c>
      <c r="E314" s="441">
        <f t="shared" si="32"/>
        <v>12547802.511878878</v>
      </c>
      <c r="F314" s="449">
        <f t="shared" si="33"/>
        <v>0.42132624969961907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105999528.6125434</v>
      </c>
      <c r="D315" s="441">
        <f>D313*LN_IH8-LN_IH9</f>
        <v>169554422.92334497</v>
      </c>
      <c r="E315" s="441">
        <f t="shared" si="32"/>
        <v>63554894.310801566</v>
      </c>
      <c r="F315" s="449">
        <f t="shared" si="33"/>
        <v>0.59957714098061399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135781206.16248178</v>
      </c>
      <c r="D318" s="441">
        <f>D314+D315+D316</f>
        <v>211883902.98516223</v>
      </c>
      <c r="E318" s="441">
        <f>D318-C318</f>
        <v>76102696.822680444</v>
      </c>
      <c r="F318" s="449">
        <f>IF(C318=0,0,E318/C318)</f>
        <v>0.56048034167270977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-12517451.98994616</v>
      </c>
      <c r="D322" s="441">
        <f>LN_ID22</f>
        <v>-27072807.462913584</v>
      </c>
      <c r="E322" s="441">
        <f>LN_IV2-C322</f>
        <v>-14555355.472967423</v>
      </c>
      <c r="F322" s="449">
        <f>IF(C322=0,0,E322/C322)</f>
        <v>1.1628049769759914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22200352.18412742</v>
      </c>
      <c r="D324" s="441">
        <f>LN_IC10+LN_IC22</f>
        <v>21220096.677261289</v>
      </c>
      <c r="E324" s="441">
        <f>LN_IV1-C324</f>
        <v>-980255.50686613098</v>
      </c>
      <c r="F324" s="449">
        <f>IF(C324=0,0,E324/C324)</f>
        <v>-4.4154952981646123E-2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9682900.1941812597</v>
      </c>
      <c r="D325" s="516">
        <f>LN_IV1+LN_IV2+LN_IV3</f>
        <v>-5852710.7856522948</v>
      </c>
      <c r="E325" s="441">
        <f>LN_IV4-C325</f>
        <v>-15535610.979833554</v>
      </c>
      <c r="F325" s="449">
        <f>IF(C325=0,0,E325/C325)</f>
        <v>-1.604437789121214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58467348</v>
      </c>
      <c r="D330" s="516">
        <v>2142331</v>
      </c>
      <c r="E330" s="518">
        <f t="shared" si="34"/>
        <v>-56325017</v>
      </c>
      <c r="F330" s="543">
        <f t="shared" si="35"/>
        <v>-0.96335850567397041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1713271000</v>
      </c>
      <c r="D331" s="516">
        <v>2282916000</v>
      </c>
      <c r="E331" s="518">
        <f t="shared" si="34"/>
        <v>569645000</v>
      </c>
      <c r="F331" s="542">
        <f t="shared" si="35"/>
        <v>0.33248972287513184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5740304076</v>
      </c>
      <c r="D333" s="516">
        <v>8243052871</v>
      </c>
      <c r="E333" s="518">
        <f t="shared" si="34"/>
        <v>2502748795</v>
      </c>
      <c r="F333" s="542">
        <f t="shared" si="35"/>
        <v>0.43599585699020726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888528</v>
      </c>
      <c r="D334" s="516">
        <v>641000</v>
      </c>
      <c r="E334" s="516">
        <f t="shared" si="34"/>
        <v>-247528</v>
      </c>
      <c r="F334" s="543">
        <f t="shared" si="35"/>
        <v>-0.27858210433435976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111605000</v>
      </c>
      <c r="D335" s="516">
        <v>151816000</v>
      </c>
      <c r="E335" s="516">
        <f t="shared" si="34"/>
        <v>40211000</v>
      </c>
      <c r="F335" s="542">
        <f t="shared" si="35"/>
        <v>0.36029747771157206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0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9.5703125" style="420" bestFit="1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1220213989</v>
      </c>
      <c r="D14" s="589">
        <v>1530896286</v>
      </c>
      <c r="E14" s="590">
        <f t="shared" ref="E14:E22" si="0">D14-C14</f>
        <v>310682297</v>
      </c>
    </row>
    <row r="15" spans="1:5" s="421" customFormat="1" x14ac:dyDescent="0.2">
      <c r="A15" s="588">
        <v>2</v>
      </c>
      <c r="B15" s="587" t="s">
        <v>638</v>
      </c>
      <c r="C15" s="589">
        <v>1269673723</v>
      </c>
      <c r="D15" s="591">
        <v>1929011508</v>
      </c>
      <c r="E15" s="590">
        <f t="shared" si="0"/>
        <v>659337785</v>
      </c>
    </row>
    <row r="16" spans="1:5" s="421" customFormat="1" x14ac:dyDescent="0.2">
      <c r="A16" s="588">
        <v>3</v>
      </c>
      <c r="B16" s="587" t="s">
        <v>780</v>
      </c>
      <c r="C16" s="589">
        <v>920891714</v>
      </c>
      <c r="D16" s="591">
        <v>1155720092</v>
      </c>
      <c r="E16" s="590">
        <f t="shared" si="0"/>
        <v>234828378</v>
      </c>
    </row>
    <row r="17" spans="1:5" s="421" customFormat="1" x14ac:dyDescent="0.2">
      <c r="A17" s="588">
        <v>4</v>
      </c>
      <c r="B17" s="587" t="s">
        <v>115</v>
      </c>
      <c r="C17" s="589">
        <v>920891714</v>
      </c>
      <c r="D17" s="591">
        <v>1155720092</v>
      </c>
      <c r="E17" s="590">
        <f t="shared" si="0"/>
        <v>234828378</v>
      </c>
    </row>
    <row r="18" spans="1:5" s="421" customFormat="1" x14ac:dyDescent="0.2">
      <c r="A18" s="588">
        <v>5</v>
      </c>
      <c r="B18" s="587" t="s">
        <v>746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22354824</v>
      </c>
      <c r="D19" s="591">
        <v>25246609</v>
      </c>
      <c r="E19" s="590">
        <f t="shared" si="0"/>
        <v>2891785</v>
      </c>
    </row>
    <row r="20" spans="1:5" s="421" customFormat="1" x14ac:dyDescent="0.2">
      <c r="A20" s="588">
        <v>7</v>
      </c>
      <c r="B20" s="587" t="s">
        <v>761</v>
      </c>
      <c r="C20" s="589">
        <v>41945010</v>
      </c>
      <c r="D20" s="591">
        <v>47404499</v>
      </c>
      <c r="E20" s="590">
        <f t="shared" si="0"/>
        <v>5459489</v>
      </c>
    </row>
    <row r="21" spans="1:5" s="421" customFormat="1" x14ac:dyDescent="0.2">
      <c r="A21" s="588"/>
      <c r="B21" s="592" t="s">
        <v>781</v>
      </c>
      <c r="C21" s="593">
        <f>SUM(C15+C16+C19)</f>
        <v>2212920261</v>
      </c>
      <c r="D21" s="593">
        <f>SUM(D15+D16+D19)</f>
        <v>3109978209</v>
      </c>
      <c r="E21" s="593">
        <f t="shared" si="0"/>
        <v>897057948</v>
      </c>
    </row>
    <row r="22" spans="1:5" s="421" customFormat="1" x14ac:dyDescent="0.2">
      <c r="A22" s="588"/>
      <c r="B22" s="592" t="s">
        <v>465</v>
      </c>
      <c r="C22" s="593">
        <f>SUM(C14+C21)</f>
        <v>3433134250</v>
      </c>
      <c r="D22" s="593">
        <f>SUM(D14+D21)</f>
        <v>4640874495</v>
      </c>
      <c r="E22" s="593">
        <f t="shared" si="0"/>
        <v>1207740245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1125564889</v>
      </c>
      <c r="D25" s="589">
        <v>1662915246</v>
      </c>
      <c r="E25" s="590">
        <f t="shared" ref="E25:E33" si="1">D25-C25</f>
        <v>537350357</v>
      </c>
    </row>
    <row r="26" spans="1:5" s="421" customFormat="1" x14ac:dyDescent="0.2">
      <c r="A26" s="588">
        <v>2</v>
      </c>
      <c r="B26" s="587" t="s">
        <v>638</v>
      </c>
      <c r="C26" s="589">
        <v>750963660</v>
      </c>
      <c r="D26" s="591">
        <v>1270169412</v>
      </c>
      <c r="E26" s="590">
        <f t="shared" si="1"/>
        <v>519205752</v>
      </c>
    </row>
    <row r="27" spans="1:5" s="421" customFormat="1" x14ac:dyDescent="0.2">
      <c r="A27" s="588">
        <v>3</v>
      </c>
      <c r="B27" s="587" t="s">
        <v>780</v>
      </c>
      <c r="C27" s="589">
        <v>420544880</v>
      </c>
      <c r="D27" s="591">
        <v>653663080</v>
      </c>
      <c r="E27" s="590">
        <f t="shared" si="1"/>
        <v>233118200</v>
      </c>
    </row>
    <row r="28" spans="1:5" s="421" customFormat="1" x14ac:dyDescent="0.2">
      <c r="A28" s="588">
        <v>4</v>
      </c>
      <c r="B28" s="587" t="s">
        <v>115</v>
      </c>
      <c r="C28" s="589">
        <v>420544880</v>
      </c>
      <c r="D28" s="591">
        <v>653663080</v>
      </c>
      <c r="E28" s="590">
        <f t="shared" si="1"/>
        <v>233118200</v>
      </c>
    </row>
    <row r="29" spans="1:5" s="421" customFormat="1" x14ac:dyDescent="0.2">
      <c r="A29" s="588">
        <v>5</v>
      </c>
      <c r="B29" s="587" t="s">
        <v>746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10096397</v>
      </c>
      <c r="D30" s="591">
        <v>15430638</v>
      </c>
      <c r="E30" s="590">
        <f t="shared" si="1"/>
        <v>5334241</v>
      </c>
    </row>
    <row r="31" spans="1:5" s="421" customFormat="1" x14ac:dyDescent="0.2">
      <c r="A31" s="588">
        <v>7</v>
      </c>
      <c r="B31" s="587" t="s">
        <v>761</v>
      </c>
      <c r="C31" s="590">
        <v>75084664</v>
      </c>
      <c r="D31" s="594">
        <v>113777717</v>
      </c>
      <c r="E31" s="590">
        <f t="shared" si="1"/>
        <v>38693053</v>
      </c>
    </row>
    <row r="32" spans="1:5" s="421" customFormat="1" x14ac:dyDescent="0.2">
      <c r="A32" s="588"/>
      <c r="B32" s="592" t="s">
        <v>783</v>
      </c>
      <c r="C32" s="593">
        <f>SUM(C26+C27+C30)</f>
        <v>1181604937</v>
      </c>
      <c r="D32" s="593">
        <f>SUM(D26+D27+D30)</f>
        <v>1939263130</v>
      </c>
      <c r="E32" s="593">
        <f t="shared" si="1"/>
        <v>757658193</v>
      </c>
    </row>
    <row r="33" spans="1:5" s="421" customFormat="1" x14ac:dyDescent="0.2">
      <c r="A33" s="588"/>
      <c r="B33" s="592" t="s">
        <v>467</v>
      </c>
      <c r="C33" s="593">
        <f>SUM(C25+C32)</f>
        <v>2307169826</v>
      </c>
      <c r="D33" s="593">
        <f>SUM(D25+D32)</f>
        <v>3602178376</v>
      </c>
      <c r="E33" s="593">
        <f t="shared" si="1"/>
        <v>1295008550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2345778878</v>
      </c>
      <c r="D36" s="590">
        <f t="shared" si="2"/>
        <v>3193811532</v>
      </c>
      <c r="E36" s="590">
        <f t="shared" ref="E36:E44" si="3">D36-C36</f>
        <v>848032654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2020637383</v>
      </c>
      <c r="D37" s="590">
        <f t="shared" si="2"/>
        <v>3199180920</v>
      </c>
      <c r="E37" s="590">
        <f t="shared" si="3"/>
        <v>1178543537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1341436594</v>
      </c>
      <c r="D38" s="590">
        <f t="shared" si="2"/>
        <v>1809383172</v>
      </c>
      <c r="E38" s="590">
        <f t="shared" si="3"/>
        <v>467946578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1341436594</v>
      </c>
      <c r="D39" s="590">
        <f t="shared" si="2"/>
        <v>1809383172</v>
      </c>
      <c r="E39" s="590">
        <f t="shared" si="3"/>
        <v>467946578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32451221</v>
      </c>
      <c r="D41" s="590">
        <f t="shared" si="2"/>
        <v>40677247</v>
      </c>
      <c r="E41" s="590">
        <f t="shared" si="3"/>
        <v>8226026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117029674</v>
      </c>
      <c r="D42" s="590">
        <f t="shared" si="2"/>
        <v>161182216</v>
      </c>
      <c r="E42" s="590">
        <f t="shared" si="3"/>
        <v>44152542</v>
      </c>
    </row>
    <row r="43" spans="1:5" s="421" customFormat="1" x14ac:dyDescent="0.2">
      <c r="A43" s="588"/>
      <c r="B43" s="592" t="s">
        <v>791</v>
      </c>
      <c r="C43" s="593">
        <f>SUM(C37+C38+C41)</f>
        <v>3394525198</v>
      </c>
      <c r="D43" s="593">
        <f>SUM(D37+D38+D41)</f>
        <v>5049241339</v>
      </c>
      <c r="E43" s="593">
        <f t="shared" si="3"/>
        <v>1654716141</v>
      </c>
    </row>
    <row r="44" spans="1:5" s="421" customFormat="1" x14ac:dyDescent="0.2">
      <c r="A44" s="588"/>
      <c r="B44" s="592" t="s">
        <v>728</v>
      </c>
      <c r="C44" s="593">
        <f>SUM(C36+C43)</f>
        <v>5740304076</v>
      </c>
      <c r="D44" s="593">
        <f>SUM(D36+D43)</f>
        <v>8243052871</v>
      </c>
      <c r="E44" s="593">
        <f t="shared" si="3"/>
        <v>2502748795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443164491</v>
      </c>
      <c r="D47" s="589">
        <v>560461644</v>
      </c>
      <c r="E47" s="590">
        <f t="shared" ref="E47:E55" si="4">D47-C47</f>
        <v>117297153</v>
      </c>
    </row>
    <row r="48" spans="1:5" s="421" customFormat="1" x14ac:dyDescent="0.2">
      <c r="A48" s="588">
        <v>2</v>
      </c>
      <c r="B48" s="587" t="s">
        <v>638</v>
      </c>
      <c r="C48" s="589">
        <v>360960589</v>
      </c>
      <c r="D48" s="591">
        <v>538717515</v>
      </c>
      <c r="E48" s="590">
        <f t="shared" si="4"/>
        <v>177756926</v>
      </c>
    </row>
    <row r="49" spans="1:5" s="421" customFormat="1" x14ac:dyDescent="0.2">
      <c r="A49" s="588">
        <v>3</v>
      </c>
      <c r="B49" s="587" t="s">
        <v>780</v>
      </c>
      <c r="C49" s="589">
        <v>152306574</v>
      </c>
      <c r="D49" s="591">
        <v>187684822</v>
      </c>
      <c r="E49" s="590">
        <f t="shared" si="4"/>
        <v>35378248</v>
      </c>
    </row>
    <row r="50" spans="1:5" s="421" customFormat="1" x14ac:dyDescent="0.2">
      <c r="A50" s="588">
        <v>4</v>
      </c>
      <c r="B50" s="587" t="s">
        <v>115</v>
      </c>
      <c r="C50" s="589">
        <v>152306574</v>
      </c>
      <c r="D50" s="591">
        <v>187684822</v>
      </c>
      <c r="E50" s="590">
        <f t="shared" si="4"/>
        <v>35378248</v>
      </c>
    </row>
    <row r="51" spans="1:5" s="421" customFormat="1" x14ac:dyDescent="0.2">
      <c r="A51" s="588">
        <v>5</v>
      </c>
      <c r="B51" s="587" t="s">
        <v>746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4592608</v>
      </c>
      <c r="D52" s="591">
        <v>4797029</v>
      </c>
      <c r="E52" s="590">
        <f t="shared" si="4"/>
        <v>204421</v>
      </c>
    </row>
    <row r="53" spans="1:5" s="421" customFormat="1" x14ac:dyDescent="0.2">
      <c r="A53" s="588">
        <v>7</v>
      </c>
      <c r="B53" s="587" t="s">
        <v>761</v>
      </c>
      <c r="C53" s="589">
        <v>5452129</v>
      </c>
      <c r="D53" s="591">
        <v>6033320</v>
      </c>
      <c r="E53" s="590">
        <f t="shared" si="4"/>
        <v>581191</v>
      </c>
    </row>
    <row r="54" spans="1:5" s="421" customFormat="1" x14ac:dyDescent="0.2">
      <c r="A54" s="588"/>
      <c r="B54" s="592" t="s">
        <v>793</v>
      </c>
      <c r="C54" s="593">
        <f>SUM(C48+C49+C52)</f>
        <v>517859771</v>
      </c>
      <c r="D54" s="593">
        <f>SUM(D48+D49+D52)</f>
        <v>731199366</v>
      </c>
      <c r="E54" s="593">
        <f t="shared" si="4"/>
        <v>213339595</v>
      </c>
    </row>
    <row r="55" spans="1:5" s="421" customFormat="1" x14ac:dyDescent="0.2">
      <c r="A55" s="588"/>
      <c r="B55" s="592" t="s">
        <v>466</v>
      </c>
      <c r="C55" s="593">
        <f>SUM(C47+C54)</f>
        <v>961024262</v>
      </c>
      <c r="D55" s="593">
        <f>SUM(D47+D54)</f>
        <v>1291661010</v>
      </c>
      <c r="E55" s="593">
        <f t="shared" si="4"/>
        <v>330636748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467539403</v>
      </c>
      <c r="D58" s="589">
        <v>660511946</v>
      </c>
      <c r="E58" s="590">
        <f t="shared" ref="E58:E66" si="5">D58-C58</f>
        <v>192972543</v>
      </c>
    </row>
    <row r="59" spans="1:5" s="421" customFormat="1" x14ac:dyDescent="0.2">
      <c r="A59" s="588">
        <v>2</v>
      </c>
      <c r="B59" s="587" t="s">
        <v>638</v>
      </c>
      <c r="C59" s="589">
        <v>122010581</v>
      </c>
      <c r="D59" s="591">
        <v>177236120</v>
      </c>
      <c r="E59" s="590">
        <f t="shared" si="5"/>
        <v>55225539</v>
      </c>
    </row>
    <row r="60" spans="1:5" s="421" customFormat="1" x14ac:dyDescent="0.2">
      <c r="A60" s="588">
        <v>3</v>
      </c>
      <c r="B60" s="587" t="s">
        <v>780</v>
      </c>
      <c r="C60" s="589">
        <f>C61+C62</f>
        <v>102527578</v>
      </c>
      <c r="D60" s="591">
        <f>D61+D62</f>
        <v>149393789</v>
      </c>
      <c r="E60" s="590">
        <f t="shared" si="5"/>
        <v>46866211</v>
      </c>
    </row>
    <row r="61" spans="1:5" s="421" customFormat="1" x14ac:dyDescent="0.2">
      <c r="A61" s="588">
        <v>4</v>
      </c>
      <c r="B61" s="587" t="s">
        <v>115</v>
      </c>
      <c r="C61" s="589">
        <v>102527578</v>
      </c>
      <c r="D61" s="591">
        <v>149393789</v>
      </c>
      <c r="E61" s="590">
        <f t="shared" si="5"/>
        <v>46866211</v>
      </c>
    </row>
    <row r="62" spans="1:5" s="421" customFormat="1" x14ac:dyDescent="0.2">
      <c r="A62" s="588">
        <v>5</v>
      </c>
      <c r="B62" s="587" t="s">
        <v>746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1701828</v>
      </c>
      <c r="D63" s="591">
        <v>1970886</v>
      </c>
      <c r="E63" s="590">
        <f t="shared" si="5"/>
        <v>269058</v>
      </c>
    </row>
    <row r="64" spans="1:5" s="421" customFormat="1" x14ac:dyDescent="0.2">
      <c r="A64" s="588">
        <v>7</v>
      </c>
      <c r="B64" s="587" t="s">
        <v>761</v>
      </c>
      <c r="C64" s="589">
        <v>5654176</v>
      </c>
      <c r="D64" s="591">
        <v>6485741</v>
      </c>
      <c r="E64" s="590">
        <f t="shared" si="5"/>
        <v>831565</v>
      </c>
    </row>
    <row r="65" spans="1:5" s="421" customFormat="1" x14ac:dyDescent="0.2">
      <c r="A65" s="588"/>
      <c r="B65" s="592" t="s">
        <v>795</v>
      </c>
      <c r="C65" s="593">
        <f>SUM(C59+C60+C63)</f>
        <v>226239987</v>
      </c>
      <c r="D65" s="593">
        <f>SUM(D59+D60+D63)</f>
        <v>328600795</v>
      </c>
      <c r="E65" s="593">
        <f t="shared" si="5"/>
        <v>102360808</v>
      </c>
    </row>
    <row r="66" spans="1:5" s="421" customFormat="1" x14ac:dyDescent="0.2">
      <c r="A66" s="588"/>
      <c r="B66" s="592" t="s">
        <v>468</v>
      </c>
      <c r="C66" s="593">
        <f>SUM(C58+C65)</f>
        <v>693779390</v>
      </c>
      <c r="D66" s="593">
        <f>SUM(D58+D65)</f>
        <v>989112741</v>
      </c>
      <c r="E66" s="593">
        <f t="shared" si="5"/>
        <v>295333351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910703894</v>
      </c>
      <c r="D69" s="590">
        <f t="shared" si="6"/>
        <v>1220973590</v>
      </c>
      <c r="E69" s="590">
        <f t="shared" ref="E69:E77" si="7">D69-C69</f>
        <v>310269696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482971170</v>
      </c>
      <c r="D70" s="590">
        <f t="shared" si="6"/>
        <v>715953635</v>
      </c>
      <c r="E70" s="590">
        <f t="shared" si="7"/>
        <v>232982465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254834152</v>
      </c>
      <c r="D71" s="590">
        <f t="shared" si="6"/>
        <v>337078611</v>
      </c>
      <c r="E71" s="590">
        <f t="shared" si="7"/>
        <v>82244459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254834152</v>
      </c>
      <c r="D72" s="590">
        <f t="shared" si="6"/>
        <v>337078611</v>
      </c>
      <c r="E72" s="590">
        <f t="shared" si="7"/>
        <v>82244459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6294436</v>
      </c>
      <c r="D74" s="590">
        <f t="shared" si="6"/>
        <v>6767915</v>
      </c>
      <c r="E74" s="590">
        <f t="shared" si="7"/>
        <v>473479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11106305</v>
      </c>
      <c r="D75" s="590">
        <f t="shared" si="6"/>
        <v>12519061</v>
      </c>
      <c r="E75" s="590">
        <f t="shared" si="7"/>
        <v>1412756</v>
      </c>
    </row>
    <row r="76" spans="1:5" s="421" customFormat="1" x14ac:dyDescent="0.2">
      <c r="A76" s="588"/>
      <c r="B76" s="592" t="s">
        <v>796</v>
      </c>
      <c r="C76" s="593">
        <f>SUM(C70+C71+C74)</f>
        <v>744099758</v>
      </c>
      <c r="D76" s="593">
        <f>SUM(D70+D71+D74)</f>
        <v>1059800161</v>
      </c>
      <c r="E76" s="593">
        <f t="shared" si="7"/>
        <v>315700403</v>
      </c>
    </row>
    <row r="77" spans="1:5" s="421" customFormat="1" x14ac:dyDescent="0.2">
      <c r="A77" s="588"/>
      <c r="B77" s="592" t="s">
        <v>729</v>
      </c>
      <c r="C77" s="593">
        <f>SUM(C69+C76)</f>
        <v>1654803652</v>
      </c>
      <c r="D77" s="593">
        <f>SUM(D69+D76)</f>
        <v>2280773751</v>
      </c>
      <c r="E77" s="593">
        <f t="shared" si="7"/>
        <v>625970099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0.21256957346591965</v>
      </c>
      <c r="D83" s="599">
        <f t="shared" si="8"/>
        <v>0.18571957622471011</v>
      </c>
      <c r="E83" s="599">
        <f t="shared" ref="E83:E91" si="9">D83-C83</f>
        <v>-2.6849997241209539E-2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0.22118579541952474</v>
      </c>
      <c r="D84" s="599">
        <f t="shared" si="8"/>
        <v>0.23401663657726648</v>
      </c>
      <c r="E84" s="599">
        <f t="shared" si="9"/>
        <v>1.2830841157741746E-2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0.16042559798360062</v>
      </c>
      <c r="D85" s="599">
        <f t="shared" si="8"/>
        <v>0.14020534747095401</v>
      </c>
      <c r="E85" s="599">
        <f t="shared" si="9"/>
        <v>-2.0220250512646615E-2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0.16042559798360062</v>
      </c>
      <c r="D86" s="599">
        <f t="shared" si="8"/>
        <v>0.14020534747095401</v>
      </c>
      <c r="E86" s="599">
        <f t="shared" si="9"/>
        <v>-2.0220250512646615E-2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3.8943623376093777E-3</v>
      </c>
      <c r="D88" s="599">
        <f t="shared" si="8"/>
        <v>3.0627741196250784E-3</v>
      </c>
      <c r="E88" s="599">
        <f t="shared" si="9"/>
        <v>-8.3158821798429931E-4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7.3071059380583241E-3</v>
      </c>
      <c r="D89" s="599">
        <f t="shared" si="8"/>
        <v>5.7508425266534968E-3</v>
      </c>
      <c r="E89" s="599">
        <f t="shared" si="9"/>
        <v>-1.5562634114048273E-3</v>
      </c>
    </row>
    <row r="90" spans="1:5" s="421" customFormat="1" x14ac:dyDescent="0.2">
      <c r="A90" s="588"/>
      <c r="B90" s="592" t="s">
        <v>799</v>
      </c>
      <c r="C90" s="600">
        <f>SUM(C84+C85+C88)</f>
        <v>0.3855057557407347</v>
      </c>
      <c r="D90" s="600">
        <f>SUM(D84+D85+D88)</f>
        <v>0.37728475816784557</v>
      </c>
      <c r="E90" s="601">
        <f t="shared" si="9"/>
        <v>-8.2209975728891327E-3</v>
      </c>
    </row>
    <row r="91" spans="1:5" s="421" customFormat="1" x14ac:dyDescent="0.2">
      <c r="A91" s="588"/>
      <c r="B91" s="592" t="s">
        <v>800</v>
      </c>
      <c r="C91" s="600">
        <f>SUM(C83+C90)</f>
        <v>0.59807532920665429</v>
      </c>
      <c r="D91" s="600">
        <f>SUM(D83+D90)</f>
        <v>0.56300433439255571</v>
      </c>
      <c r="E91" s="601">
        <f t="shared" si="9"/>
        <v>-3.5070994814098588E-2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0.19608105669975662</v>
      </c>
      <c r="D95" s="599">
        <f t="shared" si="10"/>
        <v>0.20173536091832256</v>
      </c>
      <c r="E95" s="599">
        <f t="shared" ref="E95:E103" si="11">D95-C95</f>
        <v>5.654304218565942E-3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0.13082297558760891</v>
      </c>
      <c r="D96" s="599">
        <f t="shared" si="10"/>
        <v>0.15408968398936282</v>
      </c>
      <c r="E96" s="599">
        <f t="shared" si="11"/>
        <v>2.3266708401753905E-2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7.3261777500303979E-2</v>
      </c>
      <c r="D97" s="599">
        <f t="shared" si="10"/>
        <v>7.92986640058638E-2</v>
      </c>
      <c r="E97" s="599">
        <f t="shared" si="11"/>
        <v>6.0368865055598214E-3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7.3261777500303979E-2</v>
      </c>
      <c r="D98" s="599">
        <f t="shared" si="10"/>
        <v>7.92986640058638E-2</v>
      </c>
      <c r="E98" s="599">
        <f t="shared" si="11"/>
        <v>6.0368865055598214E-3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1.7588610056761041E-3</v>
      </c>
      <c r="D100" s="599">
        <f t="shared" si="10"/>
        <v>1.8719566938951398E-3</v>
      </c>
      <c r="E100" s="599">
        <f t="shared" si="11"/>
        <v>1.130956882190357E-4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1.3080258990795665E-2</v>
      </c>
      <c r="D101" s="599">
        <f t="shared" si="10"/>
        <v>1.3802861485977239E-2</v>
      </c>
      <c r="E101" s="599">
        <f t="shared" si="11"/>
        <v>7.2260249518157384E-4</v>
      </c>
    </row>
    <row r="102" spans="1:5" s="421" customFormat="1" x14ac:dyDescent="0.2">
      <c r="A102" s="588"/>
      <c r="B102" s="592" t="s">
        <v>802</v>
      </c>
      <c r="C102" s="600">
        <f>SUM(C96+C97+C100)</f>
        <v>0.20584361409358901</v>
      </c>
      <c r="D102" s="600">
        <f>SUM(D96+D97+D100)</f>
        <v>0.23526030468912176</v>
      </c>
      <c r="E102" s="601">
        <f t="shared" si="11"/>
        <v>2.9416690595532757E-2</v>
      </c>
    </row>
    <row r="103" spans="1:5" s="421" customFormat="1" x14ac:dyDescent="0.2">
      <c r="A103" s="588"/>
      <c r="B103" s="592" t="s">
        <v>803</v>
      </c>
      <c r="C103" s="600">
        <f>SUM(C95+C102)</f>
        <v>0.4019246707933456</v>
      </c>
      <c r="D103" s="600">
        <f>SUM(D95+D102)</f>
        <v>0.43699566560744429</v>
      </c>
      <c r="E103" s="601">
        <f t="shared" si="11"/>
        <v>3.5070994814098699E-2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0.99999999999999989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0.26780487852101986</v>
      </c>
      <c r="D109" s="599">
        <f t="shared" si="12"/>
        <v>0.24573311743625026</v>
      </c>
      <c r="E109" s="599">
        <f t="shared" ref="E109:E117" si="13">D109-C109</f>
        <v>-2.2071761084769603E-2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0.21812895358536469</v>
      </c>
      <c r="D110" s="599">
        <f t="shared" si="12"/>
        <v>0.236199454138667</v>
      </c>
      <c r="E110" s="599">
        <f t="shared" si="13"/>
        <v>1.807050055330231E-2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9.2039060837170547E-2</v>
      </c>
      <c r="D111" s="599">
        <f t="shared" si="12"/>
        <v>8.2289978090860624E-2</v>
      </c>
      <c r="E111" s="599">
        <f t="shared" si="13"/>
        <v>-9.7490827463099228E-3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9.2039060837170547E-2</v>
      </c>
      <c r="D112" s="599">
        <f t="shared" si="12"/>
        <v>8.2289978090860624E-2</v>
      </c>
      <c r="E112" s="599">
        <f t="shared" si="13"/>
        <v>-9.7490827463099228E-3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2.7753189899293262E-3</v>
      </c>
      <c r="D114" s="599">
        <f t="shared" si="12"/>
        <v>2.1032463206386662E-3</v>
      </c>
      <c r="E114" s="599">
        <f t="shared" si="13"/>
        <v>-6.7207266929065991E-4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3.2947286485683924E-3</v>
      </c>
      <c r="D115" s="599">
        <f t="shared" si="12"/>
        <v>2.645295263221398E-3</v>
      </c>
      <c r="E115" s="599">
        <f t="shared" si="13"/>
        <v>-6.4943338534699437E-4</v>
      </c>
    </row>
    <row r="116" spans="1:5" s="421" customFormat="1" x14ac:dyDescent="0.2">
      <c r="A116" s="588"/>
      <c r="B116" s="592" t="s">
        <v>799</v>
      </c>
      <c r="C116" s="600">
        <f>SUM(C110+C111+C114)</f>
        <v>0.31294333341246455</v>
      </c>
      <c r="D116" s="600">
        <f>SUM(D110+D111+D114)</f>
        <v>0.32059267855016632</v>
      </c>
      <c r="E116" s="601">
        <f t="shared" si="13"/>
        <v>7.6493451377017685E-3</v>
      </c>
    </row>
    <row r="117" spans="1:5" s="421" customFormat="1" x14ac:dyDescent="0.2">
      <c r="A117" s="588"/>
      <c r="B117" s="592" t="s">
        <v>800</v>
      </c>
      <c r="C117" s="600">
        <f>SUM(C109+C116)</f>
        <v>0.58074821193348436</v>
      </c>
      <c r="D117" s="600">
        <f>SUM(D109+D116)</f>
        <v>0.56632579598641652</v>
      </c>
      <c r="E117" s="601">
        <f t="shared" si="13"/>
        <v>-1.4422415947067835E-2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0.2825346695572799</v>
      </c>
      <c r="D121" s="599">
        <f t="shared" si="14"/>
        <v>0.28959994199792943</v>
      </c>
      <c r="E121" s="599">
        <f t="shared" ref="E121:E129" si="15">D121-C121</f>
        <v>7.0652724406495282E-3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7.373115284857977E-2</v>
      </c>
      <c r="D122" s="599">
        <f t="shared" si="14"/>
        <v>7.7708768755467852E-2</v>
      </c>
      <c r="E122" s="599">
        <f t="shared" si="15"/>
        <v>3.9776159068880823E-3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6.1957548785975244E-2</v>
      </c>
      <c r="D123" s="599">
        <f t="shared" si="14"/>
        <v>6.5501362831143883E-2</v>
      </c>
      <c r="E123" s="599">
        <f t="shared" si="15"/>
        <v>3.543814045168639E-3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6.1957548785975244E-2</v>
      </c>
      <c r="D124" s="599">
        <f t="shared" si="14"/>
        <v>6.5501362831143883E-2</v>
      </c>
      <c r="E124" s="599">
        <f t="shared" si="15"/>
        <v>3.543814045168639E-3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1.0284168746806707E-3</v>
      </c>
      <c r="D126" s="599">
        <f t="shared" si="14"/>
        <v>8.6413042904227985E-4</v>
      </c>
      <c r="E126" s="599">
        <f t="shared" si="15"/>
        <v>-1.6428644563839081E-4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3.4168259135555737E-3</v>
      </c>
      <c r="D127" s="599">
        <f t="shared" si="14"/>
        <v>2.8436582090425855E-3</v>
      </c>
      <c r="E127" s="599">
        <f t="shared" si="15"/>
        <v>-5.7316770451298817E-4</v>
      </c>
    </row>
    <row r="128" spans="1:5" s="421" customFormat="1" x14ac:dyDescent="0.2">
      <c r="A128" s="588"/>
      <c r="B128" s="592" t="s">
        <v>802</v>
      </c>
      <c r="C128" s="600">
        <f>SUM(C122+C123+C126)</f>
        <v>0.13671711850923568</v>
      </c>
      <c r="D128" s="600">
        <f>SUM(D122+D123+D126)</f>
        <v>0.14407426201565401</v>
      </c>
      <c r="E128" s="601">
        <f t="shared" si="15"/>
        <v>7.3571435064183344E-3</v>
      </c>
    </row>
    <row r="129" spans="1:5" s="421" customFormat="1" x14ac:dyDescent="0.2">
      <c r="A129" s="588"/>
      <c r="B129" s="592" t="s">
        <v>803</v>
      </c>
      <c r="C129" s="600">
        <f>SUM(C121+C128)</f>
        <v>0.41925178806651558</v>
      </c>
      <c r="D129" s="600">
        <f>SUM(D121+D128)</f>
        <v>0.43367420401358348</v>
      </c>
      <c r="E129" s="601">
        <f t="shared" si="15"/>
        <v>1.442241594706789E-2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23650</v>
      </c>
      <c r="D137" s="606">
        <v>28416</v>
      </c>
      <c r="E137" s="607">
        <f t="shared" ref="E137:E145" si="16">D137-C137</f>
        <v>4766</v>
      </c>
    </row>
    <row r="138" spans="1:5" s="421" customFormat="1" x14ac:dyDescent="0.2">
      <c r="A138" s="588">
        <v>2</v>
      </c>
      <c r="B138" s="587" t="s">
        <v>638</v>
      </c>
      <c r="C138" s="606">
        <v>18100</v>
      </c>
      <c r="D138" s="606">
        <v>28633</v>
      </c>
      <c r="E138" s="607">
        <f t="shared" si="16"/>
        <v>10533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17294</v>
      </c>
      <c r="D139" s="606">
        <f>D140+D141</f>
        <v>23006</v>
      </c>
      <c r="E139" s="607">
        <f t="shared" si="16"/>
        <v>5712</v>
      </c>
    </row>
    <row r="140" spans="1:5" s="421" customFormat="1" x14ac:dyDescent="0.2">
      <c r="A140" s="588">
        <v>4</v>
      </c>
      <c r="B140" s="587" t="s">
        <v>115</v>
      </c>
      <c r="C140" s="606">
        <v>17294</v>
      </c>
      <c r="D140" s="606">
        <v>23006</v>
      </c>
      <c r="E140" s="607">
        <f t="shared" si="16"/>
        <v>5712</v>
      </c>
    </row>
    <row r="141" spans="1:5" s="421" customFormat="1" x14ac:dyDescent="0.2">
      <c r="A141" s="588">
        <v>5</v>
      </c>
      <c r="B141" s="587" t="s">
        <v>746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382</v>
      </c>
      <c r="D142" s="606">
        <v>448</v>
      </c>
      <c r="E142" s="607">
        <f t="shared" si="16"/>
        <v>66</v>
      </c>
    </row>
    <row r="143" spans="1:5" s="421" customFormat="1" x14ac:dyDescent="0.2">
      <c r="A143" s="588">
        <v>7</v>
      </c>
      <c r="B143" s="587" t="s">
        <v>761</v>
      </c>
      <c r="C143" s="606">
        <v>977</v>
      </c>
      <c r="D143" s="606">
        <v>885</v>
      </c>
      <c r="E143" s="607">
        <f t="shared" si="16"/>
        <v>-92</v>
      </c>
    </row>
    <row r="144" spans="1:5" s="421" customFormat="1" x14ac:dyDescent="0.2">
      <c r="A144" s="588"/>
      <c r="B144" s="592" t="s">
        <v>810</v>
      </c>
      <c r="C144" s="608">
        <f>SUM(C138+C139+C142)</f>
        <v>35776</v>
      </c>
      <c r="D144" s="608">
        <f>SUM(D138+D139+D142)</f>
        <v>52087</v>
      </c>
      <c r="E144" s="609">
        <f t="shared" si="16"/>
        <v>16311</v>
      </c>
    </row>
    <row r="145" spans="1:5" s="421" customFormat="1" x14ac:dyDescent="0.2">
      <c r="A145" s="588"/>
      <c r="B145" s="592" t="s">
        <v>138</v>
      </c>
      <c r="C145" s="608">
        <f>SUM(C137+C144)</f>
        <v>59426</v>
      </c>
      <c r="D145" s="608">
        <f>SUM(D137+D144)</f>
        <v>80503</v>
      </c>
      <c r="E145" s="609">
        <f t="shared" si="16"/>
        <v>21077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101047</v>
      </c>
      <c r="D149" s="610">
        <v>135240</v>
      </c>
      <c r="E149" s="607">
        <f t="shared" ref="E149:E157" si="17">D149-C149</f>
        <v>34193</v>
      </c>
    </row>
    <row r="150" spans="1:5" s="421" customFormat="1" x14ac:dyDescent="0.2">
      <c r="A150" s="588">
        <v>2</v>
      </c>
      <c r="B150" s="587" t="s">
        <v>638</v>
      </c>
      <c r="C150" s="610">
        <v>111924</v>
      </c>
      <c r="D150" s="610">
        <v>192150</v>
      </c>
      <c r="E150" s="607">
        <f t="shared" si="17"/>
        <v>80226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96744</v>
      </c>
      <c r="D151" s="610">
        <f>D152+D153</f>
        <v>132732</v>
      </c>
      <c r="E151" s="607">
        <f t="shared" si="17"/>
        <v>35988</v>
      </c>
    </row>
    <row r="152" spans="1:5" s="421" customFormat="1" x14ac:dyDescent="0.2">
      <c r="A152" s="588">
        <v>4</v>
      </c>
      <c r="B152" s="587" t="s">
        <v>115</v>
      </c>
      <c r="C152" s="610">
        <v>96744</v>
      </c>
      <c r="D152" s="610">
        <v>132732</v>
      </c>
      <c r="E152" s="607">
        <f t="shared" si="17"/>
        <v>35988</v>
      </c>
    </row>
    <row r="153" spans="1:5" s="421" customFormat="1" x14ac:dyDescent="0.2">
      <c r="A153" s="588">
        <v>5</v>
      </c>
      <c r="B153" s="587" t="s">
        <v>746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1832</v>
      </c>
      <c r="D154" s="610">
        <v>2097</v>
      </c>
      <c r="E154" s="607">
        <f t="shared" si="17"/>
        <v>265</v>
      </c>
    </row>
    <row r="155" spans="1:5" s="421" customFormat="1" x14ac:dyDescent="0.2">
      <c r="A155" s="588">
        <v>7</v>
      </c>
      <c r="B155" s="587" t="s">
        <v>761</v>
      </c>
      <c r="C155" s="610">
        <v>3513</v>
      </c>
      <c r="D155" s="610">
        <v>3950</v>
      </c>
      <c r="E155" s="607">
        <f t="shared" si="17"/>
        <v>437</v>
      </c>
    </row>
    <row r="156" spans="1:5" s="421" customFormat="1" x14ac:dyDescent="0.2">
      <c r="A156" s="588"/>
      <c r="B156" s="592" t="s">
        <v>811</v>
      </c>
      <c r="C156" s="608">
        <f>SUM(C150+C151+C154)</f>
        <v>210500</v>
      </c>
      <c r="D156" s="608">
        <f>SUM(D150+D151+D154)</f>
        <v>326979</v>
      </c>
      <c r="E156" s="609">
        <f t="shared" si="17"/>
        <v>116479</v>
      </c>
    </row>
    <row r="157" spans="1:5" s="421" customFormat="1" x14ac:dyDescent="0.2">
      <c r="A157" s="588"/>
      <c r="B157" s="592" t="s">
        <v>140</v>
      </c>
      <c r="C157" s="608">
        <f>SUM(C149+C156)</f>
        <v>311547</v>
      </c>
      <c r="D157" s="608">
        <f>SUM(D149+D156)</f>
        <v>462219</v>
      </c>
      <c r="E157" s="609">
        <f t="shared" si="17"/>
        <v>150672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4.2726004228329808</v>
      </c>
      <c r="D161" s="612">
        <f t="shared" si="18"/>
        <v>4.7592905405405403</v>
      </c>
      <c r="E161" s="613">
        <f t="shared" ref="E161:E169" si="19">D161-C161</f>
        <v>0.48669011770755954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6.1836464088397793</v>
      </c>
      <c r="D162" s="612">
        <f t="shared" si="18"/>
        <v>6.7107882513184087</v>
      </c>
      <c r="E162" s="613">
        <f t="shared" si="19"/>
        <v>0.52714184247862939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5.5940788712848386</v>
      </c>
      <c r="D163" s="612">
        <f t="shared" si="18"/>
        <v>5.7694514474484917</v>
      </c>
      <c r="E163" s="613">
        <f t="shared" si="19"/>
        <v>0.17537257616365309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5.5940788712848386</v>
      </c>
      <c r="D164" s="612">
        <f t="shared" si="18"/>
        <v>5.7694514474484917</v>
      </c>
      <c r="E164" s="613">
        <f t="shared" si="19"/>
        <v>0.17537257616365309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4.7958115183246077</v>
      </c>
      <c r="D166" s="612">
        <f t="shared" si="18"/>
        <v>4.6808035714285712</v>
      </c>
      <c r="E166" s="613">
        <f t="shared" si="19"/>
        <v>-0.11500794689603655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3.5957011258955989</v>
      </c>
      <c r="D167" s="612">
        <f t="shared" si="18"/>
        <v>4.463276836158192</v>
      </c>
      <c r="E167" s="613">
        <f t="shared" si="19"/>
        <v>0.86757571026259317</v>
      </c>
    </row>
    <row r="168" spans="1:5" s="421" customFormat="1" x14ac:dyDescent="0.2">
      <c r="A168" s="588"/>
      <c r="B168" s="592" t="s">
        <v>813</v>
      </c>
      <c r="C168" s="614">
        <f t="shared" si="18"/>
        <v>5.8838327370304118</v>
      </c>
      <c r="D168" s="614">
        <f t="shared" si="18"/>
        <v>6.2775548601378466</v>
      </c>
      <c r="E168" s="615">
        <f t="shared" si="19"/>
        <v>0.39372212310743482</v>
      </c>
    </row>
    <row r="169" spans="1:5" s="421" customFormat="1" x14ac:dyDescent="0.2">
      <c r="A169" s="588"/>
      <c r="B169" s="592" t="s">
        <v>747</v>
      </c>
      <c r="C169" s="614">
        <f t="shared" si="18"/>
        <v>5.2426042472991616</v>
      </c>
      <c r="D169" s="614">
        <f t="shared" si="18"/>
        <v>5.7416369576289084</v>
      </c>
      <c r="E169" s="615">
        <f t="shared" si="19"/>
        <v>0.49903271032974672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1.3531299999999999</v>
      </c>
      <c r="D173" s="617">
        <f t="shared" si="20"/>
        <v>1.3871500000000001</v>
      </c>
      <c r="E173" s="618">
        <f t="shared" ref="E173:E181" si="21">D173-C173</f>
        <v>3.4020000000000161E-2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1.7742500000000001</v>
      </c>
      <c r="D174" s="617">
        <f t="shared" si="20"/>
        <v>1.7250099999999999</v>
      </c>
      <c r="E174" s="618">
        <f t="shared" si="21"/>
        <v>-4.9240000000000173E-2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1.1750799999999999</v>
      </c>
      <c r="D175" s="617">
        <f t="shared" si="20"/>
        <v>1.1861299999999999</v>
      </c>
      <c r="E175" s="618">
        <f t="shared" si="21"/>
        <v>1.1050000000000004E-2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1.1750799999999999</v>
      </c>
      <c r="D176" s="617">
        <f t="shared" si="20"/>
        <v>1.1861299999999999</v>
      </c>
      <c r="E176" s="618">
        <f t="shared" si="21"/>
        <v>1.1050000000000004E-2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1.4587699999999999</v>
      </c>
      <c r="D178" s="617">
        <f t="shared" si="20"/>
        <v>1.3638300000000001</v>
      </c>
      <c r="E178" s="618">
        <f t="shared" si="21"/>
        <v>-9.4939999999999802E-2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1.2179</v>
      </c>
      <c r="D179" s="617">
        <f t="shared" si="20"/>
        <v>1.4266500000000002</v>
      </c>
      <c r="E179" s="618">
        <f t="shared" si="21"/>
        <v>0.20875000000000021</v>
      </c>
    </row>
    <row r="180" spans="1:5" s="421" customFormat="1" x14ac:dyDescent="0.2">
      <c r="A180" s="588"/>
      <c r="B180" s="592" t="s">
        <v>815</v>
      </c>
      <c r="C180" s="619">
        <f t="shared" si="20"/>
        <v>1.4812446517218247</v>
      </c>
      <c r="D180" s="619">
        <f t="shared" si="20"/>
        <v>1.4838887620711501</v>
      </c>
      <c r="E180" s="620">
        <f t="shared" si="21"/>
        <v>2.6441103493253237E-3</v>
      </c>
    </row>
    <row r="181" spans="1:5" s="421" customFormat="1" x14ac:dyDescent="0.2">
      <c r="A181" s="588"/>
      <c r="B181" s="592" t="s">
        <v>726</v>
      </c>
      <c r="C181" s="619">
        <f t="shared" si="20"/>
        <v>1.4302583576212431</v>
      </c>
      <c r="D181" s="619">
        <f t="shared" si="20"/>
        <v>1.4497418524775474</v>
      </c>
      <c r="E181" s="620">
        <f t="shared" si="21"/>
        <v>1.9483494856304295E-2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817</v>
      </c>
      <c r="C185" s="589">
        <v>2345778878</v>
      </c>
      <c r="D185" s="589">
        <v>3004952573</v>
      </c>
      <c r="E185" s="590">
        <f>D185-C185</f>
        <v>659173695</v>
      </c>
    </row>
    <row r="186" spans="1:5" s="421" customFormat="1" ht="25.5" x14ac:dyDescent="0.2">
      <c r="A186" s="588">
        <v>2</v>
      </c>
      <c r="B186" s="587" t="s">
        <v>818</v>
      </c>
      <c r="C186" s="589">
        <v>910703894</v>
      </c>
      <c r="D186" s="589">
        <v>1210596860</v>
      </c>
      <c r="E186" s="590">
        <f>D186-C186</f>
        <v>299892966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1435074984</v>
      </c>
      <c r="D188" s="622">
        <f>+D185-D186</f>
        <v>1794355713</v>
      </c>
      <c r="E188" s="590">
        <f t="shared" ref="E188:E197" si="22">D188-C188</f>
        <v>359280729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0.61176907911436995</v>
      </c>
      <c r="D189" s="623">
        <f>IF(D185=0,0,+D188/D185)</f>
        <v>0.59713278975601325</v>
      </c>
      <c r="E189" s="599">
        <f t="shared" si="22"/>
        <v>-1.4636289358356702E-2</v>
      </c>
    </row>
    <row r="190" spans="1:5" s="421" customFormat="1" x14ac:dyDescent="0.2">
      <c r="A190" s="588">
        <v>5</v>
      </c>
      <c r="B190" s="587" t="s">
        <v>765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751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35745214</v>
      </c>
      <c r="D193" s="589">
        <v>32480929</v>
      </c>
      <c r="E193" s="622">
        <f t="shared" si="22"/>
        <v>-3264285</v>
      </c>
    </row>
    <row r="194" spans="1:5" s="421" customFormat="1" x14ac:dyDescent="0.2">
      <c r="A194" s="588">
        <v>9</v>
      </c>
      <c r="B194" s="587" t="s">
        <v>821</v>
      </c>
      <c r="C194" s="589">
        <v>74971258</v>
      </c>
      <c r="D194" s="589">
        <v>118694071</v>
      </c>
      <c r="E194" s="622">
        <f t="shared" si="22"/>
        <v>43722813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110716472</v>
      </c>
      <c r="D195" s="589">
        <f>+D193+D194</f>
        <v>151175000</v>
      </c>
      <c r="E195" s="625">
        <f t="shared" si="22"/>
        <v>40458528</v>
      </c>
    </row>
    <row r="196" spans="1:5" s="421" customFormat="1" x14ac:dyDescent="0.2">
      <c r="A196" s="588">
        <v>11</v>
      </c>
      <c r="B196" s="587" t="s">
        <v>823</v>
      </c>
      <c r="C196" s="589">
        <v>3034922</v>
      </c>
      <c r="D196" s="589">
        <v>3256036</v>
      </c>
      <c r="E196" s="622">
        <f t="shared" si="22"/>
        <v>221114</v>
      </c>
    </row>
    <row r="197" spans="1:5" s="421" customFormat="1" x14ac:dyDescent="0.2">
      <c r="A197" s="588">
        <v>12</v>
      </c>
      <c r="B197" s="587" t="s">
        <v>713</v>
      </c>
      <c r="C197" s="589">
        <v>1654251000</v>
      </c>
      <c r="D197" s="589">
        <v>2236673000</v>
      </c>
      <c r="E197" s="622">
        <f t="shared" si="22"/>
        <v>582422000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32001.5245</v>
      </c>
      <c r="D203" s="629">
        <v>39417.254400000005</v>
      </c>
      <c r="E203" s="630">
        <f t="shared" ref="E203:E211" si="23">D203-C203</f>
        <v>7415.7299000000057</v>
      </c>
    </row>
    <row r="204" spans="1:5" s="421" customFormat="1" x14ac:dyDescent="0.2">
      <c r="A204" s="588">
        <v>2</v>
      </c>
      <c r="B204" s="587" t="s">
        <v>638</v>
      </c>
      <c r="C204" s="629">
        <v>32113.925000000003</v>
      </c>
      <c r="D204" s="629">
        <v>49392.211329999998</v>
      </c>
      <c r="E204" s="630">
        <f t="shared" si="23"/>
        <v>17278.286329999995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20321.833519999996</v>
      </c>
      <c r="D205" s="629">
        <f>D206+D207</f>
        <v>27288.106779999998</v>
      </c>
      <c r="E205" s="630">
        <f t="shared" si="23"/>
        <v>6966.2732600000018</v>
      </c>
    </row>
    <row r="206" spans="1:5" s="421" customFormat="1" x14ac:dyDescent="0.2">
      <c r="A206" s="588">
        <v>4</v>
      </c>
      <c r="B206" s="587" t="s">
        <v>115</v>
      </c>
      <c r="C206" s="629">
        <v>20321.833519999996</v>
      </c>
      <c r="D206" s="629">
        <v>27288.106779999998</v>
      </c>
      <c r="E206" s="630">
        <f t="shared" si="23"/>
        <v>6966.2732600000018</v>
      </c>
    </row>
    <row r="207" spans="1:5" s="421" customFormat="1" x14ac:dyDescent="0.2">
      <c r="A207" s="588">
        <v>5</v>
      </c>
      <c r="B207" s="587" t="s">
        <v>746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557.25013999999999</v>
      </c>
      <c r="D208" s="629">
        <v>610.99584000000004</v>
      </c>
      <c r="E208" s="630">
        <f t="shared" si="23"/>
        <v>53.745700000000056</v>
      </c>
    </row>
    <row r="209" spans="1:5" s="421" customFormat="1" x14ac:dyDescent="0.2">
      <c r="A209" s="588">
        <v>7</v>
      </c>
      <c r="B209" s="587" t="s">
        <v>761</v>
      </c>
      <c r="C209" s="629">
        <v>1189.8883000000001</v>
      </c>
      <c r="D209" s="629">
        <v>1262.5852500000001</v>
      </c>
      <c r="E209" s="630">
        <f t="shared" si="23"/>
        <v>72.696950000000015</v>
      </c>
    </row>
    <row r="210" spans="1:5" s="421" customFormat="1" x14ac:dyDescent="0.2">
      <c r="A210" s="588"/>
      <c r="B210" s="592" t="s">
        <v>826</v>
      </c>
      <c r="C210" s="631">
        <f>C204+C205+C208</f>
        <v>52993.00866</v>
      </c>
      <c r="D210" s="631">
        <f>D204+D205+D208</f>
        <v>77291.313949999996</v>
      </c>
      <c r="E210" s="632">
        <f t="shared" si="23"/>
        <v>24298.305289999997</v>
      </c>
    </row>
    <row r="211" spans="1:5" s="421" customFormat="1" x14ac:dyDescent="0.2">
      <c r="A211" s="588"/>
      <c r="B211" s="592" t="s">
        <v>727</v>
      </c>
      <c r="C211" s="631">
        <f>C210+C203</f>
        <v>84994.533159999992</v>
      </c>
      <c r="D211" s="631">
        <f>D210+D203</f>
        <v>116708.56835</v>
      </c>
      <c r="E211" s="632">
        <f t="shared" si="23"/>
        <v>31714.03519000001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21815.525690428713</v>
      </c>
      <c r="D215" s="633">
        <f>IF(D14*D137=0,0,D25/D14*D137)</f>
        <v>30866.493088047115</v>
      </c>
      <c r="E215" s="633">
        <f t="shared" ref="E215:E223" si="24">D215-C215</f>
        <v>9050.9673976184022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10705.460780808802</v>
      </c>
      <c r="D216" s="633">
        <f>IF(D15*D138=0,0,D26/D15*D138)</f>
        <v>18853.573772353047</v>
      </c>
      <c r="E216" s="633">
        <f t="shared" si="24"/>
        <v>8148.1129915442452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7897.674660497597</v>
      </c>
      <c r="D217" s="633">
        <f>D218+D219</f>
        <v>13011.950663984822</v>
      </c>
      <c r="E217" s="633">
        <f t="shared" si="24"/>
        <v>5114.2760034872254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7897.674660497597</v>
      </c>
      <c r="D218" s="633">
        <f t="shared" si="25"/>
        <v>13011.950663984822</v>
      </c>
      <c r="E218" s="633">
        <f t="shared" si="24"/>
        <v>5114.2760034872254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172.52757856648748</v>
      </c>
      <c r="D220" s="633">
        <f t="shared" si="25"/>
        <v>273.81601323171759</v>
      </c>
      <c r="E220" s="633">
        <f t="shared" si="24"/>
        <v>101.28843466523011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1748.9021156032625</v>
      </c>
      <c r="D221" s="633">
        <f t="shared" si="25"/>
        <v>2124.1291790680039</v>
      </c>
      <c r="E221" s="633">
        <f t="shared" si="24"/>
        <v>375.22706346474138</v>
      </c>
    </row>
    <row r="222" spans="1:5" s="421" customFormat="1" x14ac:dyDescent="0.2">
      <c r="A222" s="588"/>
      <c r="B222" s="592" t="s">
        <v>828</v>
      </c>
      <c r="C222" s="634">
        <f>C216+C218+C219+C220</f>
        <v>18775.663019872889</v>
      </c>
      <c r="D222" s="634">
        <f>D216+D218+D219+D220</f>
        <v>32139.340449569587</v>
      </c>
      <c r="E222" s="634">
        <f t="shared" si="24"/>
        <v>13363.677429696698</v>
      </c>
    </row>
    <row r="223" spans="1:5" s="421" customFormat="1" x14ac:dyDescent="0.2">
      <c r="A223" s="588"/>
      <c r="B223" s="592" t="s">
        <v>829</v>
      </c>
      <c r="C223" s="634">
        <f>C215+C222</f>
        <v>40591.188710301605</v>
      </c>
      <c r="D223" s="634">
        <f>D215+D222</f>
        <v>63005.833537616702</v>
      </c>
      <c r="E223" s="634">
        <f t="shared" si="24"/>
        <v>22414.644827315096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13848.230605388815</v>
      </c>
      <c r="D227" s="636">
        <f t="shared" si="26"/>
        <v>14218.688047435387</v>
      </c>
      <c r="E227" s="636">
        <f t="shared" ref="E227:E235" si="27">D227-C227</f>
        <v>370.4574420465724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11240.002242018065</v>
      </c>
      <c r="D228" s="636">
        <f t="shared" si="26"/>
        <v>10906.932499958593</v>
      </c>
      <c r="E228" s="636">
        <f t="shared" si="27"/>
        <v>-333.06974205947154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7494.7259975388297</v>
      </c>
      <c r="D229" s="636">
        <f t="shared" si="26"/>
        <v>6877.8982548381837</v>
      </c>
      <c r="E229" s="636">
        <f t="shared" si="27"/>
        <v>-616.82774270064601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7494.7259975388297</v>
      </c>
      <c r="D230" s="636">
        <f t="shared" si="26"/>
        <v>6877.8982548381837</v>
      </c>
      <c r="E230" s="636">
        <f t="shared" si="27"/>
        <v>-616.82774270064601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8241.5555786132245</v>
      </c>
      <c r="D232" s="636">
        <f t="shared" si="26"/>
        <v>7851.1647477010638</v>
      </c>
      <c r="E232" s="636">
        <f t="shared" si="27"/>
        <v>-390.39083091216071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4582.051105133145</v>
      </c>
      <c r="D233" s="636">
        <f t="shared" si="26"/>
        <v>4778.544656687538</v>
      </c>
      <c r="E233" s="636">
        <f t="shared" si="27"/>
        <v>196.49355155439298</v>
      </c>
    </row>
    <row r="234" spans="1:5" x14ac:dyDescent="0.2">
      <c r="A234" s="588"/>
      <c r="B234" s="592" t="s">
        <v>831</v>
      </c>
      <c r="C234" s="637">
        <f t="shared" si="26"/>
        <v>9772.2281503689956</v>
      </c>
      <c r="D234" s="637">
        <f t="shared" si="26"/>
        <v>9460.3045107114522</v>
      </c>
      <c r="E234" s="637">
        <f t="shared" si="27"/>
        <v>-311.92363965754339</v>
      </c>
    </row>
    <row r="235" spans="1:5" s="421" customFormat="1" x14ac:dyDescent="0.2">
      <c r="A235" s="588"/>
      <c r="B235" s="592" t="s">
        <v>832</v>
      </c>
      <c r="C235" s="637">
        <f t="shared" si="26"/>
        <v>11306.894999833659</v>
      </c>
      <c r="D235" s="637">
        <f t="shared" si="26"/>
        <v>11067.40514652196</v>
      </c>
      <c r="E235" s="637">
        <f t="shared" si="27"/>
        <v>-239.48985331169933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21431.498357388977</v>
      </c>
      <c r="D239" s="636">
        <f t="shared" si="28"/>
        <v>21398.995477584063</v>
      </c>
      <c r="E239" s="638">
        <f t="shared" ref="E239:E247" si="29">D239-C239</f>
        <v>-32.502879804913391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11397.041519102371</v>
      </c>
      <c r="D240" s="636">
        <f t="shared" si="28"/>
        <v>9400.6644119588473</v>
      </c>
      <c r="E240" s="638">
        <f t="shared" si="29"/>
        <v>-1996.377107143524</v>
      </c>
    </row>
    <row r="241" spans="1:5" x14ac:dyDescent="0.2">
      <c r="A241" s="588">
        <v>3</v>
      </c>
      <c r="B241" s="587" t="s">
        <v>780</v>
      </c>
      <c r="C241" s="636">
        <f t="shared" si="28"/>
        <v>12981.995638896095</v>
      </c>
      <c r="D241" s="636">
        <f t="shared" si="28"/>
        <v>11481.275395048966</v>
      </c>
      <c r="E241" s="638">
        <f t="shared" si="29"/>
        <v>-1500.7202438471286</v>
      </c>
    </row>
    <row r="242" spans="1:5" x14ac:dyDescent="0.2">
      <c r="A242" s="588">
        <v>4</v>
      </c>
      <c r="B242" s="587" t="s">
        <v>115</v>
      </c>
      <c r="C242" s="636">
        <f t="shared" si="28"/>
        <v>12981.995638896095</v>
      </c>
      <c r="D242" s="636">
        <f t="shared" si="28"/>
        <v>11481.275395048966</v>
      </c>
      <c r="E242" s="638">
        <f t="shared" si="29"/>
        <v>-1500.7202438471286</v>
      </c>
    </row>
    <row r="243" spans="1:5" x14ac:dyDescent="0.2">
      <c r="A243" s="588">
        <v>5</v>
      </c>
      <c r="B243" s="587" t="s">
        <v>746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9864.0925360472811</v>
      </c>
      <c r="D244" s="636">
        <f t="shared" si="28"/>
        <v>7197.8478422010039</v>
      </c>
      <c r="E244" s="638">
        <f t="shared" si="29"/>
        <v>-2666.2446938462772</v>
      </c>
    </row>
    <row r="245" spans="1:5" x14ac:dyDescent="0.2">
      <c r="A245" s="588">
        <v>7</v>
      </c>
      <c r="B245" s="587" t="s">
        <v>761</v>
      </c>
      <c r="C245" s="636">
        <f t="shared" si="28"/>
        <v>3232.9859684855264</v>
      </c>
      <c r="D245" s="636">
        <f t="shared" si="28"/>
        <v>3053.3646747632006</v>
      </c>
      <c r="E245" s="638">
        <f t="shared" si="29"/>
        <v>-179.62129372232585</v>
      </c>
    </row>
    <row r="246" spans="1:5" ht="25.5" x14ac:dyDescent="0.2">
      <c r="A246" s="588"/>
      <c r="B246" s="592" t="s">
        <v>834</v>
      </c>
      <c r="C246" s="637">
        <f t="shared" si="28"/>
        <v>12049.640364792382</v>
      </c>
      <c r="D246" s="637">
        <f t="shared" si="28"/>
        <v>10224.254462085599</v>
      </c>
      <c r="E246" s="639">
        <f t="shared" si="29"/>
        <v>-1825.3859027067829</v>
      </c>
    </row>
    <row r="247" spans="1:5" x14ac:dyDescent="0.2">
      <c r="A247" s="588"/>
      <c r="B247" s="592" t="s">
        <v>835</v>
      </c>
      <c r="C247" s="637">
        <f t="shared" si="28"/>
        <v>17091.871710175521</v>
      </c>
      <c r="D247" s="637">
        <f t="shared" si="28"/>
        <v>15698.74859935731</v>
      </c>
      <c r="E247" s="639">
        <f t="shared" si="29"/>
        <v>-1393.123110818211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-12517451.98994616</v>
      </c>
      <c r="D251" s="622">
        <f>((IF((IF(D15=0,0,D26/D15)*D138)=0,0,D59/(IF(D15=0,0,D26/D15)*D138)))-(IF((IF(D17=0,0,D28/D17)*D140)=0,0,D61/(IF(D17=0,0,D28/D17)*D140))))*(IF(D17=0,0,D28/D17)*D140)</f>
        <v>-27072807.462913584</v>
      </c>
      <c r="E251" s="622">
        <f>D251-C251</f>
        <v>-14555355.472967423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22200352.18412742</v>
      </c>
      <c r="D253" s="622">
        <f>IF(D233=0,0,(D228-D233)*D209+IF(D221=0,0,(D240-D245)*D221))</f>
        <v>21220096.677261289</v>
      </c>
      <c r="E253" s="622">
        <f>D253-C253</f>
        <v>-980255.50686613098</v>
      </c>
    </row>
    <row r="254" spans="1:5" ht="15" customHeight="1" x14ac:dyDescent="0.2">
      <c r="A254" s="588"/>
      <c r="B254" s="592" t="s">
        <v>762</v>
      </c>
      <c r="C254" s="640">
        <f>+C251+C252+C253</f>
        <v>9682900.1941812597</v>
      </c>
      <c r="D254" s="640">
        <f>+D251+D252+D253</f>
        <v>-5852710.7856522948</v>
      </c>
      <c r="E254" s="640">
        <f>D254-C254</f>
        <v>-15535610.979833554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5740304076</v>
      </c>
      <c r="D258" s="625">
        <f>+D44</f>
        <v>8243052871</v>
      </c>
      <c r="E258" s="622">
        <f t="shared" ref="E258:E271" si="30">D258-C258</f>
        <v>2502748795</v>
      </c>
    </row>
    <row r="259" spans="1:5" x14ac:dyDescent="0.2">
      <c r="A259" s="588">
        <v>2</v>
      </c>
      <c r="B259" s="587" t="s">
        <v>745</v>
      </c>
      <c r="C259" s="622">
        <f>+(C43-C76)</f>
        <v>2650425440</v>
      </c>
      <c r="D259" s="625">
        <f>+(D43-D76)</f>
        <v>3989441178</v>
      </c>
      <c r="E259" s="622">
        <f t="shared" si="30"/>
        <v>1339015738</v>
      </c>
    </row>
    <row r="260" spans="1:5" x14ac:dyDescent="0.2">
      <c r="A260" s="588">
        <v>3</v>
      </c>
      <c r="B260" s="587" t="s">
        <v>749</v>
      </c>
      <c r="C260" s="622">
        <f>C195</f>
        <v>110716472</v>
      </c>
      <c r="D260" s="622">
        <f>D195</f>
        <v>151175000</v>
      </c>
      <c r="E260" s="622">
        <f t="shared" si="30"/>
        <v>40458528</v>
      </c>
    </row>
    <row r="261" spans="1:5" x14ac:dyDescent="0.2">
      <c r="A261" s="588">
        <v>4</v>
      </c>
      <c r="B261" s="587" t="s">
        <v>750</v>
      </c>
      <c r="C261" s="622">
        <f>C188</f>
        <v>1435074984</v>
      </c>
      <c r="D261" s="622">
        <f>D188</f>
        <v>1794355713</v>
      </c>
      <c r="E261" s="622">
        <f t="shared" si="30"/>
        <v>359280729</v>
      </c>
    </row>
    <row r="262" spans="1:5" x14ac:dyDescent="0.2">
      <c r="A262" s="588">
        <v>5</v>
      </c>
      <c r="B262" s="587" t="s">
        <v>751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752</v>
      </c>
      <c r="C263" s="622">
        <f>+C259+C260+C261+C262</f>
        <v>4196216896</v>
      </c>
      <c r="D263" s="622">
        <f>+D259+D260+D261+D262</f>
        <v>5934971891</v>
      </c>
      <c r="E263" s="622">
        <f t="shared" si="30"/>
        <v>1738754995</v>
      </c>
    </row>
    <row r="264" spans="1:5" x14ac:dyDescent="0.2">
      <c r="A264" s="588">
        <v>7</v>
      </c>
      <c r="B264" s="587" t="s">
        <v>657</v>
      </c>
      <c r="C264" s="622">
        <f>+C258-C263</f>
        <v>1544087180</v>
      </c>
      <c r="D264" s="622">
        <f>+D258-D263</f>
        <v>2308080980</v>
      </c>
      <c r="E264" s="622">
        <f t="shared" si="30"/>
        <v>763993800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1544087180</v>
      </c>
      <c r="D266" s="622">
        <f>+D264+D265</f>
        <v>2308080980</v>
      </c>
      <c r="E266" s="641">
        <f t="shared" si="30"/>
        <v>763993800</v>
      </c>
    </row>
    <row r="267" spans="1:5" x14ac:dyDescent="0.2">
      <c r="A267" s="588">
        <v>10</v>
      </c>
      <c r="B267" s="587" t="s">
        <v>840</v>
      </c>
      <c r="C267" s="642">
        <f>IF(C258=0,0,C266/C258)</f>
        <v>0.26899048544410248</v>
      </c>
      <c r="D267" s="642">
        <f>IF(D258=0,0,D266/D258)</f>
        <v>0.28000317553707466</v>
      </c>
      <c r="E267" s="643">
        <f t="shared" si="30"/>
        <v>1.1012690092972177E-2</v>
      </c>
    </row>
    <row r="268" spans="1:5" x14ac:dyDescent="0.2">
      <c r="A268" s="588">
        <v>11</v>
      </c>
      <c r="B268" s="587" t="s">
        <v>719</v>
      </c>
      <c r="C268" s="622">
        <f>+C260*C267</f>
        <v>29781677.549938381</v>
      </c>
      <c r="D268" s="644">
        <f>+D260*D267</f>
        <v>42329480.061817259</v>
      </c>
      <c r="E268" s="622">
        <f t="shared" si="30"/>
        <v>12547802.511878878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105999528.6125434</v>
      </c>
      <c r="D269" s="644">
        <f>((D17+D18+D28+D29)*D267)-(D50+D51+D61+D62)</f>
        <v>169554422.92334497</v>
      </c>
      <c r="E269" s="622">
        <f t="shared" si="30"/>
        <v>63554894.310801566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843</v>
      </c>
      <c r="C271" s="622">
        <f>+C268+C269+C270</f>
        <v>135781206.16248178</v>
      </c>
      <c r="D271" s="622">
        <f>+D268+D269+D270</f>
        <v>211883902.98516223</v>
      </c>
      <c r="E271" s="625">
        <f t="shared" si="30"/>
        <v>76102696.822680444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0.363185879685895</v>
      </c>
      <c r="D276" s="623">
        <f t="shared" si="31"/>
        <v>0.3661003355520584</v>
      </c>
      <c r="E276" s="650">
        <f t="shared" ref="E276:E284" si="32">D276-C276</f>
        <v>2.9144558661634012E-3</v>
      </c>
    </row>
    <row r="277" spans="1:5" x14ac:dyDescent="0.2">
      <c r="A277" s="588">
        <v>2</v>
      </c>
      <c r="B277" s="587" t="s">
        <v>638</v>
      </c>
      <c r="C277" s="623">
        <f t="shared" si="31"/>
        <v>0.28429397447646476</v>
      </c>
      <c r="D277" s="623">
        <f t="shared" si="31"/>
        <v>0.27927128105033577</v>
      </c>
      <c r="E277" s="650">
        <f t="shared" si="32"/>
        <v>-5.0226934261289879E-3</v>
      </c>
    </row>
    <row r="278" spans="1:5" x14ac:dyDescent="0.2">
      <c r="A278" s="588">
        <v>3</v>
      </c>
      <c r="B278" s="587" t="s">
        <v>780</v>
      </c>
      <c r="C278" s="623">
        <f t="shared" si="31"/>
        <v>0.16539031862762532</v>
      </c>
      <c r="D278" s="623">
        <f t="shared" si="31"/>
        <v>0.16239643430893991</v>
      </c>
      <c r="E278" s="650">
        <f t="shared" si="32"/>
        <v>-2.9938843186854136E-3</v>
      </c>
    </row>
    <row r="279" spans="1:5" x14ac:dyDescent="0.2">
      <c r="A279" s="588">
        <v>4</v>
      </c>
      <c r="B279" s="587" t="s">
        <v>115</v>
      </c>
      <c r="C279" s="623">
        <f t="shared" si="31"/>
        <v>0.16539031862762532</v>
      </c>
      <c r="D279" s="623">
        <f t="shared" si="31"/>
        <v>0.16239643430893991</v>
      </c>
      <c r="E279" s="650">
        <f t="shared" si="32"/>
        <v>-2.9938843186854136E-3</v>
      </c>
    </row>
    <row r="280" spans="1:5" x14ac:dyDescent="0.2">
      <c r="A280" s="588">
        <v>5</v>
      </c>
      <c r="B280" s="587" t="s">
        <v>746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0.20544147428760789</v>
      </c>
      <c r="D281" s="623">
        <f t="shared" si="31"/>
        <v>0.19000686389209734</v>
      </c>
      <c r="E281" s="650">
        <f t="shared" si="32"/>
        <v>-1.5434610395510556E-2</v>
      </c>
    </row>
    <row r="282" spans="1:5" x14ac:dyDescent="0.2">
      <c r="A282" s="588">
        <v>7</v>
      </c>
      <c r="B282" s="587" t="s">
        <v>761</v>
      </c>
      <c r="C282" s="623">
        <f t="shared" si="31"/>
        <v>0.12998277983483614</v>
      </c>
      <c r="D282" s="623">
        <f t="shared" si="31"/>
        <v>0.12727315185843435</v>
      </c>
      <c r="E282" s="650">
        <f t="shared" si="32"/>
        <v>-2.709627976401785E-3</v>
      </c>
    </row>
    <row r="283" spans="1:5" ht="29.25" customHeight="1" x14ac:dyDescent="0.2">
      <c r="A283" s="588"/>
      <c r="B283" s="592" t="s">
        <v>847</v>
      </c>
      <c r="C283" s="651">
        <f t="shared" si="31"/>
        <v>0.23401646237627358</v>
      </c>
      <c r="D283" s="651">
        <f t="shared" si="31"/>
        <v>0.23511398371987757</v>
      </c>
      <c r="E283" s="652">
        <f t="shared" si="32"/>
        <v>1.0975213436039966E-3</v>
      </c>
    </row>
    <row r="284" spans="1:5" x14ac:dyDescent="0.2">
      <c r="A284" s="588"/>
      <c r="B284" s="592" t="s">
        <v>848</v>
      </c>
      <c r="C284" s="651">
        <f t="shared" si="31"/>
        <v>0.27992621086693598</v>
      </c>
      <c r="D284" s="651">
        <f t="shared" si="31"/>
        <v>0.27832276252926336</v>
      </c>
      <c r="E284" s="652">
        <f t="shared" si="32"/>
        <v>-1.6034483376726194E-3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0.41538200735399805</v>
      </c>
      <c r="D287" s="623">
        <f t="shared" si="33"/>
        <v>0.3972012088943227</v>
      </c>
      <c r="E287" s="650">
        <f t="shared" ref="E287:E295" si="34">D287-C287</f>
        <v>-1.8180798459675351E-2</v>
      </c>
    </row>
    <row r="288" spans="1:5" x14ac:dyDescent="0.2">
      <c r="A288" s="588">
        <v>2</v>
      </c>
      <c r="B288" s="587" t="s">
        <v>638</v>
      </c>
      <c r="C288" s="623">
        <f t="shared" si="33"/>
        <v>0.16247201762066624</v>
      </c>
      <c r="D288" s="623">
        <f t="shared" si="33"/>
        <v>0.13953738637188973</v>
      </c>
      <c r="E288" s="650">
        <f t="shared" si="34"/>
        <v>-2.293463124877651E-2</v>
      </c>
    </row>
    <row r="289" spans="1:5" x14ac:dyDescent="0.2">
      <c r="A289" s="588">
        <v>3</v>
      </c>
      <c r="B289" s="587" t="s">
        <v>780</v>
      </c>
      <c r="C289" s="623">
        <f t="shared" si="33"/>
        <v>0.24379699498422142</v>
      </c>
      <c r="D289" s="623">
        <f t="shared" si="33"/>
        <v>0.22854861100614707</v>
      </c>
      <c r="E289" s="650">
        <f t="shared" si="34"/>
        <v>-1.5248383978074348E-2</v>
      </c>
    </row>
    <row r="290" spans="1:5" x14ac:dyDescent="0.2">
      <c r="A290" s="588">
        <v>4</v>
      </c>
      <c r="B290" s="587" t="s">
        <v>115</v>
      </c>
      <c r="C290" s="623">
        <f t="shared" si="33"/>
        <v>0.24379699498422142</v>
      </c>
      <c r="D290" s="623">
        <f t="shared" si="33"/>
        <v>0.22854861100614707</v>
      </c>
      <c r="E290" s="650">
        <f t="shared" si="34"/>
        <v>-1.5248383978074348E-2</v>
      </c>
    </row>
    <row r="291" spans="1:5" x14ac:dyDescent="0.2">
      <c r="A291" s="588">
        <v>5</v>
      </c>
      <c r="B291" s="587" t="s">
        <v>746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0.16855795191096387</v>
      </c>
      <c r="D292" s="623">
        <f t="shared" si="33"/>
        <v>0.12772550298957178</v>
      </c>
      <c r="E292" s="650">
        <f t="shared" si="34"/>
        <v>-4.0832448921392095E-2</v>
      </c>
    </row>
    <row r="293" spans="1:5" x14ac:dyDescent="0.2">
      <c r="A293" s="588">
        <v>7</v>
      </c>
      <c r="B293" s="587" t="s">
        <v>761</v>
      </c>
      <c r="C293" s="623">
        <f t="shared" si="33"/>
        <v>7.5304006154971945E-2</v>
      </c>
      <c r="D293" s="623">
        <f t="shared" si="33"/>
        <v>5.7003613457984922E-2</v>
      </c>
      <c r="E293" s="650">
        <f t="shared" si="34"/>
        <v>-1.8300392696987022E-2</v>
      </c>
    </row>
    <row r="294" spans="1:5" ht="29.25" customHeight="1" x14ac:dyDescent="0.2">
      <c r="A294" s="588"/>
      <c r="B294" s="592" t="s">
        <v>850</v>
      </c>
      <c r="C294" s="651">
        <f t="shared" si="33"/>
        <v>0.19146838331126573</v>
      </c>
      <c r="D294" s="651">
        <f t="shared" si="33"/>
        <v>0.16944621383071415</v>
      </c>
      <c r="E294" s="652">
        <f t="shared" si="34"/>
        <v>-2.2022169480551579E-2</v>
      </c>
    </row>
    <row r="295" spans="1:5" x14ac:dyDescent="0.2">
      <c r="A295" s="588"/>
      <c r="B295" s="592" t="s">
        <v>851</v>
      </c>
      <c r="C295" s="651">
        <f t="shared" si="33"/>
        <v>0.30070581809004637</v>
      </c>
      <c r="D295" s="651">
        <f t="shared" si="33"/>
        <v>0.27458738511954245</v>
      </c>
      <c r="E295" s="652">
        <f t="shared" si="34"/>
        <v>-2.6118432970503924E-2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1654803652</v>
      </c>
      <c r="D301" s="590">
        <f>+D48+D47+D50+D51+D52+D59+D58+D61+D62+D63</f>
        <v>2280773751</v>
      </c>
      <c r="E301" s="590">
        <f>D301-C301</f>
        <v>625970099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1654803652</v>
      </c>
      <c r="D303" s="593">
        <f>+D301+D302</f>
        <v>2280773751</v>
      </c>
      <c r="E303" s="593">
        <f>D303-C303</f>
        <v>625970099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58467348</v>
      </c>
      <c r="D305" s="654">
        <v>2142331</v>
      </c>
      <c r="E305" s="655">
        <f>D305-C305</f>
        <v>-56325017</v>
      </c>
    </row>
    <row r="306" spans="1:5" x14ac:dyDescent="0.2">
      <c r="A306" s="588">
        <v>4</v>
      </c>
      <c r="B306" s="592" t="s">
        <v>858</v>
      </c>
      <c r="C306" s="593">
        <f>+C303+C305+C194+C190-C191</f>
        <v>1788242258</v>
      </c>
      <c r="D306" s="593">
        <f>+D303+D305</f>
        <v>2282916082</v>
      </c>
      <c r="E306" s="656">
        <f>D306-C306</f>
        <v>494673824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1713271000</v>
      </c>
      <c r="D308" s="589">
        <v>2282916000</v>
      </c>
      <c r="E308" s="590">
        <f>D308-C308</f>
        <v>569645000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74971258</v>
      </c>
      <c r="D310" s="658">
        <f>D306-D308</f>
        <v>82</v>
      </c>
      <c r="E310" s="656">
        <f>D310-C310</f>
        <v>-74971176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5740304076</v>
      </c>
      <c r="D314" s="590">
        <f>+D14+D15+D16+D19+D25+D26+D27+D30</f>
        <v>8243052871</v>
      </c>
      <c r="E314" s="590">
        <f>D314-C314</f>
        <v>2502748795</v>
      </c>
    </row>
    <row r="315" spans="1:5" x14ac:dyDescent="0.2">
      <c r="A315" s="588">
        <v>2</v>
      </c>
      <c r="B315" s="659" t="s">
        <v>863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864</v>
      </c>
      <c r="C316" s="657">
        <f>C314+C315</f>
        <v>5740304076</v>
      </c>
      <c r="D316" s="657">
        <f>D314+D315</f>
        <v>8243052871</v>
      </c>
      <c r="E316" s="593">
        <f>D316-C316</f>
        <v>2502748795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5740304076</v>
      </c>
      <c r="D318" s="589">
        <v>8243052871</v>
      </c>
      <c r="E318" s="590">
        <f>D318-C318</f>
        <v>2502748795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110716472</v>
      </c>
      <c r="D324" s="589">
        <f>+D193+D194</f>
        <v>151175000</v>
      </c>
      <c r="E324" s="590">
        <f>D324-C324</f>
        <v>40458528</v>
      </c>
    </row>
    <row r="325" spans="1:5" x14ac:dyDescent="0.2">
      <c r="A325" s="588">
        <v>2</v>
      </c>
      <c r="B325" s="587" t="s">
        <v>868</v>
      </c>
      <c r="C325" s="589">
        <v>888528</v>
      </c>
      <c r="D325" s="589">
        <v>641000</v>
      </c>
      <c r="E325" s="590">
        <f>D325-C325</f>
        <v>-247528</v>
      </c>
    </row>
    <row r="326" spans="1:5" x14ac:dyDescent="0.2">
      <c r="A326" s="588"/>
      <c r="B326" s="592" t="s">
        <v>869</v>
      </c>
      <c r="C326" s="657">
        <f>C324+C325</f>
        <v>111605000</v>
      </c>
      <c r="D326" s="657">
        <f>D324+D325</f>
        <v>151816000</v>
      </c>
      <c r="E326" s="593">
        <f>D326-C326</f>
        <v>40211000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111605000</v>
      </c>
      <c r="D328" s="589">
        <v>151816000</v>
      </c>
      <c r="E328" s="590">
        <f>D328-C328</f>
        <v>40211000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69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1530896286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1929011508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1155720092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1155720092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25246609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47404499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3109978209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4640874495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1662915246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1270169412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653663080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653663080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15430638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113777717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1939263130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3602178376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3193811532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5049241339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8243052871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560461644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538717515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187684822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187684822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4797029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6033320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731199366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1291661010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660511946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177236120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149393789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149393789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1970886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6485741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328600795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989112741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1220973590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1059800161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2280773751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28416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28633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23006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23006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448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885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52087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80503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1.3871500000000001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1.7250099999999999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1.1861299999999999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1.1861299999999999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1.3638300000000001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1.42665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1.4838887620711501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1.4497418524775474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3004952573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1210596860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1794355713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0.59713278975601325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32480929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118694071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151175000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3256036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2236673000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2280773751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2280773751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2142331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2282916082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2282916000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82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8243052871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8243052871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8243052871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151175000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641000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151816000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151816000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885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5265</v>
      </c>
      <c r="D12" s="185">
        <v>6553</v>
      </c>
      <c r="E12" s="185">
        <f>+D12-C12</f>
        <v>1288</v>
      </c>
      <c r="F12" s="77">
        <f>IF(C12=0,0,+E12/C12)</f>
        <v>0.24463437796771131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4027</v>
      </c>
      <c r="D13" s="185">
        <v>5356</v>
      </c>
      <c r="E13" s="185">
        <f>+D13-C13</f>
        <v>1329</v>
      </c>
      <c r="F13" s="77">
        <f>IF(C13=0,0,+E13/C13)</f>
        <v>0.33002234914328282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35745214</v>
      </c>
      <c r="D15" s="76">
        <v>32480929</v>
      </c>
      <c r="E15" s="76">
        <f>+D15-C15</f>
        <v>-3264285</v>
      </c>
      <c r="F15" s="77">
        <f>IF(C15=0,0,+E15/C15)</f>
        <v>-9.132089683390901E-2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8876.3878817978639</v>
      </c>
      <c r="D16" s="79">
        <f>IF(D13=0,0,+D15/+D13)</f>
        <v>6064.4004854368932</v>
      </c>
      <c r="E16" s="79">
        <f>+D16-C16</f>
        <v>-2811.9873963609707</v>
      </c>
      <c r="F16" s="80">
        <f>IF(C16=0,0,+E16/C16)</f>
        <v>-0.31679410969943078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0.32245499999999999</v>
      </c>
      <c r="D18" s="704">
        <v>0.30175600000000002</v>
      </c>
      <c r="E18" s="704">
        <f>+D18-C18</f>
        <v>-2.0698999999999967E-2</v>
      </c>
      <c r="F18" s="77">
        <f>IF(C18=0,0,+E18/C18)</f>
        <v>-6.4191902746119509E-2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11526222.98037</v>
      </c>
      <c r="D19" s="79">
        <f>+D15*D18</f>
        <v>9801315.2113240007</v>
      </c>
      <c r="E19" s="79">
        <f>+D19-C19</f>
        <v>-1724907.7690459993</v>
      </c>
      <c r="F19" s="80">
        <f>IF(C19=0,0,+E19/C19)</f>
        <v>-0.14965073745177784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2862.2356544251302</v>
      </c>
      <c r="D20" s="79">
        <f>IF(D13=0,0,+D19/D13)</f>
        <v>1829.9692328834954</v>
      </c>
      <c r="E20" s="79">
        <f>+D20-C20</f>
        <v>-1032.2664215416348</v>
      </c>
      <c r="F20" s="80">
        <f>IF(C20=0,0,+E20/C20)</f>
        <v>-0.36065039576518093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13248369</v>
      </c>
      <c r="D22" s="76">
        <v>18113836</v>
      </c>
      <c r="E22" s="76">
        <f>+D22-C22</f>
        <v>4865467</v>
      </c>
      <c r="F22" s="77">
        <f>IF(C22=0,0,+E22/C22)</f>
        <v>0.36725026303237779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17935693</v>
      </c>
      <c r="D23" s="185">
        <v>12122474</v>
      </c>
      <c r="E23" s="185">
        <f>+D23-C23</f>
        <v>-5813219</v>
      </c>
      <c r="F23" s="77">
        <f>IF(C23=0,0,+E23/C23)</f>
        <v>-0.32411454634064041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4561152</v>
      </c>
      <c r="D24" s="185">
        <v>2244619</v>
      </c>
      <c r="E24" s="185">
        <f>+D24-C24</f>
        <v>-2316533</v>
      </c>
      <c r="F24" s="77">
        <f>IF(C24=0,0,+E24/C24)</f>
        <v>-0.50788331544311616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35745214</v>
      </c>
      <c r="D25" s="79">
        <f>+D22+D23+D24</f>
        <v>32480929</v>
      </c>
      <c r="E25" s="79">
        <f>+E22+E23+E24</f>
        <v>-3264285</v>
      </c>
      <c r="F25" s="80">
        <f>IF(C25=0,0,+E25/C25)</f>
        <v>-9.132089683390901E-2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10004</v>
      </c>
      <c r="D27" s="185">
        <v>6473</v>
      </c>
      <c r="E27" s="185">
        <f>+D27-C27</f>
        <v>-3531</v>
      </c>
      <c r="F27" s="77">
        <f>IF(C27=0,0,+E27/C27)</f>
        <v>-0.35295881647341065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1354</v>
      </c>
      <c r="D28" s="185">
        <v>952</v>
      </c>
      <c r="E28" s="185">
        <f>+D28-C28</f>
        <v>-402</v>
      </c>
      <c r="F28" s="77">
        <f>IF(C28=0,0,+E28/C28)</f>
        <v>-0.29689807976366323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5058</v>
      </c>
      <c r="D29" s="185">
        <v>2635</v>
      </c>
      <c r="E29" s="185">
        <f>+D29-C29</f>
        <v>-2423</v>
      </c>
      <c r="F29" s="77">
        <f>IF(C29=0,0,+E29/C29)</f>
        <v>-0.47904310003954131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24265</v>
      </c>
      <c r="D30" s="185">
        <v>15029</v>
      </c>
      <c r="E30" s="185">
        <f>+D30-C30</f>
        <v>-9236</v>
      </c>
      <c r="F30" s="77">
        <f>IF(C30=0,0,+E30/C30)</f>
        <v>-0.38063053781166289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27786850</v>
      </c>
      <c r="D33" s="76">
        <v>66192840</v>
      </c>
      <c r="E33" s="76">
        <f>+D33-C33</f>
        <v>38405990</v>
      </c>
      <c r="F33" s="77">
        <f>IF(C33=0,0,+E33/C33)</f>
        <v>1.3821642251640613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37617944</v>
      </c>
      <c r="D34" s="185">
        <v>44298788</v>
      </c>
      <c r="E34" s="185">
        <f>+D34-C34</f>
        <v>6680844</v>
      </c>
      <c r="F34" s="77">
        <f>IF(C34=0,0,+E34/C34)</f>
        <v>0.17759726581548424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9566464</v>
      </c>
      <c r="D35" s="185">
        <v>8202443</v>
      </c>
      <c r="E35" s="185">
        <f>+D35-C35</f>
        <v>-1364021</v>
      </c>
      <c r="F35" s="77">
        <f>IF(C35=0,0,+E35/C35)</f>
        <v>-0.14258361292113783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74971258</v>
      </c>
      <c r="D36" s="79">
        <f>+D33+D34+D35</f>
        <v>118694071</v>
      </c>
      <c r="E36" s="79">
        <f>+E33+E34+E35</f>
        <v>43722813</v>
      </c>
      <c r="F36" s="80">
        <f>IF(C36=0,0,+E36/C36)</f>
        <v>0.583194335621259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35745214</v>
      </c>
      <c r="D39" s="76">
        <f>+D25</f>
        <v>32480929</v>
      </c>
      <c r="E39" s="76">
        <f>+D39-C39</f>
        <v>-3264285</v>
      </c>
      <c r="F39" s="77">
        <f>IF(C39=0,0,+E39/C39)</f>
        <v>-9.132089683390901E-2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74971258</v>
      </c>
      <c r="D40" s="185">
        <f>+D36</f>
        <v>118694071</v>
      </c>
      <c r="E40" s="185">
        <f>+D40-C40</f>
        <v>43722813</v>
      </c>
      <c r="F40" s="77">
        <f>IF(C40=0,0,+E40/C40)</f>
        <v>0.583194335621259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110716472</v>
      </c>
      <c r="D41" s="79">
        <f>+D39+D40</f>
        <v>151175000</v>
      </c>
      <c r="E41" s="79">
        <f>+E39+E40</f>
        <v>40458528</v>
      </c>
      <c r="F41" s="80">
        <f>IF(C41=0,0,+E41/C41)</f>
        <v>0.36542464973052968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41035219</v>
      </c>
      <c r="D43" s="76">
        <f t="shared" si="0"/>
        <v>84306676</v>
      </c>
      <c r="E43" s="76">
        <f>+D43-C43</f>
        <v>43271457</v>
      </c>
      <c r="F43" s="77">
        <f>IF(C43=0,0,+E43/C43)</f>
        <v>1.054495578541935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55553637</v>
      </c>
      <c r="D44" s="185">
        <f t="shared" si="0"/>
        <v>56421262</v>
      </c>
      <c r="E44" s="185">
        <f>+D44-C44</f>
        <v>867625</v>
      </c>
      <c r="F44" s="77">
        <f>IF(C44=0,0,+E44/C44)</f>
        <v>1.5617789344737232E-2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14127616</v>
      </c>
      <c r="D45" s="185">
        <f t="shared" si="0"/>
        <v>10447062</v>
      </c>
      <c r="E45" s="185">
        <f>+D45-C45</f>
        <v>-3680554</v>
      </c>
      <c r="F45" s="77">
        <f>IF(C45=0,0,+E45/C45)</f>
        <v>-0.2605219451038307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110716472</v>
      </c>
      <c r="D46" s="79">
        <f>+D43+D44+D45</f>
        <v>151175000</v>
      </c>
      <c r="E46" s="79">
        <f>+E43+E44+E45</f>
        <v>40458528</v>
      </c>
      <c r="F46" s="80">
        <f>IF(C46=0,0,+E46/C46)</f>
        <v>0.36542464973052968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914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915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916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2345778878</v>
      </c>
      <c r="D15" s="76">
        <v>3004952573</v>
      </c>
      <c r="E15" s="76">
        <f>+D15-C15</f>
        <v>659173695</v>
      </c>
      <c r="F15" s="77">
        <f>IF(C15=0,0,E15/C15)</f>
        <v>0.28100419062601861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1435074984</v>
      </c>
      <c r="D17" s="76">
        <v>1794355713</v>
      </c>
      <c r="E17" s="76">
        <f>+D17-C17</f>
        <v>359280729</v>
      </c>
      <c r="F17" s="77">
        <f>IF(C17=0,0,E17/C17)</f>
        <v>0.25035676393617634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910703894</v>
      </c>
      <c r="D19" s="79">
        <f>+D15-D17</f>
        <v>1210596860</v>
      </c>
      <c r="E19" s="79">
        <f>+D19-C19</f>
        <v>299892966</v>
      </c>
      <c r="F19" s="80">
        <f>IF(C19=0,0,E19/C19)</f>
        <v>0.3292979946344668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0.61176907911436995</v>
      </c>
      <c r="D21" s="720">
        <f>IF(D15=0,0,D17/D15)</f>
        <v>0.59713278975601325</v>
      </c>
      <c r="E21" s="720">
        <f>+D21-C21</f>
        <v>-1.4636289358356702E-2</v>
      </c>
      <c r="F21" s="80">
        <f>IF(C21=0,0,E21/C21)</f>
        <v>-2.3924532733077958E-2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2984808958</v>
      </c>
      <c r="D10" s="744">
        <v>3433134250</v>
      </c>
      <c r="E10" s="744">
        <v>4640874495</v>
      </c>
    </row>
    <row r="11" spans="1:6" ht="26.1" customHeight="1" x14ac:dyDescent="0.25">
      <c r="A11" s="742">
        <v>2</v>
      </c>
      <c r="B11" s="743" t="s">
        <v>935</v>
      </c>
      <c r="C11" s="744">
        <v>1458487489</v>
      </c>
      <c r="D11" s="744">
        <v>2307169826</v>
      </c>
      <c r="E11" s="744">
        <v>3602178376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4443296447</v>
      </c>
      <c r="D12" s="744">
        <f>+D11+D10</f>
        <v>5740304076</v>
      </c>
      <c r="E12" s="744">
        <f>+E11+E10</f>
        <v>8243052871</v>
      </c>
    </row>
    <row r="13" spans="1:6" ht="26.1" customHeight="1" x14ac:dyDescent="0.25">
      <c r="A13" s="742">
        <v>4</v>
      </c>
      <c r="B13" s="743" t="s">
        <v>507</v>
      </c>
      <c r="C13" s="744">
        <v>1442057000</v>
      </c>
      <c r="D13" s="744">
        <v>1713271000</v>
      </c>
      <c r="E13" s="744">
        <v>2282916000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1435807000</v>
      </c>
      <c r="D16" s="744">
        <v>1654251000</v>
      </c>
      <c r="E16" s="744">
        <v>2236673000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300989</v>
      </c>
      <c r="D19" s="747">
        <v>311547</v>
      </c>
      <c r="E19" s="747">
        <v>462219</v>
      </c>
    </row>
    <row r="20" spans="1:5" ht="26.1" customHeight="1" x14ac:dyDescent="0.25">
      <c r="A20" s="742">
        <v>2</v>
      </c>
      <c r="B20" s="743" t="s">
        <v>381</v>
      </c>
      <c r="C20" s="748">
        <v>57451</v>
      </c>
      <c r="D20" s="748">
        <v>59426</v>
      </c>
      <c r="E20" s="748">
        <v>80503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5.2390558911072045</v>
      </c>
      <c r="D21" s="749">
        <f>IF(D20=0,0,+D19/D20)</f>
        <v>5.2426042472991616</v>
      </c>
      <c r="E21" s="749">
        <f>IF(E20=0,0,+E19/E20)</f>
        <v>5.7416369576289084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448063.30090291926</v>
      </c>
      <c r="D22" s="748">
        <f>IF(D10=0,0,D19*(D12/D10))</f>
        <v>520915.98630772217</v>
      </c>
      <c r="E22" s="748">
        <f>IF(E10=0,0,E19*(E12/E10))</f>
        <v>820986.57463925856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85523.672626486732</v>
      </c>
      <c r="D23" s="748">
        <f>IF(D10=0,0,D20*(D12/D10))</f>
        <v>99362.065442205174</v>
      </c>
      <c r="E23" s="748">
        <f>IF(E10=0,0,E20*(E12/E10))</f>
        <v>142988.24197660468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1.4568937686028096</v>
      </c>
      <c r="D26" s="750">
        <v>1.4302583576212433</v>
      </c>
      <c r="E26" s="750">
        <v>1.4497418524775474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438508.99851799104</v>
      </c>
      <c r="D27" s="748">
        <f>D19*D26</f>
        <v>445592.7005418255</v>
      </c>
      <c r="E27" s="748">
        <f>E19*E26</f>
        <v>670098.22931031953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83700.003900000011</v>
      </c>
      <c r="D28" s="748">
        <f>D20*D26</f>
        <v>84994.533160000006</v>
      </c>
      <c r="E28" s="748">
        <f>E20*E26</f>
        <v>116708.56835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652780.63102506869</v>
      </c>
      <c r="D29" s="748">
        <f>D22*D26</f>
        <v>745044.44303513283</v>
      </c>
      <c r="E29" s="748">
        <f>E22*E26</f>
        <v>1190218.5975767148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124598.9057175552</v>
      </c>
      <c r="D30" s="748">
        <f>D23*D26</f>
        <v>142113.42452922286</v>
      </c>
      <c r="E30" s="748">
        <f>E23*E26</f>
        <v>207296.03880567066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14762.321702786481</v>
      </c>
      <c r="D33" s="744">
        <f>IF(D19=0,0,D12/D19)</f>
        <v>18425.162418511492</v>
      </c>
      <c r="E33" s="744">
        <f>IF(E19=0,0,E12/E19)</f>
        <v>17833.652167046355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77340.628483403241</v>
      </c>
      <c r="D34" s="744">
        <f>IF(D20=0,0,D12/D20)</f>
        <v>96595.834752465249</v>
      </c>
      <c r="E34" s="744">
        <f>IF(E20=0,0,E12/E20)</f>
        <v>102394.35637181223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9916.6712338324669</v>
      </c>
      <c r="D35" s="744">
        <f>IF(D22=0,0,D12/D22)</f>
        <v>11019.635079137337</v>
      </c>
      <c r="E35" s="744">
        <f>IF(E22=0,0,E12/E22)</f>
        <v>10040.423468096293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51953.994847783331</v>
      </c>
      <c r="D36" s="744">
        <f>IF(D23=0,0,D12/D23)</f>
        <v>57771.585669572247</v>
      </c>
      <c r="E36" s="744">
        <f>IF(E23=0,0,E12/E23)</f>
        <v>57648.466454666283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6806.7222521946496</v>
      </c>
      <c r="D37" s="744">
        <f>IF(D29=0,0,D12/D29)</f>
        <v>7704.646520971788</v>
      </c>
      <c r="E37" s="744">
        <f>IF(E29=0,0,E12/E29)</f>
        <v>6925.6629729890428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35660.798314490872</v>
      </c>
      <c r="D38" s="744">
        <f>IF(D30=0,0,D12/D30)</f>
        <v>40392.41257478542</v>
      </c>
      <c r="E38" s="744">
        <f>IF(E30=0,0,E12/E30)</f>
        <v>39764.642481795985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6661.5787367212006</v>
      </c>
      <c r="D39" s="744">
        <f>IF(D22=0,0,D10/D22)</f>
        <v>6590.5718776922595</v>
      </c>
      <c r="E39" s="744">
        <f>IF(E22=0,0,E10/E22)</f>
        <v>5652.8019316749487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34900.383324693692</v>
      </c>
      <c r="D40" s="744">
        <f>IF(D23=0,0,D10/D23)</f>
        <v>34551.760118119855</v>
      </c>
      <c r="E40" s="744">
        <f>IF(E23=0,0,E10/E23)</f>
        <v>32456.336485060961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4791.0621318387048</v>
      </c>
      <c r="D43" s="744">
        <f>IF(D19=0,0,D13/D19)</f>
        <v>5499.2376752143336</v>
      </c>
      <c r="E43" s="744">
        <f>IF(E19=0,0,E13/E19)</f>
        <v>4939.0353923140328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25100.642286470211</v>
      </c>
      <c r="D44" s="744">
        <f>IF(D20=0,0,D13/D20)</f>
        <v>28830.326792986234</v>
      </c>
      <c r="E44" s="744">
        <f>IF(E20=0,0,E13/E20)</f>
        <v>28358.148143547445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3218.4224798014575</v>
      </c>
      <c r="D45" s="744">
        <f>IF(D22=0,0,D13/D22)</f>
        <v>3288.9583829894491</v>
      </c>
      <c r="E45" s="744">
        <f>IF(E22=0,0,E13/E22)</f>
        <v>2780.6983335910372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16861.495252875684</v>
      </c>
      <c r="D46" s="744">
        <f>IF(D23=0,0,D13/D23)</f>
        <v>17242.707187850672</v>
      </c>
      <c r="E46" s="744">
        <f>IF(E23=0,0,E13/E23)</f>
        <v>15965.760320163416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2209.0989399233886</v>
      </c>
      <c r="D47" s="744">
        <f>IF(D29=0,0,D13/D29)</f>
        <v>2299.555437284444</v>
      </c>
      <c r="E47" s="744">
        <f>IF(E29=0,0,E13/E29)</f>
        <v>1918.0644670214506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11573.59281524431</v>
      </c>
      <c r="D48" s="744">
        <f>IF(D30=0,0,D13/D30)</f>
        <v>12055.659102407311</v>
      </c>
      <c r="E48" s="744">
        <f>IF(E30=0,0,E13/E30)</f>
        <v>11012.829830965155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4770.2972533879974</v>
      </c>
      <c r="D51" s="744">
        <f>IF(D19=0,0,D16/D19)</f>
        <v>5309.7959537405268</v>
      </c>
      <c r="E51" s="744">
        <f>IF(E19=0,0,E16/E19)</f>
        <v>4838.989742957343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24991.853927694905</v>
      </c>
      <c r="D52" s="744">
        <f>IF(D20=0,0,D16/D20)</f>
        <v>27837.158819371991</v>
      </c>
      <c r="E52" s="744">
        <f>IF(E20=0,0,E16/E20)</f>
        <v>27783.722345751092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3204.4735578803688</v>
      </c>
      <c r="D53" s="744">
        <f>IF(D22=0,0,D16/D22)</f>
        <v>3175.6579630535271</v>
      </c>
      <c r="E53" s="744">
        <f>IF(E22=0,0,E16/E22)</f>
        <v>2724.3721993661029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16788.41607131041</v>
      </c>
      <c r="D54" s="744">
        <f>IF(D23=0,0,D16/D23)</f>
        <v>16648.717925073826</v>
      </c>
      <c r="E54" s="744">
        <f>IF(E23=0,0,E16/E23)</f>
        <v>15642.356106217167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2199.5245136874487</v>
      </c>
      <c r="D55" s="744">
        <f>IF(D29=0,0,D16/D29)</f>
        <v>2220.3386864560416</v>
      </c>
      <c r="E55" s="744">
        <f>IF(E29=0,0,E16/E29)</f>
        <v>1879.2119401880179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11523.431861068935</v>
      </c>
      <c r="D56" s="744">
        <f>IF(D30=0,0,D16/D30)</f>
        <v>11640.357028057089</v>
      </c>
      <c r="E56" s="744">
        <f>IF(E30=0,0,E16/E30)</f>
        <v>10789.752727001047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210845000</v>
      </c>
      <c r="D59" s="752">
        <v>247331000</v>
      </c>
      <c r="E59" s="752">
        <v>332073000</v>
      </c>
    </row>
    <row r="60" spans="1:6" ht="26.1" customHeight="1" x14ac:dyDescent="0.25">
      <c r="A60" s="742">
        <v>2</v>
      </c>
      <c r="B60" s="743" t="s">
        <v>971</v>
      </c>
      <c r="C60" s="752">
        <v>60165000</v>
      </c>
      <c r="D60" s="752">
        <v>72696000</v>
      </c>
      <c r="E60" s="752">
        <v>98908000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271010000</v>
      </c>
      <c r="D61" s="755">
        <f>D59+D60</f>
        <v>320027000</v>
      </c>
      <c r="E61" s="755">
        <f>E59+E60</f>
        <v>430981000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50618000</v>
      </c>
      <c r="D64" s="744">
        <v>58393000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14444000</v>
      </c>
      <c r="D65" s="752">
        <v>17163000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65062000</v>
      </c>
      <c r="D66" s="757">
        <f>D64+D65</f>
        <v>75556000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275600000</v>
      </c>
      <c r="D69" s="752">
        <v>279523000</v>
      </c>
      <c r="E69" s="752">
        <v>458209000</v>
      </c>
    </row>
    <row r="70" spans="1:6" ht="26.1" customHeight="1" x14ac:dyDescent="0.25">
      <c r="A70" s="742">
        <v>2</v>
      </c>
      <c r="B70" s="743" t="s">
        <v>979</v>
      </c>
      <c r="C70" s="752">
        <v>78642000</v>
      </c>
      <c r="D70" s="752">
        <v>82157000</v>
      </c>
      <c r="E70" s="752">
        <v>136462000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354242000</v>
      </c>
      <c r="D71" s="755">
        <f>D69+D70</f>
        <v>361680000</v>
      </c>
      <c r="E71" s="755">
        <f>E69+E70</f>
        <v>594671000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537063000</v>
      </c>
      <c r="D75" s="744">
        <f t="shared" si="0"/>
        <v>585247000</v>
      </c>
      <c r="E75" s="744">
        <f t="shared" si="0"/>
        <v>790282000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153251000</v>
      </c>
      <c r="D76" s="744">
        <f t="shared" si="0"/>
        <v>172016000</v>
      </c>
      <c r="E76" s="744">
        <f t="shared" si="0"/>
        <v>235370000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690314000</v>
      </c>
      <c r="D77" s="757">
        <f>D75+D76</f>
        <v>757263000</v>
      </c>
      <c r="E77" s="757">
        <f>E75+E76</f>
        <v>1025652000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2746.5</v>
      </c>
      <c r="D80" s="749">
        <v>3089</v>
      </c>
      <c r="E80" s="749">
        <v>4083</v>
      </c>
    </row>
    <row r="81" spans="1:5" ht="26.1" customHeight="1" x14ac:dyDescent="0.25">
      <c r="A81" s="742">
        <v>2</v>
      </c>
      <c r="B81" s="743" t="s">
        <v>617</v>
      </c>
      <c r="C81" s="749">
        <v>751.8</v>
      </c>
      <c r="D81" s="749">
        <v>780.6</v>
      </c>
      <c r="E81" s="749">
        <v>0</v>
      </c>
    </row>
    <row r="82" spans="1:5" ht="26.1" customHeight="1" x14ac:dyDescent="0.25">
      <c r="A82" s="742">
        <v>3</v>
      </c>
      <c r="B82" s="743" t="s">
        <v>985</v>
      </c>
      <c r="C82" s="749">
        <v>4112.8</v>
      </c>
      <c r="D82" s="749">
        <v>4281</v>
      </c>
      <c r="E82" s="749">
        <v>6988.7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7611.1</v>
      </c>
      <c r="D83" s="759">
        <f>D80+D81+D82</f>
        <v>8150.6</v>
      </c>
      <c r="E83" s="759">
        <f>E80+E81+E82</f>
        <v>11071.7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76768.614600400513</v>
      </c>
      <c r="D86" s="752">
        <f>IF(D80=0,0,D59/D80)</f>
        <v>80068.306895435409</v>
      </c>
      <c r="E86" s="752">
        <f>IF(E80=0,0,E59/E80)</f>
        <v>81330.639235855982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21906.062261059531</v>
      </c>
      <c r="D87" s="752">
        <f>IF(D80=0,0,D60/D80)</f>
        <v>23533.829718355453</v>
      </c>
      <c r="E87" s="752">
        <f>IF(E80=0,0,E60/E80)</f>
        <v>24224.344844477098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98674.676861460044</v>
      </c>
      <c r="D88" s="755">
        <f>+D86+D87</f>
        <v>103602.13661379086</v>
      </c>
      <c r="E88" s="755">
        <f>+E86+E87</f>
        <v>105554.98408033309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67329.076882149515</v>
      </c>
      <c r="D91" s="744">
        <f>IF(D81=0,0,D64/D81)</f>
        <v>74805.277991288749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19212.556530992286</v>
      </c>
      <c r="D92" s="744">
        <f>IF(D81=0,0,D65/D81)</f>
        <v>21986.933128362798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86541.633413141797</v>
      </c>
      <c r="D93" s="757">
        <f>+D91+D92</f>
        <v>96792.211119651547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67010.309278350513</v>
      </c>
      <c r="D96" s="752">
        <f>IF(D82=0,0,D69/D82)</f>
        <v>65293.856575566453</v>
      </c>
      <c r="E96" s="752">
        <f>IF(E82=0,0,E69/E82)</f>
        <v>65564.268032681328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19121.27990663295</v>
      </c>
      <c r="D97" s="752">
        <f>IF(D82=0,0,D70/D82)</f>
        <v>19191.07685120299</v>
      </c>
      <c r="E97" s="752">
        <f>IF(E82=0,0,E70/E82)</f>
        <v>19526.092120136793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86131.589184983459</v>
      </c>
      <c r="D98" s="757">
        <f>+D96+D97</f>
        <v>84484.93342676945</v>
      </c>
      <c r="E98" s="757">
        <f>+E96+E97</f>
        <v>85090.360152818117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70563.124909671402</v>
      </c>
      <c r="D101" s="744">
        <f>IF(D83=0,0,D75/D83)</f>
        <v>71804.161656810538</v>
      </c>
      <c r="E101" s="744">
        <f>IF(E83=0,0,E75/E83)</f>
        <v>71378.559751438341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20135.19727766026</v>
      </c>
      <c r="D102" s="761">
        <f>IF(D83=0,0,D76/D83)</f>
        <v>21104.703948175593</v>
      </c>
      <c r="E102" s="761">
        <f>IF(E83=0,0,E76/E83)</f>
        <v>21258.70462530596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90698.322187331665</v>
      </c>
      <c r="D103" s="757">
        <f>+D101+D102</f>
        <v>92908.865604986131</v>
      </c>
      <c r="E103" s="757">
        <f>+E101+E102</f>
        <v>92637.264376744308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2293.4858084514717</v>
      </c>
      <c r="D108" s="744">
        <f>IF(D19=0,0,D77/D19)</f>
        <v>2430.6541228129304</v>
      </c>
      <c r="E108" s="744">
        <f>IF(E19=0,0,E77/E19)</f>
        <v>2218.9741226561437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12015.700335938453</v>
      </c>
      <c r="D109" s="744">
        <f>IF(D20=0,0,D77/D20)</f>
        <v>12742.957627974287</v>
      </c>
      <c r="E109" s="744">
        <f>IF(E20=0,0,E77/E20)</f>
        <v>12740.543830664696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1540.661773925485</v>
      </c>
      <c r="D110" s="744">
        <f>IF(D22=0,0,D77/D22)</f>
        <v>1453.7142646888551</v>
      </c>
      <c r="E110" s="744">
        <f>IF(E22=0,0,E77/E22)</f>
        <v>1249.2920489603273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8071.613142887988</v>
      </c>
      <c r="D111" s="744">
        <f>IF(D23=0,0,D77/D23)</f>
        <v>7621.2485784171704</v>
      </c>
      <c r="E111" s="744">
        <f>IF(E23=0,0,E77/E23)</f>
        <v>7172.9813991825577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1057.4976756218889</v>
      </c>
      <c r="D112" s="744">
        <f>IF(D29=0,0,D77/D29)</f>
        <v>1016.3997692742888</v>
      </c>
      <c r="E112" s="744">
        <f>IF(E29=0,0,E77/E29)</f>
        <v>861.73414034046152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5540.2894272990325</v>
      </c>
      <c r="D113" s="744">
        <f>IF(D30=0,0,D77/D30)</f>
        <v>5328.5817473512761</v>
      </c>
      <c r="E113" s="744">
        <f>IF(E30=0,0,E77/E30)</f>
        <v>4947.7645878293688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5740304000</v>
      </c>
      <c r="D12" s="76">
        <v>8243053000</v>
      </c>
      <c r="E12" s="76">
        <f t="shared" ref="E12:E21" si="0">D12-C12</f>
        <v>2502749000</v>
      </c>
      <c r="F12" s="77">
        <f t="shared" ref="F12:F21" si="1">IF(C12=0,0,E12/C12)</f>
        <v>0.43599589847506331</v>
      </c>
    </row>
    <row r="13" spans="1:8" ht="23.1" customHeight="1" x14ac:dyDescent="0.2">
      <c r="A13" s="74">
        <v>2</v>
      </c>
      <c r="B13" s="75" t="s">
        <v>72</v>
      </c>
      <c r="C13" s="76">
        <v>3948050000</v>
      </c>
      <c r="D13" s="76">
        <v>5808321000</v>
      </c>
      <c r="E13" s="76">
        <f t="shared" si="0"/>
        <v>1860271000</v>
      </c>
      <c r="F13" s="77">
        <f t="shared" si="1"/>
        <v>0.47118729499373108</v>
      </c>
    </row>
    <row r="14" spans="1:8" ht="23.1" customHeight="1" x14ac:dyDescent="0.2">
      <c r="A14" s="74">
        <v>3</v>
      </c>
      <c r="B14" s="75" t="s">
        <v>73</v>
      </c>
      <c r="C14" s="76">
        <v>78983000</v>
      </c>
      <c r="D14" s="76">
        <v>87167000</v>
      </c>
      <c r="E14" s="76">
        <f t="shared" si="0"/>
        <v>8184000</v>
      </c>
      <c r="F14" s="77">
        <f t="shared" si="1"/>
        <v>0.10361723408834812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1713271000</v>
      </c>
      <c r="D16" s="79">
        <f>D12-D13-D14-D15</f>
        <v>2347565000</v>
      </c>
      <c r="E16" s="79">
        <f t="shared" si="0"/>
        <v>634294000</v>
      </c>
      <c r="F16" s="80">
        <f t="shared" si="1"/>
        <v>0.37022397507457955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64649000</v>
      </c>
      <c r="E17" s="76">
        <f t="shared" si="0"/>
        <v>64649000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1713271000</v>
      </c>
      <c r="D18" s="79">
        <f>D16-D17</f>
        <v>2282916000</v>
      </c>
      <c r="E18" s="79">
        <f t="shared" si="0"/>
        <v>569645000</v>
      </c>
      <c r="F18" s="80">
        <f t="shared" si="1"/>
        <v>0.33248972287513184</v>
      </c>
    </row>
    <row r="19" spans="1:7" ht="23.1" customHeight="1" x14ac:dyDescent="0.2">
      <c r="A19" s="74">
        <v>6</v>
      </c>
      <c r="B19" s="75" t="s">
        <v>78</v>
      </c>
      <c r="C19" s="76">
        <v>30905000</v>
      </c>
      <c r="D19" s="76">
        <v>45534000</v>
      </c>
      <c r="E19" s="76">
        <f t="shared" si="0"/>
        <v>14629000</v>
      </c>
      <c r="F19" s="77">
        <f t="shared" si="1"/>
        <v>0.47335382624170846</v>
      </c>
      <c r="G19" s="65"/>
    </row>
    <row r="20" spans="1:7" ht="33" customHeight="1" x14ac:dyDescent="0.2">
      <c r="A20" s="74">
        <v>7</v>
      </c>
      <c r="B20" s="82" t="s">
        <v>79</v>
      </c>
      <c r="C20" s="76">
        <v>16655000</v>
      </c>
      <c r="D20" s="76">
        <v>13099000</v>
      </c>
      <c r="E20" s="76">
        <f t="shared" si="0"/>
        <v>-3556000</v>
      </c>
      <c r="F20" s="77">
        <f t="shared" si="1"/>
        <v>-0.21350945661963375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1760831000</v>
      </c>
      <c r="D21" s="79">
        <f>SUM(D18:D20)</f>
        <v>2341549000</v>
      </c>
      <c r="E21" s="79">
        <f t="shared" si="0"/>
        <v>580718000</v>
      </c>
      <c r="F21" s="80">
        <f t="shared" si="1"/>
        <v>0.32979769211241738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585247000</v>
      </c>
      <c r="D24" s="76">
        <v>790282000</v>
      </c>
      <c r="E24" s="76">
        <f t="shared" ref="E24:E33" si="2">D24-C24</f>
        <v>205035000</v>
      </c>
      <c r="F24" s="77">
        <f t="shared" ref="F24:F33" si="3">IF(C24=0,0,E24/C24)</f>
        <v>0.35033925846693786</v>
      </c>
    </row>
    <row r="25" spans="1:7" ht="23.1" customHeight="1" x14ac:dyDescent="0.2">
      <c r="A25" s="74">
        <v>2</v>
      </c>
      <c r="B25" s="75" t="s">
        <v>83</v>
      </c>
      <c r="C25" s="76">
        <v>172016000</v>
      </c>
      <c r="D25" s="76">
        <v>235370000</v>
      </c>
      <c r="E25" s="76">
        <f t="shared" si="2"/>
        <v>63354000</v>
      </c>
      <c r="F25" s="77">
        <f t="shared" si="3"/>
        <v>0.36830294856292439</v>
      </c>
    </row>
    <row r="26" spans="1:7" ht="23.1" customHeight="1" x14ac:dyDescent="0.2">
      <c r="A26" s="74">
        <v>3</v>
      </c>
      <c r="B26" s="75" t="s">
        <v>84</v>
      </c>
      <c r="C26" s="76">
        <v>73815000</v>
      </c>
      <c r="D26" s="76">
        <v>81204000</v>
      </c>
      <c r="E26" s="76">
        <f t="shared" si="2"/>
        <v>7389000</v>
      </c>
      <c r="F26" s="77">
        <f t="shared" si="3"/>
        <v>0.10010160536476326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275216000</v>
      </c>
      <c r="D27" s="76">
        <v>377459000</v>
      </c>
      <c r="E27" s="76">
        <f t="shared" si="2"/>
        <v>102243000</v>
      </c>
      <c r="F27" s="77">
        <f t="shared" si="3"/>
        <v>0.37150093017847802</v>
      </c>
    </row>
    <row r="28" spans="1:7" ht="23.1" customHeight="1" x14ac:dyDescent="0.2">
      <c r="A28" s="74">
        <v>5</v>
      </c>
      <c r="B28" s="75" t="s">
        <v>86</v>
      </c>
      <c r="C28" s="76">
        <v>73101000</v>
      </c>
      <c r="D28" s="76">
        <v>107957000</v>
      </c>
      <c r="E28" s="76">
        <f t="shared" si="2"/>
        <v>34856000</v>
      </c>
      <c r="F28" s="77">
        <f t="shared" si="3"/>
        <v>0.47681974254798154</v>
      </c>
    </row>
    <row r="29" spans="1:7" ht="23.1" customHeight="1" x14ac:dyDescent="0.2">
      <c r="A29" s="74">
        <v>6</v>
      </c>
      <c r="B29" s="75" t="s">
        <v>87</v>
      </c>
      <c r="C29" s="76">
        <v>32622000</v>
      </c>
      <c r="D29" s="76">
        <v>0</v>
      </c>
      <c r="E29" s="76">
        <f t="shared" si="2"/>
        <v>-32622000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17720000</v>
      </c>
      <c r="D30" s="76">
        <v>23920000</v>
      </c>
      <c r="E30" s="76">
        <f t="shared" si="2"/>
        <v>6200000</v>
      </c>
      <c r="F30" s="77">
        <f t="shared" si="3"/>
        <v>0.34988713318284426</v>
      </c>
    </row>
    <row r="31" spans="1:7" ht="23.1" customHeight="1" x14ac:dyDescent="0.2">
      <c r="A31" s="74">
        <v>8</v>
      </c>
      <c r="B31" s="75" t="s">
        <v>89</v>
      </c>
      <c r="C31" s="76">
        <v>13056000</v>
      </c>
      <c r="D31" s="76">
        <v>16165000</v>
      </c>
      <c r="E31" s="76">
        <f t="shared" si="2"/>
        <v>3109000</v>
      </c>
      <c r="F31" s="77">
        <f t="shared" si="3"/>
        <v>0.2381280637254902</v>
      </c>
    </row>
    <row r="32" spans="1:7" ht="23.1" customHeight="1" x14ac:dyDescent="0.2">
      <c r="A32" s="74">
        <v>9</v>
      </c>
      <c r="B32" s="75" t="s">
        <v>90</v>
      </c>
      <c r="C32" s="76">
        <v>411458000</v>
      </c>
      <c r="D32" s="76">
        <v>604316000</v>
      </c>
      <c r="E32" s="76">
        <f t="shared" si="2"/>
        <v>192858000</v>
      </c>
      <c r="F32" s="77">
        <f t="shared" si="3"/>
        <v>0.46871855693655246</v>
      </c>
    </row>
    <row r="33" spans="1:6" ht="23.1" customHeight="1" x14ac:dyDescent="0.25">
      <c r="A33" s="71"/>
      <c r="B33" s="78" t="s">
        <v>91</v>
      </c>
      <c r="C33" s="79">
        <f>SUM(C24:C32)</f>
        <v>1654251000</v>
      </c>
      <c r="D33" s="79">
        <f>SUM(D24:D32)</f>
        <v>2236673000</v>
      </c>
      <c r="E33" s="79">
        <f t="shared" si="2"/>
        <v>582422000</v>
      </c>
      <c r="F33" s="80">
        <f t="shared" si="3"/>
        <v>0.3520759546163188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106580000</v>
      </c>
      <c r="D35" s="79">
        <f>+D21-D33</f>
        <v>104876000</v>
      </c>
      <c r="E35" s="79">
        <f>D35-C35</f>
        <v>-1704000</v>
      </c>
      <c r="F35" s="80">
        <f>IF(C35=0,0,E35/C35)</f>
        <v>-1.5987990242071683E-2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5959000</v>
      </c>
      <c r="D38" s="76">
        <v>7300000</v>
      </c>
      <c r="E38" s="76">
        <f>D38-C38</f>
        <v>1341000</v>
      </c>
      <c r="F38" s="77">
        <f>IF(C38=0,0,E38/C38)</f>
        <v>0.22503775801308945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-29862000</v>
      </c>
      <c r="D40" s="76">
        <v>16263000</v>
      </c>
      <c r="E40" s="76">
        <f>D40-C40</f>
        <v>46125000</v>
      </c>
      <c r="F40" s="77">
        <f>IF(C40=0,0,E40/C40)</f>
        <v>-1.5446051838456902</v>
      </c>
    </row>
    <row r="41" spans="1:6" ht="23.1" customHeight="1" x14ac:dyDescent="0.25">
      <c r="A41" s="83"/>
      <c r="B41" s="78" t="s">
        <v>97</v>
      </c>
      <c r="C41" s="79">
        <f>SUM(C38:C40)</f>
        <v>-23903000</v>
      </c>
      <c r="D41" s="79">
        <f>SUM(D38:D40)</f>
        <v>23563000</v>
      </c>
      <c r="E41" s="79">
        <f>D41-C41</f>
        <v>47466000</v>
      </c>
      <c r="F41" s="80">
        <f>IF(C41=0,0,E41/C41)</f>
        <v>-1.9857758440363134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82677000</v>
      </c>
      <c r="D43" s="79">
        <f>D35+D41</f>
        <v>128439000</v>
      </c>
      <c r="E43" s="79">
        <f>D43-C43</f>
        <v>45762000</v>
      </c>
      <c r="F43" s="80">
        <f>IF(C43=0,0,E43/C43)</f>
        <v>0.55350339272107119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47932000</v>
      </c>
      <c r="D46" s="76">
        <v>50283000</v>
      </c>
      <c r="E46" s="76">
        <f>D46-C46</f>
        <v>2351000</v>
      </c>
      <c r="F46" s="77">
        <f>IF(C46=0,0,E46/C46)</f>
        <v>4.90486522573646E-2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47932000</v>
      </c>
      <c r="D48" s="79">
        <f>SUM(D46:D47)</f>
        <v>50283000</v>
      </c>
      <c r="E48" s="79">
        <f>D48-C48</f>
        <v>2351000</v>
      </c>
      <c r="F48" s="80">
        <f>IF(C48=0,0,E48/C48)</f>
        <v>4.90486522573646E-2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130609000</v>
      </c>
      <c r="D50" s="79">
        <f>D43+D48</f>
        <v>178722000</v>
      </c>
      <c r="E50" s="79">
        <f>D50-C50</f>
        <v>48113000</v>
      </c>
      <c r="F50" s="80">
        <f>IF(C50=0,0,E50/C50)</f>
        <v>0.36837430804921562</v>
      </c>
    </row>
    <row r="51" spans="1:6" ht="23.1" customHeight="1" x14ac:dyDescent="0.2">
      <c r="A51" s="85"/>
      <c r="B51" s="75" t="s">
        <v>104</v>
      </c>
      <c r="C51" s="76">
        <v>10185000</v>
      </c>
      <c r="D51" s="76">
        <v>10640000</v>
      </c>
      <c r="E51" s="76">
        <f>D51-C51</f>
        <v>455000</v>
      </c>
      <c r="F51" s="77">
        <f>IF(C51=0,0,E51/C51)</f>
        <v>4.4673539518900345E-2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1041737485</v>
      </c>
      <c r="D14" s="113">
        <v>1511593859</v>
      </c>
      <c r="E14" s="113">
        <f t="shared" ref="E14:E25" si="0">D14-C14</f>
        <v>469856374</v>
      </c>
      <c r="F14" s="114">
        <f t="shared" ref="F14:F25" si="1">IF(C14=0,0,E14/C14)</f>
        <v>0.45103145539588602</v>
      </c>
    </row>
    <row r="15" spans="1:6" x14ac:dyDescent="0.2">
      <c r="A15" s="115">
        <v>2</v>
      </c>
      <c r="B15" s="116" t="s">
        <v>114</v>
      </c>
      <c r="C15" s="113">
        <v>227936238</v>
      </c>
      <c r="D15" s="113">
        <v>417417649</v>
      </c>
      <c r="E15" s="113">
        <f t="shared" si="0"/>
        <v>189481411</v>
      </c>
      <c r="F15" s="114">
        <f t="shared" si="1"/>
        <v>0.83129129734956841</v>
      </c>
    </row>
    <row r="16" spans="1:6" x14ac:dyDescent="0.2">
      <c r="A16" s="115">
        <v>3</v>
      </c>
      <c r="B16" s="116" t="s">
        <v>115</v>
      </c>
      <c r="C16" s="113">
        <v>834534148</v>
      </c>
      <c r="D16" s="113">
        <v>1155720092</v>
      </c>
      <c r="E16" s="113">
        <f t="shared" si="0"/>
        <v>321185944</v>
      </c>
      <c r="F16" s="114">
        <f t="shared" si="1"/>
        <v>0.38486854584649066</v>
      </c>
    </row>
    <row r="17" spans="1:6" x14ac:dyDescent="0.2">
      <c r="A17" s="115">
        <v>4</v>
      </c>
      <c r="B17" s="116" t="s">
        <v>116</v>
      </c>
      <c r="C17" s="113">
        <v>86357566</v>
      </c>
      <c r="D17" s="113">
        <v>0</v>
      </c>
      <c r="E17" s="113">
        <f t="shared" si="0"/>
        <v>-86357566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22354824</v>
      </c>
      <c r="D18" s="113">
        <v>25246609</v>
      </c>
      <c r="E18" s="113">
        <f t="shared" si="0"/>
        <v>2891785</v>
      </c>
      <c r="F18" s="114">
        <f t="shared" si="1"/>
        <v>0.12935843288231658</v>
      </c>
    </row>
    <row r="19" spans="1:6" x14ac:dyDescent="0.2">
      <c r="A19" s="115">
        <v>6</v>
      </c>
      <c r="B19" s="116" t="s">
        <v>118</v>
      </c>
      <c r="C19" s="113">
        <v>89049994</v>
      </c>
      <c r="D19" s="113">
        <v>115719898</v>
      </c>
      <c r="E19" s="113">
        <f t="shared" si="0"/>
        <v>26669904</v>
      </c>
      <c r="F19" s="114">
        <f t="shared" si="1"/>
        <v>0.29949360805122571</v>
      </c>
    </row>
    <row r="20" spans="1:6" x14ac:dyDescent="0.2">
      <c r="A20" s="115">
        <v>7</v>
      </c>
      <c r="B20" s="116" t="s">
        <v>119</v>
      </c>
      <c r="C20" s="113">
        <v>1073925016</v>
      </c>
      <c r="D20" s="113">
        <v>1344796494</v>
      </c>
      <c r="E20" s="113">
        <f t="shared" si="0"/>
        <v>270871478</v>
      </c>
      <c r="F20" s="114">
        <f t="shared" si="1"/>
        <v>0.25222568984276272</v>
      </c>
    </row>
    <row r="21" spans="1:6" x14ac:dyDescent="0.2">
      <c r="A21" s="115">
        <v>8</v>
      </c>
      <c r="B21" s="116" t="s">
        <v>120</v>
      </c>
      <c r="C21" s="113">
        <v>15293969</v>
      </c>
      <c r="D21" s="113">
        <v>22975395</v>
      </c>
      <c r="E21" s="113">
        <f t="shared" si="0"/>
        <v>7681426</v>
      </c>
      <c r="F21" s="114">
        <f t="shared" si="1"/>
        <v>0.5022519661181476</v>
      </c>
    </row>
    <row r="22" spans="1:6" x14ac:dyDescent="0.2">
      <c r="A22" s="115">
        <v>9</v>
      </c>
      <c r="B22" s="116" t="s">
        <v>121</v>
      </c>
      <c r="C22" s="113">
        <v>41945010</v>
      </c>
      <c r="D22" s="113">
        <v>47404499</v>
      </c>
      <c r="E22" s="113">
        <f t="shared" si="0"/>
        <v>5459489</v>
      </c>
      <c r="F22" s="114">
        <f t="shared" si="1"/>
        <v>0.13015824766760098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3433134250</v>
      </c>
      <c r="D25" s="119">
        <f>SUM(D14:D24)</f>
        <v>4640874495</v>
      </c>
      <c r="E25" s="119">
        <f t="shared" si="0"/>
        <v>1207740245</v>
      </c>
      <c r="F25" s="120">
        <f t="shared" si="1"/>
        <v>0.35178940206023113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604211478</v>
      </c>
      <c r="D27" s="113">
        <v>998159164</v>
      </c>
      <c r="E27" s="113">
        <f t="shared" ref="E27:E38" si="2">D27-C27</f>
        <v>393947686</v>
      </c>
      <c r="F27" s="114">
        <f t="shared" ref="F27:F38" si="3">IF(C27=0,0,E27/C27)</f>
        <v>0.65200298296882075</v>
      </c>
    </row>
    <row r="28" spans="1:6" x14ac:dyDescent="0.2">
      <c r="A28" s="115">
        <v>2</v>
      </c>
      <c r="B28" s="116" t="s">
        <v>114</v>
      </c>
      <c r="C28" s="113">
        <v>146752182</v>
      </c>
      <c r="D28" s="113">
        <v>272010248</v>
      </c>
      <c r="E28" s="113">
        <f t="shared" si="2"/>
        <v>125258066</v>
      </c>
      <c r="F28" s="114">
        <f t="shared" si="3"/>
        <v>0.85353460706976059</v>
      </c>
    </row>
    <row r="29" spans="1:6" x14ac:dyDescent="0.2">
      <c r="A29" s="115">
        <v>3</v>
      </c>
      <c r="B29" s="116" t="s">
        <v>115</v>
      </c>
      <c r="C29" s="113">
        <v>374605311</v>
      </c>
      <c r="D29" s="113">
        <v>653663080</v>
      </c>
      <c r="E29" s="113">
        <f t="shared" si="2"/>
        <v>279057769</v>
      </c>
      <c r="F29" s="114">
        <f t="shared" si="3"/>
        <v>0.74493810099771918</v>
      </c>
    </row>
    <row r="30" spans="1:6" x14ac:dyDescent="0.2">
      <c r="A30" s="115">
        <v>4</v>
      </c>
      <c r="B30" s="116" t="s">
        <v>116</v>
      </c>
      <c r="C30" s="113">
        <v>45939569</v>
      </c>
      <c r="D30" s="113">
        <v>0</v>
      </c>
      <c r="E30" s="113">
        <f t="shared" si="2"/>
        <v>-45939569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10096397</v>
      </c>
      <c r="D31" s="113">
        <v>15430638</v>
      </c>
      <c r="E31" s="113">
        <f t="shared" si="2"/>
        <v>5334241</v>
      </c>
      <c r="F31" s="114">
        <f t="shared" si="3"/>
        <v>0.52833114624949873</v>
      </c>
    </row>
    <row r="32" spans="1:6" x14ac:dyDescent="0.2">
      <c r="A32" s="115">
        <v>6</v>
      </c>
      <c r="B32" s="116" t="s">
        <v>118</v>
      </c>
      <c r="C32" s="113">
        <v>52004548</v>
      </c>
      <c r="D32" s="113">
        <v>115707599</v>
      </c>
      <c r="E32" s="113">
        <f t="shared" si="2"/>
        <v>63703051</v>
      </c>
      <c r="F32" s="114">
        <f t="shared" si="3"/>
        <v>1.2249515369309623</v>
      </c>
    </row>
    <row r="33" spans="1:6" x14ac:dyDescent="0.2">
      <c r="A33" s="115">
        <v>7</v>
      </c>
      <c r="B33" s="116" t="s">
        <v>119</v>
      </c>
      <c r="C33" s="113">
        <v>989062314</v>
      </c>
      <c r="D33" s="113">
        <v>1415864727</v>
      </c>
      <c r="E33" s="113">
        <f t="shared" si="2"/>
        <v>426802413</v>
      </c>
      <c r="F33" s="114">
        <f t="shared" si="3"/>
        <v>0.43152226807015925</v>
      </c>
    </row>
    <row r="34" spans="1:6" x14ac:dyDescent="0.2">
      <c r="A34" s="115">
        <v>8</v>
      </c>
      <c r="B34" s="116" t="s">
        <v>120</v>
      </c>
      <c r="C34" s="113">
        <v>9413363</v>
      </c>
      <c r="D34" s="113">
        <v>17565203</v>
      </c>
      <c r="E34" s="113">
        <f t="shared" si="2"/>
        <v>8151840</v>
      </c>
      <c r="F34" s="114">
        <f t="shared" si="3"/>
        <v>0.86598593935026191</v>
      </c>
    </row>
    <row r="35" spans="1:6" x14ac:dyDescent="0.2">
      <c r="A35" s="115">
        <v>9</v>
      </c>
      <c r="B35" s="116" t="s">
        <v>121</v>
      </c>
      <c r="C35" s="113">
        <v>75084664</v>
      </c>
      <c r="D35" s="113">
        <v>113777717</v>
      </c>
      <c r="E35" s="113">
        <f t="shared" si="2"/>
        <v>38693053</v>
      </c>
      <c r="F35" s="114">
        <f t="shared" si="3"/>
        <v>0.51532564625980082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2307169826</v>
      </c>
      <c r="D38" s="119">
        <f>SUM(D27:D37)</f>
        <v>3602178376</v>
      </c>
      <c r="E38" s="119">
        <f t="shared" si="2"/>
        <v>1295008550</v>
      </c>
      <c r="F38" s="120">
        <f t="shared" si="3"/>
        <v>0.5612974543123207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1645948963</v>
      </c>
      <c r="D41" s="119">
        <f t="shared" si="4"/>
        <v>2509753023</v>
      </c>
      <c r="E41" s="123">
        <f t="shared" ref="E41:E52" si="5">D41-C41</f>
        <v>863804060</v>
      </c>
      <c r="F41" s="124">
        <f t="shared" ref="F41:F52" si="6">IF(C41=0,0,E41/C41)</f>
        <v>0.52480610238702763</v>
      </c>
    </row>
    <row r="42" spans="1:6" ht="15.75" x14ac:dyDescent="0.25">
      <c r="A42" s="121">
        <v>2</v>
      </c>
      <c r="B42" s="122" t="s">
        <v>114</v>
      </c>
      <c r="C42" s="119">
        <f t="shared" si="4"/>
        <v>374688420</v>
      </c>
      <c r="D42" s="119">
        <f t="shared" si="4"/>
        <v>689427897</v>
      </c>
      <c r="E42" s="123">
        <f t="shared" si="5"/>
        <v>314739477</v>
      </c>
      <c r="F42" s="124">
        <f t="shared" si="6"/>
        <v>0.8400032138703406</v>
      </c>
    </row>
    <row r="43" spans="1:6" ht="15.75" x14ac:dyDescent="0.25">
      <c r="A43" s="121">
        <v>3</v>
      </c>
      <c r="B43" s="122" t="s">
        <v>115</v>
      </c>
      <c r="C43" s="119">
        <f t="shared" si="4"/>
        <v>1209139459</v>
      </c>
      <c r="D43" s="119">
        <f t="shared" si="4"/>
        <v>1809383172</v>
      </c>
      <c r="E43" s="123">
        <f t="shared" si="5"/>
        <v>600243713</v>
      </c>
      <c r="F43" s="124">
        <f t="shared" si="6"/>
        <v>0.49642223527832119</v>
      </c>
    </row>
    <row r="44" spans="1:6" ht="15.75" x14ac:dyDescent="0.25">
      <c r="A44" s="121">
        <v>4</v>
      </c>
      <c r="B44" s="122" t="s">
        <v>116</v>
      </c>
      <c r="C44" s="119">
        <f t="shared" si="4"/>
        <v>132297135</v>
      </c>
      <c r="D44" s="119">
        <f t="shared" si="4"/>
        <v>0</v>
      </c>
      <c r="E44" s="123">
        <f t="shared" si="5"/>
        <v>-132297135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32451221</v>
      </c>
      <c r="D45" s="119">
        <f t="shared" si="4"/>
        <v>40677247</v>
      </c>
      <c r="E45" s="123">
        <f t="shared" si="5"/>
        <v>8226026</v>
      </c>
      <c r="F45" s="124">
        <f t="shared" si="6"/>
        <v>0.25348895192572263</v>
      </c>
    </row>
    <row r="46" spans="1:6" ht="15.75" x14ac:dyDescent="0.25">
      <c r="A46" s="121">
        <v>6</v>
      </c>
      <c r="B46" s="122" t="s">
        <v>118</v>
      </c>
      <c r="C46" s="119">
        <f t="shared" si="4"/>
        <v>141054542</v>
      </c>
      <c r="D46" s="119">
        <f t="shared" si="4"/>
        <v>231427497</v>
      </c>
      <c r="E46" s="123">
        <f t="shared" si="5"/>
        <v>90372955</v>
      </c>
      <c r="F46" s="124">
        <f t="shared" si="6"/>
        <v>0.64069510785409522</v>
      </c>
    </row>
    <row r="47" spans="1:6" ht="15.75" x14ac:dyDescent="0.25">
      <c r="A47" s="121">
        <v>7</v>
      </c>
      <c r="B47" s="122" t="s">
        <v>119</v>
      </c>
      <c r="C47" s="119">
        <f t="shared" si="4"/>
        <v>2062987330</v>
      </c>
      <c r="D47" s="119">
        <f t="shared" si="4"/>
        <v>2760661221</v>
      </c>
      <c r="E47" s="123">
        <f t="shared" si="5"/>
        <v>697673891</v>
      </c>
      <c r="F47" s="124">
        <f t="shared" si="6"/>
        <v>0.33818622191925918</v>
      </c>
    </row>
    <row r="48" spans="1:6" ht="15.75" x14ac:dyDescent="0.25">
      <c r="A48" s="121">
        <v>8</v>
      </c>
      <c r="B48" s="122" t="s">
        <v>120</v>
      </c>
      <c r="C48" s="119">
        <f t="shared" si="4"/>
        <v>24707332</v>
      </c>
      <c r="D48" s="119">
        <f t="shared" si="4"/>
        <v>40540598</v>
      </c>
      <c r="E48" s="123">
        <f t="shared" si="5"/>
        <v>15833266</v>
      </c>
      <c r="F48" s="124">
        <f t="shared" si="6"/>
        <v>0.64083268885527589</v>
      </c>
    </row>
    <row r="49" spans="1:6" ht="15.75" x14ac:dyDescent="0.25">
      <c r="A49" s="121">
        <v>9</v>
      </c>
      <c r="B49" s="122" t="s">
        <v>121</v>
      </c>
      <c r="C49" s="119">
        <f t="shared" si="4"/>
        <v>117029674</v>
      </c>
      <c r="D49" s="119">
        <f t="shared" si="4"/>
        <v>161182216</v>
      </c>
      <c r="E49" s="123">
        <f t="shared" si="5"/>
        <v>44152542</v>
      </c>
      <c r="F49" s="124">
        <f t="shared" si="6"/>
        <v>0.37727646750515598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5740304076</v>
      </c>
      <c r="D52" s="128">
        <f>SUM(D41:D51)</f>
        <v>8243052871</v>
      </c>
      <c r="E52" s="127">
        <f t="shared" si="5"/>
        <v>2502748795</v>
      </c>
      <c r="F52" s="129">
        <f t="shared" si="6"/>
        <v>0.43599585699020726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289960565</v>
      </c>
      <c r="D57" s="113">
        <v>418338611</v>
      </c>
      <c r="E57" s="113">
        <f t="shared" ref="E57:E68" si="7">D57-C57</f>
        <v>128378046</v>
      </c>
      <c r="F57" s="114">
        <f t="shared" ref="F57:F68" si="8">IF(C57=0,0,E57/C57)</f>
        <v>0.44274312267256066</v>
      </c>
    </row>
    <row r="58" spans="1:6" x14ac:dyDescent="0.2">
      <c r="A58" s="115">
        <v>2</v>
      </c>
      <c r="B58" s="116" t="s">
        <v>114</v>
      </c>
      <c r="C58" s="113">
        <v>71000024</v>
      </c>
      <c r="D58" s="113">
        <v>120378904</v>
      </c>
      <c r="E58" s="113">
        <f t="shared" si="7"/>
        <v>49378880</v>
      </c>
      <c r="F58" s="114">
        <f t="shared" si="8"/>
        <v>0.69547694800779225</v>
      </c>
    </row>
    <row r="59" spans="1:6" x14ac:dyDescent="0.2">
      <c r="A59" s="115">
        <v>3</v>
      </c>
      <c r="B59" s="116" t="s">
        <v>115</v>
      </c>
      <c r="C59" s="113">
        <v>139322054</v>
      </c>
      <c r="D59" s="113">
        <v>187684822</v>
      </c>
      <c r="E59" s="113">
        <f t="shared" si="7"/>
        <v>48362768</v>
      </c>
      <c r="F59" s="114">
        <f t="shared" si="8"/>
        <v>0.34712930660640418</v>
      </c>
    </row>
    <row r="60" spans="1:6" x14ac:dyDescent="0.2">
      <c r="A60" s="115">
        <v>4</v>
      </c>
      <c r="B60" s="116" t="s">
        <v>116</v>
      </c>
      <c r="C60" s="113">
        <v>12984520</v>
      </c>
      <c r="D60" s="113">
        <v>0</v>
      </c>
      <c r="E60" s="113">
        <f t="shared" si="7"/>
        <v>-12984520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4592608</v>
      </c>
      <c r="D61" s="113">
        <v>4797029</v>
      </c>
      <c r="E61" s="113">
        <f t="shared" si="7"/>
        <v>204421</v>
      </c>
      <c r="F61" s="114">
        <f t="shared" si="8"/>
        <v>4.4510874866742385E-2</v>
      </c>
    </row>
    <row r="62" spans="1:6" x14ac:dyDescent="0.2">
      <c r="A62" s="115">
        <v>6</v>
      </c>
      <c r="B62" s="116" t="s">
        <v>118</v>
      </c>
      <c r="C62" s="113">
        <v>31470418</v>
      </c>
      <c r="D62" s="113">
        <v>47819948</v>
      </c>
      <c r="E62" s="113">
        <f t="shared" si="7"/>
        <v>16349530</v>
      </c>
      <c r="F62" s="114">
        <f t="shared" si="8"/>
        <v>0.51952058596743134</v>
      </c>
    </row>
    <row r="63" spans="1:6" x14ac:dyDescent="0.2">
      <c r="A63" s="115">
        <v>7</v>
      </c>
      <c r="B63" s="116" t="s">
        <v>119</v>
      </c>
      <c r="C63" s="113">
        <v>397192671</v>
      </c>
      <c r="D63" s="113">
        <v>496680697</v>
      </c>
      <c r="E63" s="113">
        <f t="shared" si="7"/>
        <v>99488026</v>
      </c>
      <c r="F63" s="114">
        <f t="shared" si="8"/>
        <v>0.2504780003858631</v>
      </c>
    </row>
    <row r="64" spans="1:6" x14ac:dyDescent="0.2">
      <c r="A64" s="115">
        <v>8</v>
      </c>
      <c r="B64" s="116" t="s">
        <v>120</v>
      </c>
      <c r="C64" s="113">
        <v>9049273</v>
      </c>
      <c r="D64" s="113">
        <v>9927679</v>
      </c>
      <c r="E64" s="113">
        <f t="shared" si="7"/>
        <v>878406</v>
      </c>
      <c r="F64" s="114">
        <f t="shared" si="8"/>
        <v>9.7069234180469519E-2</v>
      </c>
    </row>
    <row r="65" spans="1:6" x14ac:dyDescent="0.2">
      <c r="A65" s="115">
        <v>9</v>
      </c>
      <c r="B65" s="116" t="s">
        <v>121</v>
      </c>
      <c r="C65" s="113">
        <v>5452129</v>
      </c>
      <c r="D65" s="113">
        <v>6033320</v>
      </c>
      <c r="E65" s="113">
        <f t="shared" si="7"/>
        <v>581191</v>
      </c>
      <c r="F65" s="114">
        <f t="shared" si="8"/>
        <v>0.10659890842641472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961024262</v>
      </c>
      <c r="D68" s="119">
        <f>SUM(D57:D67)</f>
        <v>1291661010</v>
      </c>
      <c r="E68" s="119">
        <f t="shared" si="7"/>
        <v>330636748</v>
      </c>
      <c r="F68" s="120">
        <f t="shared" si="8"/>
        <v>0.34404620265455899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96132551</v>
      </c>
      <c r="D70" s="113">
        <v>134929616</v>
      </c>
      <c r="E70" s="113">
        <f t="shared" ref="E70:E81" si="9">D70-C70</f>
        <v>38797065</v>
      </c>
      <c r="F70" s="114">
        <f t="shared" ref="F70:F81" si="10">IF(C70=0,0,E70/C70)</f>
        <v>0.40357885644790598</v>
      </c>
    </row>
    <row r="71" spans="1:6" x14ac:dyDescent="0.2">
      <c r="A71" s="115">
        <v>2</v>
      </c>
      <c r="B71" s="116" t="s">
        <v>114</v>
      </c>
      <c r="C71" s="113">
        <v>25878030</v>
      </c>
      <c r="D71" s="113">
        <v>42306504</v>
      </c>
      <c r="E71" s="113">
        <f t="shared" si="9"/>
        <v>16428474</v>
      </c>
      <c r="F71" s="114">
        <f t="shared" si="10"/>
        <v>0.63484252858505841</v>
      </c>
    </row>
    <row r="72" spans="1:6" x14ac:dyDescent="0.2">
      <c r="A72" s="115">
        <v>3</v>
      </c>
      <c r="B72" s="116" t="s">
        <v>115</v>
      </c>
      <c r="C72" s="113">
        <v>90006344</v>
      </c>
      <c r="D72" s="113">
        <v>149393789</v>
      </c>
      <c r="E72" s="113">
        <f t="shared" si="9"/>
        <v>59387445</v>
      </c>
      <c r="F72" s="114">
        <f t="shared" si="10"/>
        <v>0.65981399044494016</v>
      </c>
    </row>
    <row r="73" spans="1:6" x14ac:dyDescent="0.2">
      <c r="A73" s="115">
        <v>4</v>
      </c>
      <c r="B73" s="116" t="s">
        <v>116</v>
      </c>
      <c r="C73" s="113">
        <v>12521234</v>
      </c>
      <c r="D73" s="113">
        <v>0</v>
      </c>
      <c r="E73" s="113">
        <f t="shared" si="9"/>
        <v>-12521234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1701828</v>
      </c>
      <c r="D74" s="113">
        <v>1970886</v>
      </c>
      <c r="E74" s="113">
        <f t="shared" si="9"/>
        <v>269058</v>
      </c>
      <c r="F74" s="114">
        <f t="shared" si="10"/>
        <v>0.15809940840084896</v>
      </c>
    </row>
    <row r="75" spans="1:6" x14ac:dyDescent="0.2">
      <c r="A75" s="115">
        <v>6</v>
      </c>
      <c r="B75" s="116" t="s">
        <v>118</v>
      </c>
      <c r="C75" s="113">
        <v>26006639</v>
      </c>
      <c r="D75" s="113">
        <v>51309655</v>
      </c>
      <c r="E75" s="113">
        <f t="shared" si="9"/>
        <v>25303016</v>
      </c>
      <c r="F75" s="114">
        <f t="shared" si="10"/>
        <v>0.97294448544465895</v>
      </c>
    </row>
    <row r="76" spans="1:6" x14ac:dyDescent="0.2">
      <c r="A76" s="115">
        <v>7</v>
      </c>
      <c r="B76" s="116" t="s">
        <v>119</v>
      </c>
      <c r="C76" s="113">
        <v>430252026</v>
      </c>
      <c r="D76" s="113">
        <v>594813395</v>
      </c>
      <c r="E76" s="113">
        <f t="shared" si="9"/>
        <v>164561369</v>
      </c>
      <c r="F76" s="114">
        <f t="shared" si="10"/>
        <v>0.38247668588549538</v>
      </c>
    </row>
    <row r="77" spans="1:6" x14ac:dyDescent="0.2">
      <c r="A77" s="115">
        <v>8</v>
      </c>
      <c r="B77" s="116" t="s">
        <v>120</v>
      </c>
      <c r="C77" s="113">
        <v>5626562</v>
      </c>
      <c r="D77" s="113">
        <v>7903155</v>
      </c>
      <c r="E77" s="113">
        <f t="shared" si="9"/>
        <v>2276593</v>
      </c>
      <c r="F77" s="114">
        <f t="shared" si="10"/>
        <v>0.4046152872748936</v>
      </c>
    </row>
    <row r="78" spans="1:6" x14ac:dyDescent="0.2">
      <c r="A78" s="115">
        <v>9</v>
      </c>
      <c r="B78" s="116" t="s">
        <v>121</v>
      </c>
      <c r="C78" s="113">
        <v>5654176</v>
      </c>
      <c r="D78" s="113">
        <v>6485741</v>
      </c>
      <c r="E78" s="113">
        <f t="shared" si="9"/>
        <v>831565</v>
      </c>
      <c r="F78" s="114">
        <f t="shared" si="10"/>
        <v>0.1470709436706604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693779390</v>
      </c>
      <c r="D81" s="119">
        <f>SUM(D70:D80)</f>
        <v>989112741</v>
      </c>
      <c r="E81" s="119">
        <f t="shared" si="9"/>
        <v>295333351</v>
      </c>
      <c r="F81" s="120">
        <f t="shared" si="10"/>
        <v>0.42568769735290063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386093116</v>
      </c>
      <c r="D84" s="119">
        <f t="shared" si="11"/>
        <v>553268227</v>
      </c>
      <c r="E84" s="119">
        <f t="shared" ref="E84:E95" si="12">D84-C84</f>
        <v>167175111</v>
      </c>
      <c r="F84" s="120">
        <f t="shared" ref="F84:F95" si="13">IF(C84=0,0,E84/C84)</f>
        <v>0.43299169053301639</v>
      </c>
    </row>
    <row r="85" spans="1:6" ht="15.75" x14ac:dyDescent="0.25">
      <c r="A85" s="130">
        <v>2</v>
      </c>
      <c r="B85" s="122" t="s">
        <v>114</v>
      </c>
      <c r="C85" s="119">
        <f t="shared" si="11"/>
        <v>96878054</v>
      </c>
      <c r="D85" s="119">
        <f t="shared" si="11"/>
        <v>162685408</v>
      </c>
      <c r="E85" s="119">
        <f t="shared" si="12"/>
        <v>65807354</v>
      </c>
      <c r="F85" s="120">
        <f t="shared" si="13"/>
        <v>0.67928030428852337</v>
      </c>
    </row>
    <row r="86" spans="1:6" ht="15.75" x14ac:dyDescent="0.25">
      <c r="A86" s="130">
        <v>3</v>
      </c>
      <c r="B86" s="122" t="s">
        <v>115</v>
      </c>
      <c r="C86" s="119">
        <f t="shared" si="11"/>
        <v>229328398</v>
      </c>
      <c r="D86" s="119">
        <f t="shared" si="11"/>
        <v>337078611</v>
      </c>
      <c r="E86" s="119">
        <f t="shared" si="12"/>
        <v>107750213</v>
      </c>
      <c r="F86" s="120">
        <f t="shared" si="13"/>
        <v>0.46985115641892722</v>
      </c>
    </row>
    <row r="87" spans="1:6" ht="15.75" x14ac:dyDescent="0.25">
      <c r="A87" s="130">
        <v>4</v>
      </c>
      <c r="B87" s="122" t="s">
        <v>116</v>
      </c>
      <c r="C87" s="119">
        <f t="shared" si="11"/>
        <v>25505754</v>
      </c>
      <c r="D87" s="119">
        <f t="shared" si="11"/>
        <v>0</v>
      </c>
      <c r="E87" s="119">
        <f t="shared" si="12"/>
        <v>-25505754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6294436</v>
      </c>
      <c r="D88" s="119">
        <f t="shared" si="11"/>
        <v>6767915</v>
      </c>
      <c r="E88" s="119">
        <f t="shared" si="12"/>
        <v>473479</v>
      </c>
      <c r="F88" s="120">
        <f t="shared" si="13"/>
        <v>7.5221830835995471E-2</v>
      </c>
    </row>
    <row r="89" spans="1:6" ht="15.75" x14ac:dyDescent="0.25">
      <c r="A89" s="130">
        <v>6</v>
      </c>
      <c r="B89" s="122" t="s">
        <v>118</v>
      </c>
      <c r="C89" s="119">
        <f t="shared" si="11"/>
        <v>57477057</v>
      </c>
      <c r="D89" s="119">
        <f t="shared" si="11"/>
        <v>99129603</v>
      </c>
      <c r="E89" s="119">
        <f t="shared" si="12"/>
        <v>41652546</v>
      </c>
      <c r="F89" s="120">
        <f t="shared" si="13"/>
        <v>0.72468125847153242</v>
      </c>
    </row>
    <row r="90" spans="1:6" ht="15.75" x14ac:dyDescent="0.25">
      <c r="A90" s="130">
        <v>7</v>
      </c>
      <c r="B90" s="122" t="s">
        <v>119</v>
      </c>
      <c r="C90" s="119">
        <f t="shared" si="11"/>
        <v>827444697</v>
      </c>
      <c r="D90" s="119">
        <f t="shared" si="11"/>
        <v>1091494092</v>
      </c>
      <c r="E90" s="119">
        <f t="shared" si="12"/>
        <v>264049395</v>
      </c>
      <c r="F90" s="120">
        <f t="shared" si="13"/>
        <v>0.31911425132983839</v>
      </c>
    </row>
    <row r="91" spans="1:6" ht="15.75" x14ac:dyDescent="0.25">
      <c r="A91" s="130">
        <v>8</v>
      </c>
      <c r="B91" s="122" t="s">
        <v>120</v>
      </c>
      <c r="C91" s="119">
        <f t="shared" si="11"/>
        <v>14675835</v>
      </c>
      <c r="D91" s="119">
        <f t="shared" si="11"/>
        <v>17830834</v>
      </c>
      <c r="E91" s="119">
        <f t="shared" si="12"/>
        <v>3154999</v>
      </c>
      <c r="F91" s="120">
        <f t="shared" si="13"/>
        <v>0.21497918176376335</v>
      </c>
    </row>
    <row r="92" spans="1:6" ht="15.75" x14ac:dyDescent="0.25">
      <c r="A92" s="130">
        <v>9</v>
      </c>
      <c r="B92" s="122" t="s">
        <v>121</v>
      </c>
      <c r="C92" s="119">
        <f t="shared" si="11"/>
        <v>11106305</v>
      </c>
      <c r="D92" s="119">
        <f t="shared" si="11"/>
        <v>12519061</v>
      </c>
      <c r="E92" s="119">
        <f t="shared" si="12"/>
        <v>1412756</v>
      </c>
      <c r="F92" s="120">
        <f t="shared" si="13"/>
        <v>0.12720306168433157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1654803652</v>
      </c>
      <c r="D95" s="128">
        <f>SUM(D84:D94)</f>
        <v>2280773751</v>
      </c>
      <c r="E95" s="128">
        <f t="shared" si="12"/>
        <v>625970099</v>
      </c>
      <c r="F95" s="129">
        <f t="shared" si="13"/>
        <v>0.37827454528726168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14718</v>
      </c>
      <c r="D100" s="133">
        <v>22329</v>
      </c>
      <c r="E100" s="133">
        <f t="shared" ref="E100:E111" si="14">D100-C100</f>
        <v>7611</v>
      </c>
      <c r="F100" s="114">
        <f t="shared" ref="F100:F111" si="15">IF(C100=0,0,E100/C100)</f>
        <v>0.51712189156135346</v>
      </c>
    </row>
    <row r="101" spans="1:6" x14ac:dyDescent="0.2">
      <c r="A101" s="115">
        <v>2</v>
      </c>
      <c r="B101" s="116" t="s">
        <v>114</v>
      </c>
      <c r="C101" s="133">
        <v>3382</v>
      </c>
      <c r="D101" s="133">
        <v>6304</v>
      </c>
      <c r="E101" s="133">
        <f t="shared" si="14"/>
        <v>2922</v>
      </c>
      <c r="F101" s="114">
        <f t="shared" si="15"/>
        <v>0.86398580721466589</v>
      </c>
    </row>
    <row r="102" spans="1:6" x14ac:dyDescent="0.2">
      <c r="A102" s="115">
        <v>3</v>
      </c>
      <c r="B102" s="116" t="s">
        <v>115</v>
      </c>
      <c r="C102" s="133">
        <v>15444</v>
      </c>
      <c r="D102" s="133">
        <v>23006</v>
      </c>
      <c r="E102" s="133">
        <f t="shared" si="14"/>
        <v>7562</v>
      </c>
      <c r="F102" s="114">
        <f t="shared" si="15"/>
        <v>0.48963998963998961</v>
      </c>
    </row>
    <row r="103" spans="1:6" x14ac:dyDescent="0.2">
      <c r="A103" s="115">
        <v>4</v>
      </c>
      <c r="B103" s="116" t="s">
        <v>116</v>
      </c>
      <c r="C103" s="133">
        <v>1850</v>
      </c>
      <c r="D103" s="133">
        <v>0</v>
      </c>
      <c r="E103" s="133">
        <f t="shared" si="14"/>
        <v>-1850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382</v>
      </c>
      <c r="D104" s="133">
        <v>448</v>
      </c>
      <c r="E104" s="133">
        <f t="shared" si="14"/>
        <v>66</v>
      </c>
      <c r="F104" s="114">
        <f t="shared" si="15"/>
        <v>0.17277486910994763</v>
      </c>
    </row>
    <row r="105" spans="1:6" x14ac:dyDescent="0.2">
      <c r="A105" s="115">
        <v>6</v>
      </c>
      <c r="B105" s="116" t="s">
        <v>118</v>
      </c>
      <c r="C105" s="133">
        <v>1164</v>
      </c>
      <c r="D105" s="133">
        <v>1993</v>
      </c>
      <c r="E105" s="133">
        <f t="shared" si="14"/>
        <v>829</v>
      </c>
      <c r="F105" s="114">
        <f t="shared" si="15"/>
        <v>0.71219931271477666</v>
      </c>
    </row>
    <row r="106" spans="1:6" x14ac:dyDescent="0.2">
      <c r="A106" s="115">
        <v>7</v>
      </c>
      <c r="B106" s="116" t="s">
        <v>119</v>
      </c>
      <c r="C106" s="133">
        <v>21284</v>
      </c>
      <c r="D106" s="133">
        <v>25192</v>
      </c>
      <c r="E106" s="133">
        <f t="shared" si="14"/>
        <v>3908</v>
      </c>
      <c r="F106" s="114">
        <f t="shared" si="15"/>
        <v>0.18361210298816011</v>
      </c>
    </row>
    <row r="107" spans="1:6" x14ac:dyDescent="0.2">
      <c r="A107" s="115">
        <v>8</v>
      </c>
      <c r="B107" s="116" t="s">
        <v>120</v>
      </c>
      <c r="C107" s="133">
        <v>225</v>
      </c>
      <c r="D107" s="133">
        <v>346</v>
      </c>
      <c r="E107" s="133">
        <f t="shared" si="14"/>
        <v>121</v>
      </c>
      <c r="F107" s="114">
        <f t="shared" si="15"/>
        <v>0.5377777777777778</v>
      </c>
    </row>
    <row r="108" spans="1:6" x14ac:dyDescent="0.2">
      <c r="A108" s="115">
        <v>9</v>
      </c>
      <c r="B108" s="116" t="s">
        <v>121</v>
      </c>
      <c r="C108" s="133">
        <v>977</v>
      </c>
      <c r="D108" s="133">
        <v>885</v>
      </c>
      <c r="E108" s="133">
        <f t="shared" si="14"/>
        <v>-92</v>
      </c>
      <c r="F108" s="114">
        <f t="shared" si="15"/>
        <v>-9.4165813715455474E-2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59426</v>
      </c>
      <c r="D111" s="134">
        <f>SUM(D100:D110)</f>
        <v>80503</v>
      </c>
      <c r="E111" s="134">
        <f t="shared" si="14"/>
        <v>21077</v>
      </c>
      <c r="F111" s="120">
        <f t="shared" si="15"/>
        <v>0.35467640426749236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92847</v>
      </c>
      <c r="D113" s="133">
        <v>153017</v>
      </c>
      <c r="E113" s="133">
        <f t="shared" ref="E113:E124" si="16">D113-C113</f>
        <v>60170</v>
      </c>
      <c r="F113" s="114">
        <f t="shared" ref="F113:F124" si="17">IF(C113=0,0,E113/C113)</f>
        <v>0.64805540297478648</v>
      </c>
    </row>
    <row r="114" spans="1:6" x14ac:dyDescent="0.2">
      <c r="A114" s="115">
        <v>2</v>
      </c>
      <c r="B114" s="116" t="s">
        <v>114</v>
      </c>
      <c r="C114" s="133">
        <v>19077</v>
      </c>
      <c r="D114" s="133">
        <v>39133</v>
      </c>
      <c r="E114" s="133">
        <f t="shared" si="16"/>
        <v>20056</v>
      </c>
      <c r="F114" s="114">
        <f t="shared" si="17"/>
        <v>1.0513183414583005</v>
      </c>
    </row>
    <row r="115" spans="1:6" x14ac:dyDescent="0.2">
      <c r="A115" s="115">
        <v>3</v>
      </c>
      <c r="B115" s="116" t="s">
        <v>115</v>
      </c>
      <c r="C115" s="133">
        <v>88003</v>
      </c>
      <c r="D115" s="133">
        <v>132732</v>
      </c>
      <c r="E115" s="133">
        <f t="shared" si="16"/>
        <v>44729</v>
      </c>
      <c r="F115" s="114">
        <f t="shared" si="17"/>
        <v>0.50826676363305801</v>
      </c>
    </row>
    <row r="116" spans="1:6" x14ac:dyDescent="0.2">
      <c r="A116" s="115">
        <v>4</v>
      </c>
      <c r="B116" s="116" t="s">
        <v>116</v>
      </c>
      <c r="C116" s="133">
        <v>8741</v>
      </c>
      <c r="D116" s="133">
        <v>0</v>
      </c>
      <c r="E116" s="133">
        <f t="shared" si="16"/>
        <v>-8741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1832</v>
      </c>
      <c r="D117" s="133">
        <v>2097</v>
      </c>
      <c r="E117" s="133">
        <f t="shared" si="16"/>
        <v>265</v>
      </c>
      <c r="F117" s="114">
        <f t="shared" si="17"/>
        <v>0.14465065502183405</v>
      </c>
    </row>
    <row r="118" spans="1:6" x14ac:dyDescent="0.2">
      <c r="A118" s="115">
        <v>6</v>
      </c>
      <c r="B118" s="116" t="s">
        <v>118</v>
      </c>
      <c r="C118" s="133">
        <v>6506</v>
      </c>
      <c r="D118" s="133">
        <v>10648</v>
      </c>
      <c r="E118" s="133">
        <f t="shared" si="16"/>
        <v>4142</v>
      </c>
      <c r="F118" s="114">
        <f t="shared" si="17"/>
        <v>0.63664309867814328</v>
      </c>
    </row>
    <row r="119" spans="1:6" x14ac:dyDescent="0.2">
      <c r="A119" s="115">
        <v>7</v>
      </c>
      <c r="B119" s="116" t="s">
        <v>119</v>
      </c>
      <c r="C119" s="133">
        <v>89981</v>
      </c>
      <c r="D119" s="133">
        <v>119212</v>
      </c>
      <c r="E119" s="133">
        <f t="shared" si="16"/>
        <v>29231</v>
      </c>
      <c r="F119" s="114">
        <f t="shared" si="17"/>
        <v>0.32485746991031439</v>
      </c>
    </row>
    <row r="120" spans="1:6" x14ac:dyDescent="0.2">
      <c r="A120" s="115">
        <v>8</v>
      </c>
      <c r="B120" s="116" t="s">
        <v>120</v>
      </c>
      <c r="C120" s="133">
        <v>1047</v>
      </c>
      <c r="D120" s="133">
        <v>1430</v>
      </c>
      <c r="E120" s="133">
        <f t="shared" si="16"/>
        <v>383</v>
      </c>
      <c r="F120" s="114">
        <f t="shared" si="17"/>
        <v>0.36580706781279848</v>
      </c>
    </row>
    <row r="121" spans="1:6" x14ac:dyDescent="0.2">
      <c r="A121" s="115">
        <v>9</v>
      </c>
      <c r="B121" s="116" t="s">
        <v>121</v>
      </c>
      <c r="C121" s="133">
        <v>3513</v>
      </c>
      <c r="D121" s="133">
        <v>3950</v>
      </c>
      <c r="E121" s="133">
        <f t="shared" si="16"/>
        <v>437</v>
      </c>
      <c r="F121" s="114">
        <f t="shared" si="17"/>
        <v>0.12439510389980074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311547</v>
      </c>
      <c r="D124" s="134">
        <f>SUM(D113:D123)</f>
        <v>462219</v>
      </c>
      <c r="E124" s="134">
        <f t="shared" si="16"/>
        <v>150672</v>
      </c>
      <c r="F124" s="120">
        <f t="shared" si="17"/>
        <v>0.48362526360388641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152587</v>
      </c>
      <c r="D126" s="133">
        <v>230796</v>
      </c>
      <c r="E126" s="133">
        <f t="shared" ref="E126:E137" si="18">D126-C126</f>
        <v>78209</v>
      </c>
      <c r="F126" s="114">
        <f t="shared" ref="F126:F137" si="19">IF(C126=0,0,E126/C126)</f>
        <v>0.51255349407223416</v>
      </c>
    </row>
    <row r="127" spans="1:6" x14ac:dyDescent="0.2">
      <c r="A127" s="115">
        <v>2</v>
      </c>
      <c r="B127" s="116" t="s">
        <v>114</v>
      </c>
      <c r="C127" s="133">
        <v>43049</v>
      </c>
      <c r="D127" s="133">
        <v>71834</v>
      </c>
      <c r="E127" s="133">
        <f t="shared" si="18"/>
        <v>28785</v>
      </c>
      <c r="F127" s="114">
        <f t="shared" si="19"/>
        <v>0.66865664707658712</v>
      </c>
    </row>
    <row r="128" spans="1:6" x14ac:dyDescent="0.2">
      <c r="A128" s="115">
        <v>3</v>
      </c>
      <c r="B128" s="116" t="s">
        <v>115</v>
      </c>
      <c r="C128" s="133">
        <v>171489</v>
      </c>
      <c r="D128" s="133">
        <v>297513</v>
      </c>
      <c r="E128" s="133">
        <f t="shared" si="18"/>
        <v>126024</v>
      </c>
      <c r="F128" s="114">
        <f t="shared" si="19"/>
        <v>0.73488095446355162</v>
      </c>
    </row>
    <row r="129" spans="1:6" x14ac:dyDescent="0.2">
      <c r="A129" s="115">
        <v>4</v>
      </c>
      <c r="B129" s="116" t="s">
        <v>116</v>
      </c>
      <c r="C129" s="133">
        <v>28731</v>
      </c>
      <c r="D129" s="133">
        <v>0</v>
      </c>
      <c r="E129" s="133">
        <f t="shared" si="18"/>
        <v>-28731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3688</v>
      </c>
      <c r="D130" s="133">
        <v>4541</v>
      </c>
      <c r="E130" s="133">
        <f t="shared" si="18"/>
        <v>853</v>
      </c>
      <c r="F130" s="114">
        <f t="shared" si="19"/>
        <v>0.23129067245119306</v>
      </c>
    </row>
    <row r="131" spans="1:6" x14ac:dyDescent="0.2">
      <c r="A131" s="115">
        <v>6</v>
      </c>
      <c r="B131" s="116" t="s">
        <v>118</v>
      </c>
      <c r="C131" s="133">
        <v>15404</v>
      </c>
      <c r="D131" s="133">
        <v>33895</v>
      </c>
      <c r="E131" s="133">
        <f t="shared" si="18"/>
        <v>18491</v>
      </c>
      <c r="F131" s="114">
        <f t="shared" si="19"/>
        <v>1.2004024928589976</v>
      </c>
    </row>
    <row r="132" spans="1:6" x14ac:dyDescent="0.2">
      <c r="A132" s="115">
        <v>7</v>
      </c>
      <c r="B132" s="116" t="s">
        <v>119</v>
      </c>
      <c r="C132" s="133">
        <v>324784</v>
      </c>
      <c r="D132" s="133">
        <v>399113</v>
      </c>
      <c r="E132" s="133">
        <f t="shared" si="18"/>
        <v>74329</v>
      </c>
      <c r="F132" s="114">
        <f t="shared" si="19"/>
        <v>0.2288567170796591</v>
      </c>
    </row>
    <row r="133" spans="1:6" x14ac:dyDescent="0.2">
      <c r="A133" s="115">
        <v>8</v>
      </c>
      <c r="B133" s="116" t="s">
        <v>120</v>
      </c>
      <c r="C133" s="133">
        <v>3529</v>
      </c>
      <c r="D133" s="133">
        <v>5677</v>
      </c>
      <c r="E133" s="133">
        <f t="shared" si="18"/>
        <v>2148</v>
      </c>
      <c r="F133" s="114">
        <f t="shared" si="19"/>
        <v>0.60867101161802206</v>
      </c>
    </row>
    <row r="134" spans="1:6" x14ac:dyDescent="0.2">
      <c r="A134" s="115">
        <v>9</v>
      </c>
      <c r="B134" s="116" t="s">
        <v>121</v>
      </c>
      <c r="C134" s="133">
        <v>35586</v>
      </c>
      <c r="D134" s="133">
        <v>57165</v>
      </c>
      <c r="E134" s="133">
        <f t="shared" si="18"/>
        <v>21579</v>
      </c>
      <c r="F134" s="114">
        <f t="shared" si="19"/>
        <v>0.60639015343112457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778847</v>
      </c>
      <c r="D137" s="134">
        <f>SUM(D126:D136)</f>
        <v>1100534</v>
      </c>
      <c r="E137" s="134">
        <f t="shared" si="18"/>
        <v>321687</v>
      </c>
      <c r="F137" s="120">
        <f t="shared" si="19"/>
        <v>0.41302977349851766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64650009</v>
      </c>
      <c r="D142" s="113">
        <v>137569426</v>
      </c>
      <c r="E142" s="113">
        <f t="shared" ref="E142:E153" si="20">D142-C142</f>
        <v>72919417</v>
      </c>
      <c r="F142" s="114">
        <f t="shared" ref="F142:F153" si="21">IF(C142=0,0,E142/C142)</f>
        <v>1.1279103920929074</v>
      </c>
    </row>
    <row r="143" spans="1:6" x14ac:dyDescent="0.2">
      <c r="A143" s="115">
        <v>2</v>
      </c>
      <c r="B143" s="116" t="s">
        <v>114</v>
      </c>
      <c r="C143" s="113">
        <v>15607468</v>
      </c>
      <c r="D143" s="113">
        <v>35772142</v>
      </c>
      <c r="E143" s="113">
        <f t="shared" si="20"/>
        <v>20164674</v>
      </c>
      <c r="F143" s="114">
        <f t="shared" si="21"/>
        <v>1.2919888094596765</v>
      </c>
    </row>
    <row r="144" spans="1:6" x14ac:dyDescent="0.2">
      <c r="A144" s="115">
        <v>3</v>
      </c>
      <c r="B144" s="116" t="s">
        <v>115</v>
      </c>
      <c r="C144" s="113">
        <v>100697927</v>
      </c>
      <c r="D144" s="113">
        <v>193201647</v>
      </c>
      <c r="E144" s="113">
        <f t="shared" si="20"/>
        <v>92503720</v>
      </c>
      <c r="F144" s="114">
        <f t="shared" si="21"/>
        <v>0.91862586207956398</v>
      </c>
    </row>
    <row r="145" spans="1:6" x14ac:dyDescent="0.2">
      <c r="A145" s="115">
        <v>4</v>
      </c>
      <c r="B145" s="116" t="s">
        <v>116</v>
      </c>
      <c r="C145" s="113">
        <v>11535635</v>
      </c>
      <c r="D145" s="113">
        <v>0</v>
      </c>
      <c r="E145" s="113">
        <f t="shared" si="20"/>
        <v>-11535635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1072552</v>
      </c>
      <c r="D146" s="113">
        <v>1261371</v>
      </c>
      <c r="E146" s="113">
        <f t="shared" si="20"/>
        <v>188819</v>
      </c>
      <c r="F146" s="114">
        <f t="shared" si="21"/>
        <v>0.17604647606829318</v>
      </c>
    </row>
    <row r="147" spans="1:6" x14ac:dyDescent="0.2">
      <c r="A147" s="115">
        <v>6</v>
      </c>
      <c r="B147" s="116" t="s">
        <v>118</v>
      </c>
      <c r="C147" s="113">
        <v>7452342</v>
      </c>
      <c r="D147" s="113">
        <v>16803969</v>
      </c>
      <c r="E147" s="113">
        <f t="shared" si="20"/>
        <v>9351627</v>
      </c>
      <c r="F147" s="114">
        <f t="shared" si="21"/>
        <v>1.2548574662837535</v>
      </c>
    </row>
    <row r="148" spans="1:6" x14ac:dyDescent="0.2">
      <c r="A148" s="115">
        <v>7</v>
      </c>
      <c r="B148" s="116" t="s">
        <v>119</v>
      </c>
      <c r="C148" s="113">
        <v>100580597</v>
      </c>
      <c r="D148" s="113">
        <v>136026672</v>
      </c>
      <c r="E148" s="113">
        <f t="shared" si="20"/>
        <v>35446075</v>
      </c>
      <c r="F148" s="114">
        <f t="shared" si="21"/>
        <v>0.35241464116583043</v>
      </c>
    </row>
    <row r="149" spans="1:6" x14ac:dyDescent="0.2">
      <c r="A149" s="115">
        <v>8</v>
      </c>
      <c r="B149" s="116" t="s">
        <v>120</v>
      </c>
      <c r="C149" s="113">
        <v>2705972</v>
      </c>
      <c r="D149" s="113">
        <v>5195486</v>
      </c>
      <c r="E149" s="113">
        <f t="shared" si="20"/>
        <v>2489514</v>
      </c>
      <c r="F149" s="114">
        <f t="shared" si="21"/>
        <v>0.92000730236676509</v>
      </c>
    </row>
    <row r="150" spans="1:6" x14ac:dyDescent="0.2">
      <c r="A150" s="115">
        <v>9</v>
      </c>
      <c r="B150" s="116" t="s">
        <v>121</v>
      </c>
      <c r="C150" s="113">
        <v>24469954</v>
      </c>
      <c r="D150" s="113">
        <v>36359265</v>
      </c>
      <c r="E150" s="113">
        <f t="shared" si="20"/>
        <v>11889311</v>
      </c>
      <c r="F150" s="114">
        <f t="shared" si="21"/>
        <v>0.4858738598364345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328772456</v>
      </c>
      <c r="D153" s="119">
        <f>SUM(D142:D152)</f>
        <v>562189978</v>
      </c>
      <c r="E153" s="119">
        <f t="shared" si="20"/>
        <v>233417522</v>
      </c>
      <c r="F153" s="120">
        <f t="shared" si="21"/>
        <v>0.70996678018550308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8983780</v>
      </c>
      <c r="D155" s="113">
        <v>16966652</v>
      </c>
      <c r="E155" s="113">
        <f t="shared" ref="E155:E166" si="22">D155-C155</f>
        <v>7982872</v>
      </c>
      <c r="F155" s="114">
        <f t="shared" ref="F155:F166" si="23">IF(C155=0,0,E155/C155)</f>
        <v>0.88858720939292812</v>
      </c>
    </row>
    <row r="156" spans="1:6" x14ac:dyDescent="0.2">
      <c r="A156" s="115">
        <v>2</v>
      </c>
      <c r="B156" s="116" t="s">
        <v>114</v>
      </c>
      <c r="C156" s="113">
        <v>2314088</v>
      </c>
      <c r="D156" s="113">
        <v>4853358</v>
      </c>
      <c r="E156" s="113">
        <f t="shared" si="22"/>
        <v>2539270</v>
      </c>
      <c r="F156" s="114">
        <f t="shared" si="23"/>
        <v>1.0973091775247958</v>
      </c>
    </row>
    <row r="157" spans="1:6" x14ac:dyDescent="0.2">
      <c r="A157" s="115">
        <v>3</v>
      </c>
      <c r="B157" s="116" t="s">
        <v>115</v>
      </c>
      <c r="C157" s="113">
        <v>17267645</v>
      </c>
      <c r="D157" s="113">
        <v>29734859</v>
      </c>
      <c r="E157" s="113">
        <f t="shared" si="22"/>
        <v>12467214</v>
      </c>
      <c r="F157" s="114">
        <f t="shared" si="23"/>
        <v>0.72199851224645861</v>
      </c>
    </row>
    <row r="158" spans="1:6" x14ac:dyDescent="0.2">
      <c r="A158" s="115">
        <v>4</v>
      </c>
      <c r="B158" s="116" t="s">
        <v>116</v>
      </c>
      <c r="C158" s="113">
        <v>2000048</v>
      </c>
      <c r="D158" s="113">
        <v>0</v>
      </c>
      <c r="E158" s="113">
        <f t="shared" si="22"/>
        <v>-2000048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161816</v>
      </c>
      <c r="D159" s="113">
        <v>190939</v>
      </c>
      <c r="E159" s="113">
        <f t="shared" si="22"/>
        <v>29123</v>
      </c>
      <c r="F159" s="114">
        <f t="shared" si="23"/>
        <v>0.17997602214861325</v>
      </c>
    </row>
    <row r="160" spans="1:6" x14ac:dyDescent="0.2">
      <c r="A160" s="115">
        <v>6</v>
      </c>
      <c r="B160" s="116" t="s">
        <v>118</v>
      </c>
      <c r="C160" s="113">
        <v>4210344</v>
      </c>
      <c r="D160" s="113">
        <v>6054121</v>
      </c>
      <c r="E160" s="113">
        <f t="shared" si="22"/>
        <v>1843777</v>
      </c>
      <c r="F160" s="114">
        <f t="shared" si="23"/>
        <v>0.43791599926276809</v>
      </c>
    </row>
    <row r="161" spans="1:6" x14ac:dyDescent="0.2">
      <c r="A161" s="115">
        <v>7</v>
      </c>
      <c r="B161" s="116" t="s">
        <v>119</v>
      </c>
      <c r="C161" s="113">
        <v>40766012</v>
      </c>
      <c r="D161" s="113">
        <v>48688785</v>
      </c>
      <c r="E161" s="113">
        <f t="shared" si="22"/>
        <v>7922773</v>
      </c>
      <c r="F161" s="114">
        <f t="shared" si="23"/>
        <v>0.19434751184393509</v>
      </c>
    </row>
    <row r="162" spans="1:6" x14ac:dyDescent="0.2">
      <c r="A162" s="115">
        <v>8</v>
      </c>
      <c r="B162" s="116" t="s">
        <v>120</v>
      </c>
      <c r="C162" s="113">
        <v>1617647</v>
      </c>
      <c r="D162" s="113">
        <v>2653714</v>
      </c>
      <c r="E162" s="113">
        <f t="shared" si="22"/>
        <v>1036067</v>
      </c>
      <c r="F162" s="114">
        <f t="shared" si="23"/>
        <v>0.64047780510828378</v>
      </c>
    </row>
    <row r="163" spans="1:6" x14ac:dyDescent="0.2">
      <c r="A163" s="115">
        <v>9</v>
      </c>
      <c r="B163" s="116" t="s">
        <v>121</v>
      </c>
      <c r="C163" s="113">
        <v>1768519</v>
      </c>
      <c r="D163" s="113">
        <v>2115053</v>
      </c>
      <c r="E163" s="113">
        <f t="shared" si="22"/>
        <v>346534</v>
      </c>
      <c r="F163" s="114">
        <f t="shared" si="23"/>
        <v>0.19594587335505018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79089899</v>
      </c>
      <c r="D166" s="119">
        <f>SUM(D155:D165)</f>
        <v>111257481</v>
      </c>
      <c r="E166" s="119">
        <f t="shared" si="22"/>
        <v>32167582</v>
      </c>
      <c r="F166" s="120">
        <f t="shared" si="23"/>
        <v>0.40672174837396113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13213</v>
      </c>
      <c r="D168" s="133">
        <v>21508</v>
      </c>
      <c r="E168" s="133">
        <f t="shared" ref="E168:E179" si="24">D168-C168</f>
        <v>8295</v>
      </c>
      <c r="F168" s="114">
        <f t="shared" ref="F168:F179" si="25">IF(C168=0,0,E168/C168)</f>
        <v>0.62779081207901311</v>
      </c>
    </row>
    <row r="169" spans="1:6" x14ac:dyDescent="0.2">
      <c r="A169" s="115">
        <v>2</v>
      </c>
      <c r="B169" s="116" t="s">
        <v>114</v>
      </c>
      <c r="C169" s="133">
        <v>2999</v>
      </c>
      <c r="D169" s="133">
        <v>5897</v>
      </c>
      <c r="E169" s="133">
        <f t="shared" si="24"/>
        <v>2898</v>
      </c>
      <c r="F169" s="114">
        <f t="shared" si="25"/>
        <v>0.96632210736912305</v>
      </c>
    </row>
    <row r="170" spans="1:6" x14ac:dyDescent="0.2">
      <c r="A170" s="115">
        <v>3</v>
      </c>
      <c r="B170" s="116" t="s">
        <v>115</v>
      </c>
      <c r="C170" s="133">
        <v>41007</v>
      </c>
      <c r="D170" s="133">
        <v>72847</v>
      </c>
      <c r="E170" s="133">
        <f t="shared" si="24"/>
        <v>31840</v>
      </c>
      <c r="F170" s="114">
        <f t="shared" si="25"/>
        <v>0.77645280074133682</v>
      </c>
    </row>
    <row r="171" spans="1:6" x14ac:dyDescent="0.2">
      <c r="A171" s="115">
        <v>4</v>
      </c>
      <c r="B171" s="116" t="s">
        <v>116</v>
      </c>
      <c r="C171" s="133">
        <v>6610</v>
      </c>
      <c r="D171" s="133">
        <v>0</v>
      </c>
      <c r="E171" s="133">
        <f t="shared" si="24"/>
        <v>-6610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468</v>
      </c>
      <c r="D172" s="133">
        <v>470</v>
      </c>
      <c r="E172" s="133">
        <f t="shared" si="24"/>
        <v>2</v>
      </c>
      <c r="F172" s="114">
        <f t="shared" si="25"/>
        <v>4.2735042735042739E-3</v>
      </c>
    </row>
    <row r="173" spans="1:6" x14ac:dyDescent="0.2">
      <c r="A173" s="115">
        <v>6</v>
      </c>
      <c r="B173" s="116" t="s">
        <v>118</v>
      </c>
      <c r="C173" s="133">
        <v>2491</v>
      </c>
      <c r="D173" s="133">
        <v>4818</v>
      </c>
      <c r="E173" s="133">
        <f t="shared" si="24"/>
        <v>2327</v>
      </c>
      <c r="F173" s="114">
        <f t="shared" si="25"/>
        <v>0.93416298675230836</v>
      </c>
    </row>
    <row r="174" spans="1:6" x14ac:dyDescent="0.2">
      <c r="A174" s="115">
        <v>7</v>
      </c>
      <c r="B174" s="116" t="s">
        <v>119</v>
      </c>
      <c r="C174" s="133">
        <v>35294</v>
      </c>
      <c r="D174" s="133">
        <v>39738</v>
      </c>
      <c r="E174" s="133">
        <f t="shared" si="24"/>
        <v>4444</v>
      </c>
      <c r="F174" s="114">
        <f t="shared" si="25"/>
        <v>0.12591375304584349</v>
      </c>
    </row>
    <row r="175" spans="1:6" x14ac:dyDescent="0.2">
      <c r="A175" s="115">
        <v>8</v>
      </c>
      <c r="B175" s="116" t="s">
        <v>120</v>
      </c>
      <c r="C175" s="133">
        <v>1169</v>
      </c>
      <c r="D175" s="133">
        <v>2060</v>
      </c>
      <c r="E175" s="133">
        <f t="shared" si="24"/>
        <v>891</v>
      </c>
      <c r="F175" s="114">
        <f t="shared" si="25"/>
        <v>0.7621899059024807</v>
      </c>
    </row>
    <row r="176" spans="1:6" x14ac:dyDescent="0.2">
      <c r="A176" s="115">
        <v>9</v>
      </c>
      <c r="B176" s="116" t="s">
        <v>121</v>
      </c>
      <c r="C176" s="133">
        <v>11145</v>
      </c>
      <c r="D176" s="133">
        <v>16447</v>
      </c>
      <c r="E176" s="133">
        <f t="shared" si="24"/>
        <v>5302</v>
      </c>
      <c r="F176" s="114">
        <f t="shared" si="25"/>
        <v>0.47572902646926873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114396</v>
      </c>
      <c r="D179" s="134">
        <f>SUM(D168:D178)</f>
        <v>163785</v>
      </c>
      <c r="E179" s="134">
        <f t="shared" si="24"/>
        <v>49389</v>
      </c>
      <c r="F179" s="120">
        <f t="shared" si="25"/>
        <v>0.43173712367565298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247331000</v>
      </c>
      <c r="D15" s="157">
        <v>332073000</v>
      </c>
      <c r="E15" s="157">
        <f>+D15-C15</f>
        <v>84742000</v>
      </c>
      <c r="F15" s="161">
        <f>IF(C15=0,0,E15/C15)</f>
        <v>0.3426258738289984</v>
      </c>
    </row>
    <row r="16" spans="1:6" ht="15" customHeight="1" x14ac:dyDescent="0.2">
      <c r="A16" s="147">
        <v>2</v>
      </c>
      <c r="B16" s="160" t="s">
        <v>157</v>
      </c>
      <c r="C16" s="157">
        <v>58393000</v>
      </c>
      <c r="D16" s="157">
        <v>0</v>
      </c>
      <c r="E16" s="157">
        <f>+D16-C16</f>
        <v>-58393000</v>
      </c>
      <c r="F16" s="161">
        <f>IF(C16=0,0,E16/C16)</f>
        <v>-1</v>
      </c>
    </row>
    <row r="17" spans="1:6" ht="15" customHeight="1" x14ac:dyDescent="0.2">
      <c r="A17" s="147">
        <v>3</v>
      </c>
      <c r="B17" s="160" t="s">
        <v>158</v>
      </c>
      <c r="C17" s="157">
        <v>279523000</v>
      </c>
      <c r="D17" s="157">
        <v>458209000</v>
      </c>
      <c r="E17" s="157">
        <f>+D17-C17</f>
        <v>178686000</v>
      </c>
      <c r="F17" s="161">
        <f>IF(C17=0,0,E17/C17)</f>
        <v>0.63925329937071373</v>
      </c>
    </row>
    <row r="18" spans="1:6" ht="15.75" customHeight="1" x14ac:dyDescent="0.25">
      <c r="A18" s="147"/>
      <c r="B18" s="162" t="s">
        <v>159</v>
      </c>
      <c r="C18" s="158">
        <f>SUM(C15:C17)</f>
        <v>585247000</v>
      </c>
      <c r="D18" s="158">
        <f>SUM(D15:D17)</f>
        <v>790282000</v>
      </c>
      <c r="E18" s="158">
        <f>+D18-C18</f>
        <v>205035000</v>
      </c>
      <c r="F18" s="159">
        <f>IF(C18=0,0,E18/C18)</f>
        <v>0.35033925846693786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72696000</v>
      </c>
      <c r="D21" s="157">
        <v>98908000</v>
      </c>
      <c r="E21" s="157">
        <f>+D21-C21</f>
        <v>26212000</v>
      </c>
      <c r="F21" s="161">
        <f>IF(C21=0,0,E21/C21)</f>
        <v>0.36057004511940133</v>
      </c>
    </row>
    <row r="22" spans="1:6" ht="15" customHeight="1" x14ac:dyDescent="0.2">
      <c r="A22" s="147">
        <v>2</v>
      </c>
      <c r="B22" s="160" t="s">
        <v>162</v>
      </c>
      <c r="C22" s="157">
        <v>17163000</v>
      </c>
      <c r="D22" s="157">
        <v>0</v>
      </c>
      <c r="E22" s="157">
        <f>+D22-C22</f>
        <v>-17163000</v>
      </c>
      <c r="F22" s="161">
        <f>IF(C22=0,0,E22/C22)</f>
        <v>-1</v>
      </c>
    </row>
    <row r="23" spans="1:6" ht="15" customHeight="1" x14ac:dyDescent="0.2">
      <c r="A23" s="147">
        <v>3</v>
      </c>
      <c r="B23" s="160" t="s">
        <v>163</v>
      </c>
      <c r="C23" s="157">
        <v>82157000</v>
      </c>
      <c r="D23" s="157">
        <v>136462000</v>
      </c>
      <c r="E23" s="157">
        <f>+D23-C23</f>
        <v>54305000</v>
      </c>
      <c r="F23" s="161">
        <f>IF(C23=0,0,E23/C23)</f>
        <v>0.66099054249790035</v>
      </c>
    </row>
    <row r="24" spans="1:6" ht="15.75" customHeight="1" x14ac:dyDescent="0.25">
      <c r="A24" s="147"/>
      <c r="B24" s="162" t="s">
        <v>164</v>
      </c>
      <c r="C24" s="158">
        <f>SUM(C21:C23)</f>
        <v>172016000</v>
      </c>
      <c r="D24" s="158">
        <f>SUM(D21:D23)</f>
        <v>235370000</v>
      </c>
      <c r="E24" s="158">
        <f>+D24-C24</f>
        <v>63354000</v>
      </c>
      <c r="F24" s="159">
        <f>IF(C24=0,0,E24/C24)</f>
        <v>0.36830294856292439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2295000</v>
      </c>
      <c r="D27" s="157">
        <v>5073000</v>
      </c>
      <c r="E27" s="157">
        <f>+D27-C27</f>
        <v>2778000</v>
      </c>
      <c r="F27" s="161">
        <f>IF(C27=0,0,E27/C27)</f>
        <v>1.2104575163398692</v>
      </c>
    </row>
    <row r="28" spans="1:6" ht="15" customHeight="1" x14ac:dyDescent="0.2">
      <c r="A28" s="147">
        <v>2</v>
      </c>
      <c r="B28" s="160" t="s">
        <v>167</v>
      </c>
      <c r="C28" s="157">
        <v>73815000</v>
      </c>
      <c r="D28" s="157">
        <v>81204000</v>
      </c>
      <c r="E28" s="157">
        <f>+D28-C28</f>
        <v>7389000</v>
      </c>
      <c r="F28" s="161">
        <f>IF(C28=0,0,E28/C28)</f>
        <v>0.10010160536476326</v>
      </c>
    </row>
    <row r="29" spans="1:6" ht="15" customHeight="1" x14ac:dyDescent="0.2">
      <c r="A29" s="147">
        <v>3</v>
      </c>
      <c r="B29" s="160" t="s">
        <v>168</v>
      </c>
      <c r="C29" s="157">
        <v>21579000</v>
      </c>
      <c r="D29" s="157">
        <v>37083000</v>
      </c>
      <c r="E29" s="157">
        <f>+D29-C29</f>
        <v>15504000</v>
      </c>
      <c r="F29" s="161">
        <f>IF(C29=0,0,E29/C29)</f>
        <v>0.71847629639927713</v>
      </c>
    </row>
    <row r="30" spans="1:6" ht="15.75" customHeight="1" x14ac:dyDescent="0.25">
      <c r="A30" s="147"/>
      <c r="B30" s="162" t="s">
        <v>169</v>
      </c>
      <c r="C30" s="158">
        <f>SUM(C27:C29)</f>
        <v>97689000</v>
      </c>
      <c r="D30" s="158">
        <f>SUM(D27:D29)</f>
        <v>123360000</v>
      </c>
      <c r="E30" s="158">
        <f>+D30-C30</f>
        <v>25671000</v>
      </c>
      <c r="F30" s="159">
        <f>IF(C30=0,0,E30/C30)</f>
        <v>0.26278291312225532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162028000</v>
      </c>
      <c r="D33" s="157">
        <v>223966000</v>
      </c>
      <c r="E33" s="157">
        <f>+D33-C33</f>
        <v>61938000</v>
      </c>
      <c r="F33" s="161">
        <f>IF(C33=0,0,E33/C33)</f>
        <v>0.38226726244846571</v>
      </c>
    </row>
    <row r="34" spans="1:6" ht="15" customHeight="1" x14ac:dyDescent="0.2">
      <c r="A34" s="147">
        <v>2</v>
      </c>
      <c r="B34" s="160" t="s">
        <v>173</v>
      </c>
      <c r="C34" s="157">
        <v>113188000</v>
      </c>
      <c r="D34" s="157">
        <v>153493000</v>
      </c>
      <c r="E34" s="157">
        <f>+D34-C34</f>
        <v>40305000</v>
      </c>
      <c r="F34" s="161">
        <f>IF(C34=0,0,E34/C34)</f>
        <v>0.35608898469802452</v>
      </c>
    </row>
    <row r="35" spans="1:6" ht="15.75" customHeight="1" x14ac:dyDescent="0.25">
      <c r="A35" s="147"/>
      <c r="B35" s="162" t="s">
        <v>174</v>
      </c>
      <c r="C35" s="158">
        <f>SUM(C33:C34)</f>
        <v>275216000</v>
      </c>
      <c r="D35" s="158">
        <f>SUM(D33:D34)</f>
        <v>377459000</v>
      </c>
      <c r="E35" s="158">
        <f>+D35-C35</f>
        <v>102243000</v>
      </c>
      <c r="F35" s="159">
        <f>IF(C35=0,0,E35/C35)</f>
        <v>0.37150093017847802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28290000</v>
      </c>
      <c r="D38" s="157">
        <v>41726000</v>
      </c>
      <c r="E38" s="157">
        <f>+D38-C38</f>
        <v>13436000</v>
      </c>
      <c r="F38" s="161">
        <f>IF(C38=0,0,E38/C38)</f>
        <v>0.47493814068575468</v>
      </c>
    </row>
    <row r="39" spans="1:6" ht="15" customHeight="1" x14ac:dyDescent="0.2">
      <c r="A39" s="147">
        <v>2</v>
      </c>
      <c r="B39" s="160" t="s">
        <v>178</v>
      </c>
      <c r="C39" s="157">
        <v>44811000</v>
      </c>
      <c r="D39" s="157">
        <v>66231000</v>
      </c>
      <c r="E39" s="157">
        <f>+D39-C39</f>
        <v>21420000</v>
      </c>
      <c r="F39" s="161">
        <f>IF(C39=0,0,E39/C39)</f>
        <v>0.47800763205462943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73101000</v>
      </c>
      <c r="D41" s="158">
        <f>SUM(D38:D40)</f>
        <v>107957000</v>
      </c>
      <c r="E41" s="158">
        <f>+D41-C41</f>
        <v>34856000</v>
      </c>
      <c r="F41" s="159">
        <f>IF(C41=0,0,E41/C41)</f>
        <v>0.47681974254798154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32622000</v>
      </c>
      <c r="D44" s="157">
        <v>0</v>
      </c>
      <c r="E44" s="157">
        <f>+D44-C44</f>
        <v>-32622000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17720000</v>
      </c>
      <c r="D47" s="157">
        <v>23920000</v>
      </c>
      <c r="E47" s="157">
        <f>+D47-C47</f>
        <v>6200000</v>
      </c>
      <c r="F47" s="161">
        <f>IF(C47=0,0,E47/C47)</f>
        <v>0.34988713318284426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13056000</v>
      </c>
      <c r="D50" s="157">
        <v>16165000</v>
      </c>
      <c r="E50" s="157">
        <f>+D50-C50</f>
        <v>3109000</v>
      </c>
      <c r="F50" s="161">
        <f>IF(C50=0,0,E50/C50)</f>
        <v>0.2381280637254902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1078000</v>
      </c>
      <c r="D53" s="157">
        <v>1399000</v>
      </c>
      <c r="E53" s="157">
        <f t="shared" ref="E53:E59" si="0">+D53-C53</f>
        <v>321000</v>
      </c>
      <c r="F53" s="161">
        <f t="shared" ref="F53:F59" si="1">IF(C53=0,0,E53/C53)</f>
        <v>0.29777365491651203</v>
      </c>
    </row>
    <row r="54" spans="1:6" ht="15" customHeight="1" x14ac:dyDescent="0.2">
      <c r="A54" s="147">
        <v>2</v>
      </c>
      <c r="B54" s="160" t="s">
        <v>189</v>
      </c>
      <c r="C54" s="157">
        <v>688000</v>
      </c>
      <c r="D54" s="157">
        <v>1685000</v>
      </c>
      <c r="E54" s="157">
        <f t="shared" si="0"/>
        <v>997000</v>
      </c>
      <c r="F54" s="161">
        <f t="shared" si="1"/>
        <v>1.4491279069767442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15830000</v>
      </c>
      <c r="D56" s="157">
        <v>20047000</v>
      </c>
      <c r="E56" s="157">
        <f t="shared" si="0"/>
        <v>4217000</v>
      </c>
      <c r="F56" s="161">
        <f t="shared" si="1"/>
        <v>0.26639292482627924</v>
      </c>
    </row>
    <row r="57" spans="1:6" ht="15" customHeight="1" x14ac:dyDescent="0.2">
      <c r="A57" s="147">
        <v>5</v>
      </c>
      <c r="B57" s="160" t="s">
        <v>192</v>
      </c>
      <c r="C57" s="157">
        <v>3724000</v>
      </c>
      <c r="D57" s="157">
        <v>4681000</v>
      </c>
      <c r="E57" s="157">
        <f t="shared" si="0"/>
        <v>957000</v>
      </c>
      <c r="F57" s="161">
        <f t="shared" si="1"/>
        <v>0.25698174006444685</v>
      </c>
    </row>
    <row r="58" spans="1:6" ht="15" customHeight="1" x14ac:dyDescent="0.2">
      <c r="A58" s="147">
        <v>6</v>
      </c>
      <c r="B58" s="160" t="s">
        <v>193</v>
      </c>
      <c r="C58" s="157">
        <v>1015000</v>
      </c>
      <c r="D58" s="157">
        <v>1036000</v>
      </c>
      <c r="E58" s="157">
        <f t="shared" si="0"/>
        <v>21000</v>
      </c>
      <c r="F58" s="161">
        <f t="shared" si="1"/>
        <v>2.0689655172413793E-2</v>
      </c>
    </row>
    <row r="59" spans="1:6" ht="15.75" customHeight="1" x14ac:dyDescent="0.25">
      <c r="A59" s="147"/>
      <c r="B59" s="162" t="s">
        <v>194</v>
      </c>
      <c r="C59" s="158">
        <f>SUM(C53:C58)</f>
        <v>22335000</v>
      </c>
      <c r="D59" s="158">
        <f>SUM(D53:D58)</f>
        <v>28848000</v>
      </c>
      <c r="E59" s="158">
        <f t="shared" si="0"/>
        <v>6513000</v>
      </c>
      <c r="F59" s="159">
        <f t="shared" si="1"/>
        <v>0.2916051040967092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732000</v>
      </c>
      <c r="D62" s="157">
        <v>1358000</v>
      </c>
      <c r="E62" s="157">
        <f t="shared" ref="E62:E90" si="2">+D62-C62</f>
        <v>626000</v>
      </c>
      <c r="F62" s="161">
        <f t="shared" ref="F62:F90" si="3">IF(C62=0,0,E62/C62)</f>
        <v>0.85519125683060104</v>
      </c>
    </row>
    <row r="63" spans="1:6" ht="15" customHeight="1" x14ac:dyDescent="0.2">
      <c r="A63" s="147">
        <v>2</v>
      </c>
      <c r="B63" s="160" t="s">
        <v>198</v>
      </c>
      <c r="C63" s="157">
        <v>2639000</v>
      </c>
      <c r="D63" s="157">
        <v>3921000</v>
      </c>
      <c r="E63" s="157">
        <f t="shared" si="2"/>
        <v>1282000</v>
      </c>
      <c r="F63" s="161">
        <f t="shared" si="3"/>
        <v>0.48579007199696855</v>
      </c>
    </row>
    <row r="64" spans="1:6" ht="15" customHeight="1" x14ac:dyDescent="0.2">
      <c r="A64" s="147">
        <v>3</v>
      </c>
      <c r="B64" s="160" t="s">
        <v>199</v>
      </c>
      <c r="C64" s="157">
        <v>397000</v>
      </c>
      <c r="D64" s="157">
        <v>1152000</v>
      </c>
      <c r="E64" s="157">
        <f t="shared" si="2"/>
        <v>755000</v>
      </c>
      <c r="F64" s="161">
        <f t="shared" si="3"/>
        <v>1.9017632241813602</v>
      </c>
    </row>
    <row r="65" spans="1:6" ht="15" customHeight="1" x14ac:dyDescent="0.2">
      <c r="A65" s="147">
        <v>4</v>
      </c>
      <c r="B65" s="160" t="s">
        <v>200</v>
      </c>
      <c r="C65" s="157">
        <v>1356000</v>
      </c>
      <c r="D65" s="157">
        <v>1780000</v>
      </c>
      <c r="E65" s="157">
        <f t="shared" si="2"/>
        <v>424000</v>
      </c>
      <c r="F65" s="161">
        <f t="shared" si="3"/>
        <v>0.31268436578171094</v>
      </c>
    </row>
    <row r="66" spans="1:6" ht="15" customHeight="1" x14ac:dyDescent="0.2">
      <c r="A66" s="147">
        <v>5</v>
      </c>
      <c r="B66" s="160" t="s">
        <v>201</v>
      </c>
      <c r="C66" s="157">
        <v>3417000</v>
      </c>
      <c r="D66" s="157">
        <v>7064000</v>
      </c>
      <c r="E66" s="157">
        <f t="shared" si="2"/>
        <v>3647000</v>
      </c>
      <c r="F66" s="161">
        <f t="shared" si="3"/>
        <v>1.0673105062920691</v>
      </c>
    </row>
    <row r="67" spans="1:6" ht="15" customHeight="1" x14ac:dyDescent="0.2">
      <c r="A67" s="147">
        <v>6</v>
      </c>
      <c r="B67" s="160" t="s">
        <v>202</v>
      </c>
      <c r="C67" s="157">
        <v>10952000</v>
      </c>
      <c r="D67" s="157">
        <v>15216000</v>
      </c>
      <c r="E67" s="157">
        <f t="shared" si="2"/>
        <v>4264000</v>
      </c>
      <c r="F67" s="161">
        <f t="shared" si="3"/>
        <v>0.38933528122717315</v>
      </c>
    </row>
    <row r="68" spans="1:6" ht="15" customHeight="1" x14ac:dyDescent="0.2">
      <c r="A68" s="147">
        <v>7</v>
      </c>
      <c r="B68" s="160" t="s">
        <v>203</v>
      </c>
      <c r="C68" s="157">
        <v>24398000</v>
      </c>
      <c r="D68" s="157">
        <v>31831000</v>
      </c>
      <c r="E68" s="157">
        <f t="shared" si="2"/>
        <v>7433000</v>
      </c>
      <c r="F68" s="161">
        <f t="shared" si="3"/>
        <v>0.30465611935404541</v>
      </c>
    </row>
    <row r="69" spans="1:6" ht="15" customHeight="1" x14ac:dyDescent="0.2">
      <c r="A69" s="147">
        <v>8</v>
      </c>
      <c r="B69" s="160" t="s">
        <v>204</v>
      </c>
      <c r="C69" s="157">
        <v>2272000</v>
      </c>
      <c r="D69" s="157">
        <v>2452000</v>
      </c>
      <c r="E69" s="157">
        <f t="shared" si="2"/>
        <v>180000</v>
      </c>
      <c r="F69" s="161">
        <f t="shared" si="3"/>
        <v>7.9225352112676062E-2</v>
      </c>
    </row>
    <row r="70" spans="1:6" ht="15" customHeight="1" x14ac:dyDescent="0.2">
      <c r="A70" s="147">
        <v>9</v>
      </c>
      <c r="B70" s="160" t="s">
        <v>205</v>
      </c>
      <c r="C70" s="157">
        <v>26000</v>
      </c>
      <c r="D70" s="157">
        <v>15000</v>
      </c>
      <c r="E70" s="157">
        <f t="shared" si="2"/>
        <v>-11000</v>
      </c>
      <c r="F70" s="161">
        <f t="shared" si="3"/>
        <v>-0.42307692307692307</v>
      </c>
    </row>
    <row r="71" spans="1:6" ht="15" customHeight="1" x14ac:dyDescent="0.2">
      <c r="A71" s="147">
        <v>10</v>
      </c>
      <c r="B71" s="160" t="s">
        <v>206</v>
      </c>
      <c r="C71" s="157">
        <v>2246000</v>
      </c>
      <c r="D71" s="157">
        <v>3329000</v>
      </c>
      <c r="E71" s="157">
        <f t="shared" si="2"/>
        <v>1083000</v>
      </c>
      <c r="F71" s="161">
        <f t="shared" si="3"/>
        <v>0.4821905609973286</v>
      </c>
    </row>
    <row r="72" spans="1:6" ht="15" customHeight="1" x14ac:dyDescent="0.2">
      <c r="A72" s="147">
        <v>11</v>
      </c>
      <c r="B72" s="160" t="s">
        <v>207</v>
      </c>
      <c r="C72" s="157">
        <v>4087000</v>
      </c>
      <c r="D72" s="157">
        <v>4474000</v>
      </c>
      <c r="E72" s="157">
        <f t="shared" si="2"/>
        <v>387000</v>
      </c>
      <c r="F72" s="161">
        <f t="shared" si="3"/>
        <v>9.4690482016148769E-2</v>
      </c>
    </row>
    <row r="73" spans="1:6" ht="15" customHeight="1" x14ac:dyDescent="0.2">
      <c r="A73" s="147">
        <v>12</v>
      </c>
      <c r="B73" s="160" t="s">
        <v>208</v>
      </c>
      <c r="C73" s="157">
        <v>18297000</v>
      </c>
      <c r="D73" s="157">
        <v>16586000</v>
      </c>
      <c r="E73" s="157">
        <f t="shared" si="2"/>
        <v>-1711000</v>
      </c>
      <c r="F73" s="161">
        <f t="shared" si="3"/>
        <v>-9.3512597693610977E-2</v>
      </c>
    </row>
    <row r="74" spans="1:6" ht="15" customHeight="1" x14ac:dyDescent="0.2">
      <c r="A74" s="147">
        <v>13</v>
      </c>
      <c r="B74" s="160" t="s">
        <v>209</v>
      </c>
      <c r="C74" s="157">
        <v>1361000</v>
      </c>
      <c r="D74" s="157">
        <v>1798000</v>
      </c>
      <c r="E74" s="157">
        <f t="shared" si="2"/>
        <v>437000</v>
      </c>
      <c r="F74" s="161">
        <f t="shared" si="3"/>
        <v>0.32108743570903747</v>
      </c>
    </row>
    <row r="75" spans="1:6" ht="15" customHeight="1" x14ac:dyDescent="0.2">
      <c r="A75" s="147">
        <v>14</v>
      </c>
      <c r="B75" s="160" t="s">
        <v>210</v>
      </c>
      <c r="C75" s="157">
        <v>671000</v>
      </c>
      <c r="D75" s="157">
        <v>1061000</v>
      </c>
      <c r="E75" s="157">
        <f t="shared" si="2"/>
        <v>390000</v>
      </c>
      <c r="F75" s="161">
        <f t="shared" si="3"/>
        <v>0.58122205663189275</v>
      </c>
    </row>
    <row r="76" spans="1:6" ht="15" customHeight="1" x14ac:dyDescent="0.2">
      <c r="A76" s="147">
        <v>15</v>
      </c>
      <c r="B76" s="160" t="s">
        <v>211</v>
      </c>
      <c r="C76" s="157">
        <v>840000</v>
      </c>
      <c r="D76" s="157">
        <v>87000</v>
      </c>
      <c r="E76" s="157">
        <f t="shared" si="2"/>
        <v>-753000</v>
      </c>
      <c r="F76" s="161">
        <f t="shared" si="3"/>
        <v>-0.89642857142857146</v>
      </c>
    </row>
    <row r="77" spans="1:6" ht="15" customHeight="1" x14ac:dyDescent="0.2">
      <c r="A77" s="147">
        <v>16</v>
      </c>
      <c r="B77" s="160" t="s">
        <v>212</v>
      </c>
      <c r="C77" s="157">
        <v>20398000</v>
      </c>
      <c r="D77" s="157">
        <v>24417000</v>
      </c>
      <c r="E77" s="157">
        <f t="shared" si="2"/>
        <v>4019000</v>
      </c>
      <c r="F77" s="161">
        <f t="shared" si="3"/>
        <v>0.19702912050200999</v>
      </c>
    </row>
    <row r="78" spans="1:6" ht="15" customHeight="1" x14ac:dyDescent="0.2">
      <c r="A78" s="147">
        <v>17</v>
      </c>
      <c r="B78" s="160" t="s">
        <v>213</v>
      </c>
      <c r="C78" s="157">
        <v>251000</v>
      </c>
      <c r="D78" s="157">
        <v>0</v>
      </c>
      <c r="E78" s="157">
        <f t="shared" si="2"/>
        <v>-251000</v>
      </c>
      <c r="F78" s="161">
        <f t="shared" si="3"/>
        <v>-1</v>
      </c>
    </row>
    <row r="79" spans="1:6" ht="15" customHeight="1" x14ac:dyDescent="0.2">
      <c r="A79" s="147">
        <v>18</v>
      </c>
      <c r="B79" s="160" t="s">
        <v>214</v>
      </c>
      <c r="C79" s="157">
        <v>20000</v>
      </c>
      <c r="D79" s="157">
        <v>984000</v>
      </c>
      <c r="E79" s="157">
        <f t="shared" si="2"/>
        <v>964000</v>
      </c>
      <c r="F79" s="161">
        <f t="shared" si="3"/>
        <v>48.2</v>
      </c>
    </row>
    <row r="80" spans="1:6" ht="15" customHeight="1" x14ac:dyDescent="0.2">
      <c r="A80" s="147">
        <v>19</v>
      </c>
      <c r="B80" s="160" t="s">
        <v>215</v>
      </c>
      <c r="C80" s="157">
        <v>2777000</v>
      </c>
      <c r="D80" s="157">
        <v>3156000</v>
      </c>
      <c r="E80" s="157">
        <f t="shared" si="2"/>
        <v>379000</v>
      </c>
      <c r="F80" s="161">
        <f t="shared" si="3"/>
        <v>0.13647821389989198</v>
      </c>
    </row>
    <row r="81" spans="1:6" ht="15" customHeight="1" x14ac:dyDescent="0.2">
      <c r="A81" s="147">
        <v>20</v>
      </c>
      <c r="B81" s="160" t="s">
        <v>216</v>
      </c>
      <c r="C81" s="157">
        <v>13318000</v>
      </c>
      <c r="D81" s="157">
        <v>16189000</v>
      </c>
      <c r="E81" s="157">
        <f t="shared" si="2"/>
        <v>2871000</v>
      </c>
      <c r="F81" s="161">
        <f t="shared" si="3"/>
        <v>0.21557290884517194</v>
      </c>
    </row>
    <row r="82" spans="1:6" ht="15" customHeight="1" x14ac:dyDescent="0.2">
      <c r="A82" s="147">
        <v>21</v>
      </c>
      <c r="B82" s="160" t="s">
        <v>217</v>
      </c>
      <c r="C82" s="157">
        <v>639000</v>
      </c>
      <c r="D82" s="157">
        <v>640000</v>
      </c>
      <c r="E82" s="157">
        <f t="shared" si="2"/>
        <v>1000</v>
      </c>
      <c r="F82" s="161">
        <f t="shared" si="3"/>
        <v>1.5649452269170579E-3</v>
      </c>
    </row>
    <row r="83" spans="1:6" ht="15" customHeight="1" x14ac:dyDescent="0.2">
      <c r="A83" s="147">
        <v>22</v>
      </c>
      <c r="B83" s="160" t="s">
        <v>218</v>
      </c>
      <c r="C83" s="157">
        <v>847000</v>
      </c>
      <c r="D83" s="157">
        <v>664000</v>
      </c>
      <c r="E83" s="157">
        <f t="shared" si="2"/>
        <v>-183000</v>
      </c>
      <c r="F83" s="161">
        <f t="shared" si="3"/>
        <v>-0.21605667060212513</v>
      </c>
    </row>
    <row r="84" spans="1:6" ht="15" customHeight="1" x14ac:dyDescent="0.2">
      <c r="A84" s="147">
        <v>23</v>
      </c>
      <c r="B84" s="160" t="s">
        <v>219</v>
      </c>
      <c r="C84" s="157">
        <v>4325000</v>
      </c>
      <c r="D84" s="157">
        <v>6160000</v>
      </c>
      <c r="E84" s="157">
        <f t="shared" si="2"/>
        <v>1835000</v>
      </c>
      <c r="F84" s="161">
        <f t="shared" si="3"/>
        <v>0.42427745664739885</v>
      </c>
    </row>
    <row r="85" spans="1:6" ht="15" customHeight="1" x14ac:dyDescent="0.2">
      <c r="A85" s="147">
        <v>24</v>
      </c>
      <c r="B85" s="160" t="s">
        <v>220</v>
      </c>
      <c r="C85" s="157">
        <v>4931000</v>
      </c>
      <c r="D85" s="157">
        <v>4786000</v>
      </c>
      <c r="E85" s="157">
        <f t="shared" si="2"/>
        <v>-145000</v>
      </c>
      <c r="F85" s="161">
        <f t="shared" si="3"/>
        <v>-2.9405800040559725E-2</v>
      </c>
    </row>
    <row r="86" spans="1:6" ht="15" customHeight="1" x14ac:dyDescent="0.2">
      <c r="A86" s="147">
        <v>25</v>
      </c>
      <c r="B86" s="160" t="s">
        <v>221</v>
      </c>
      <c r="C86" s="157">
        <v>969000</v>
      </c>
      <c r="D86" s="157">
        <v>1328000</v>
      </c>
      <c r="E86" s="157">
        <f t="shared" si="2"/>
        <v>359000</v>
      </c>
      <c r="F86" s="161">
        <f t="shared" si="3"/>
        <v>0.37048503611971106</v>
      </c>
    </row>
    <row r="87" spans="1:6" ht="15" customHeight="1" x14ac:dyDescent="0.2">
      <c r="A87" s="147">
        <v>26</v>
      </c>
      <c r="B87" s="160" t="s">
        <v>222</v>
      </c>
      <c r="C87" s="157">
        <v>100383000</v>
      </c>
      <c r="D87" s="157">
        <v>121768000</v>
      </c>
      <c r="E87" s="157">
        <f t="shared" si="2"/>
        <v>21385000</v>
      </c>
      <c r="F87" s="161">
        <f t="shared" si="3"/>
        <v>0.21303407947560843</v>
      </c>
    </row>
    <row r="88" spans="1:6" ht="15" customHeight="1" x14ac:dyDescent="0.2">
      <c r="A88" s="147">
        <v>27</v>
      </c>
      <c r="B88" s="160" t="s">
        <v>223</v>
      </c>
      <c r="C88" s="157">
        <v>107027000</v>
      </c>
      <c r="D88" s="157">
        <v>140085000</v>
      </c>
      <c r="E88" s="157">
        <f t="shared" si="2"/>
        <v>33058000</v>
      </c>
      <c r="F88" s="161">
        <f t="shared" si="3"/>
        <v>0.30887533052407334</v>
      </c>
    </row>
    <row r="89" spans="1:6" ht="15" customHeight="1" x14ac:dyDescent="0.2">
      <c r="A89" s="147">
        <v>28</v>
      </c>
      <c r="B89" s="160" t="s">
        <v>224</v>
      </c>
      <c r="C89" s="157">
        <v>35673000</v>
      </c>
      <c r="D89" s="157">
        <v>121011000</v>
      </c>
      <c r="E89" s="157">
        <f t="shared" si="2"/>
        <v>85338000</v>
      </c>
      <c r="F89" s="161">
        <f t="shared" si="3"/>
        <v>2.3922294172062903</v>
      </c>
    </row>
    <row r="90" spans="1:6" ht="15.75" customHeight="1" x14ac:dyDescent="0.25">
      <c r="A90" s="147"/>
      <c r="B90" s="162" t="s">
        <v>225</v>
      </c>
      <c r="C90" s="158">
        <f>SUM(C62:C89)</f>
        <v>365249000</v>
      </c>
      <c r="D90" s="158">
        <f>SUM(D62:D89)</f>
        <v>533312000</v>
      </c>
      <c r="E90" s="158">
        <f t="shared" si="2"/>
        <v>168063000</v>
      </c>
      <c r="F90" s="159">
        <f t="shared" si="3"/>
        <v>0.46013267661239321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1654251000</v>
      </c>
      <c r="D95" s="158">
        <f>+D93+D90+D59+D50+D47+D44+D41+D35+D30+D24+D18</f>
        <v>2236673000</v>
      </c>
      <c r="E95" s="158">
        <f>+D95-C95</f>
        <v>582422000</v>
      </c>
      <c r="F95" s="159">
        <f>IF(C95=0,0,E95/C95)</f>
        <v>0.3520759546163188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51268562</v>
      </c>
      <c r="D103" s="157">
        <v>62721270</v>
      </c>
      <c r="E103" s="157">
        <f t="shared" ref="E103:E121" si="4">D103-C103</f>
        <v>11452708</v>
      </c>
      <c r="F103" s="161">
        <f t="shared" ref="F103:F121" si="5">IF(C103=0,0,E103/C103)</f>
        <v>0.22338656582566135</v>
      </c>
    </row>
    <row r="104" spans="1:6" ht="15" customHeight="1" x14ac:dyDescent="0.2">
      <c r="A104" s="147">
        <v>2</v>
      </c>
      <c r="B104" s="169" t="s">
        <v>234</v>
      </c>
      <c r="C104" s="157">
        <v>5151743</v>
      </c>
      <c r="D104" s="157">
        <v>5395950</v>
      </c>
      <c r="E104" s="157">
        <f t="shared" si="4"/>
        <v>244207</v>
      </c>
      <c r="F104" s="161">
        <f t="shared" si="5"/>
        <v>4.740279163770398E-2</v>
      </c>
    </row>
    <row r="105" spans="1:6" ht="15" customHeight="1" x14ac:dyDescent="0.2">
      <c r="A105" s="147">
        <v>3</v>
      </c>
      <c r="B105" s="169" t="s">
        <v>235</v>
      </c>
      <c r="C105" s="157">
        <v>18650594</v>
      </c>
      <c r="D105" s="157">
        <v>28954137</v>
      </c>
      <c r="E105" s="157">
        <f t="shared" si="4"/>
        <v>10303543</v>
      </c>
      <c r="F105" s="161">
        <f t="shared" si="5"/>
        <v>0.55245119806908027</v>
      </c>
    </row>
    <row r="106" spans="1:6" ht="15" customHeight="1" x14ac:dyDescent="0.2">
      <c r="A106" s="147">
        <v>4</v>
      </c>
      <c r="B106" s="169" t="s">
        <v>236</v>
      </c>
      <c r="C106" s="157">
        <v>11594092</v>
      </c>
      <c r="D106" s="157">
        <v>15328578</v>
      </c>
      <c r="E106" s="157">
        <f t="shared" si="4"/>
        <v>3734486</v>
      </c>
      <c r="F106" s="161">
        <f t="shared" si="5"/>
        <v>0.32210249841039729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580919</v>
      </c>
      <c r="D108" s="157">
        <v>5668103</v>
      </c>
      <c r="E108" s="157">
        <f t="shared" si="4"/>
        <v>5087184</v>
      </c>
      <c r="F108" s="161">
        <f t="shared" si="5"/>
        <v>8.757131372876426</v>
      </c>
    </row>
    <row r="109" spans="1:6" ht="15" customHeight="1" x14ac:dyDescent="0.2">
      <c r="A109" s="147">
        <v>7</v>
      </c>
      <c r="B109" s="169" t="s">
        <v>239</v>
      </c>
      <c r="C109" s="157">
        <v>4062882</v>
      </c>
      <c r="D109" s="157">
        <v>3940430</v>
      </c>
      <c r="E109" s="157">
        <f t="shared" si="4"/>
        <v>-122452</v>
      </c>
      <c r="F109" s="161">
        <f t="shared" si="5"/>
        <v>-3.0139196757375676E-2</v>
      </c>
    </row>
    <row r="110" spans="1:6" ht="15" customHeight="1" x14ac:dyDescent="0.2">
      <c r="A110" s="147">
        <v>8</v>
      </c>
      <c r="B110" s="169" t="s">
        <v>240</v>
      </c>
      <c r="C110" s="157">
        <v>837669</v>
      </c>
      <c r="D110" s="157">
        <v>1215733</v>
      </c>
      <c r="E110" s="157">
        <f t="shared" si="4"/>
        <v>378064</v>
      </c>
      <c r="F110" s="161">
        <f t="shared" si="5"/>
        <v>0.45132862741727342</v>
      </c>
    </row>
    <row r="111" spans="1:6" ht="15" customHeight="1" x14ac:dyDescent="0.2">
      <c r="A111" s="147">
        <v>9</v>
      </c>
      <c r="B111" s="169" t="s">
        <v>241</v>
      </c>
      <c r="C111" s="157">
        <v>1843983</v>
      </c>
      <c r="D111" s="157">
        <v>3578303</v>
      </c>
      <c r="E111" s="157">
        <f t="shared" si="4"/>
        <v>1734320</v>
      </c>
      <c r="F111" s="161">
        <f t="shared" si="5"/>
        <v>0.94052927819833476</v>
      </c>
    </row>
    <row r="112" spans="1:6" ht="15" customHeight="1" x14ac:dyDescent="0.2">
      <c r="A112" s="147">
        <v>10</v>
      </c>
      <c r="B112" s="169" t="s">
        <v>242</v>
      </c>
      <c r="C112" s="157">
        <v>20677752</v>
      </c>
      <c r="D112" s="157">
        <v>27199717</v>
      </c>
      <c r="E112" s="157">
        <f t="shared" si="4"/>
        <v>6521965</v>
      </c>
      <c r="F112" s="161">
        <f t="shared" si="5"/>
        <v>0.31540976988214192</v>
      </c>
    </row>
    <row r="113" spans="1:6" ht="15" customHeight="1" x14ac:dyDescent="0.2">
      <c r="A113" s="147">
        <v>11</v>
      </c>
      <c r="B113" s="169" t="s">
        <v>243</v>
      </c>
      <c r="C113" s="157">
        <v>19811437</v>
      </c>
      <c r="D113" s="157">
        <v>26988620</v>
      </c>
      <c r="E113" s="157">
        <f t="shared" si="4"/>
        <v>7177183</v>
      </c>
      <c r="F113" s="161">
        <f t="shared" si="5"/>
        <v>0.36227473050036701</v>
      </c>
    </row>
    <row r="114" spans="1:6" ht="15" customHeight="1" x14ac:dyDescent="0.2">
      <c r="A114" s="147">
        <v>12</v>
      </c>
      <c r="B114" s="169" t="s">
        <v>244</v>
      </c>
      <c r="C114" s="157">
        <v>88978</v>
      </c>
      <c r="D114" s="157">
        <v>630338</v>
      </c>
      <c r="E114" s="157">
        <f t="shared" si="4"/>
        <v>541360</v>
      </c>
      <c r="F114" s="161">
        <f t="shared" si="5"/>
        <v>6.084200588909618</v>
      </c>
    </row>
    <row r="115" spans="1:6" ht="15" customHeight="1" x14ac:dyDescent="0.2">
      <c r="A115" s="147">
        <v>13</v>
      </c>
      <c r="B115" s="169" t="s">
        <v>245</v>
      </c>
      <c r="C115" s="157">
        <v>18410937</v>
      </c>
      <c r="D115" s="157">
        <v>32606161</v>
      </c>
      <c r="E115" s="157">
        <f t="shared" si="4"/>
        <v>14195224</v>
      </c>
      <c r="F115" s="161">
        <f t="shared" si="5"/>
        <v>0.77102126849926211</v>
      </c>
    </row>
    <row r="116" spans="1:6" ht="15" customHeight="1" x14ac:dyDescent="0.2">
      <c r="A116" s="147">
        <v>14</v>
      </c>
      <c r="B116" s="169" t="s">
        <v>246</v>
      </c>
      <c r="C116" s="157">
        <v>7348400</v>
      </c>
      <c r="D116" s="157">
        <v>10285731</v>
      </c>
      <c r="E116" s="157">
        <f t="shared" si="4"/>
        <v>2937331</v>
      </c>
      <c r="F116" s="161">
        <f t="shared" si="5"/>
        <v>0.39972388547166732</v>
      </c>
    </row>
    <row r="117" spans="1:6" ht="15" customHeight="1" x14ac:dyDescent="0.2">
      <c r="A117" s="147">
        <v>15</v>
      </c>
      <c r="B117" s="169" t="s">
        <v>203</v>
      </c>
      <c r="C117" s="157">
        <v>13982256</v>
      </c>
      <c r="D117" s="157">
        <v>23216912</v>
      </c>
      <c r="E117" s="157">
        <f t="shared" si="4"/>
        <v>9234656</v>
      </c>
      <c r="F117" s="161">
        <f t="shared" si="5"/>
        <v>0.66045536571494612</v>
      </c>
    </row>
    <row r="118" spans="1:6" ht="15" customHeight="1" x14ac:dyDescent="0.2">
      <c r="A118" s="147">
        <v>16</v>
      </c>
      <c r="B118" s="169" t="s">
        <v>247</v>
      </c>
      <c r="C118" s="157">
        <v>6747221</v>
      </c>
      <c r="D118" s="157">
        <v>11388395</v>
      </c>
      <c r="E118" s="157">
        <f t="shared" si="4"/>
        <v>4641174</v>
      </c>
      <c r="F118" s="161">
        <f t="shared" si="5"/>
        <v>0.68786452970786049</v>
      </c>
    </row>
    <row r="119" spans="1:6" ht="15" customHeight="1" x14ac:dyDescent="0.2">
      <c r="A119" s="147">
        <v>17</v>
      </c>
      <c r="B119" s="169" t="s">
        <v>248</v>
      </c>
      <c r="C119" s="157">
        <v>38541220</v>
      </c>
      <c r="D119" s="157">
        <v>57067003</v>
      </c>
      <c r="E119" s="157">
        <f t="shared" si="4"/>
        <v>18525783</v>
      </c>
      <c r="F119" s="161">
        <f t="shared" si="5"/>
        <v>0.48067453495244833</v>
      </c>
    </row>
    <row r="120" spans="1:6" ht="15" customHeight="1" x14ac:dyDescent="0.2">
      <c r="A120" s="147">
        <v>18</v>
      </c>
      <c r="B120" s="169" t="s">
        <v>249</v>
      </c>
      <c r="C120" s="157">
        <v>451252538</v>
      </c>
      <c r="D120" s="157">
        <v>487232237</v>
      </c>
      <c r="E120" s="157">
        <f t="shared" si="4"/>
        <v>35979699</v>
      </c>
      <c r="F120" s="161">
        <f t="shared" si="5"/>
        <v>7.9732956537964111E-2</v>
      </c>
    </row>
    <row r="121" spans="1:6" ht="15.75" customHeight="1" x14ac:dyDescent="0.25">
      <c r="A121" s="147"/>
      <c r="B121" s="165" t="s">
        <v>250</v>
      </c>
      <c r="C121" s="158">
        <f>SUM(C103:C120)</f>
        <v>670851183</v>
      </c>
      <c r="D121" s="158">
        <f>SUM(D103:D120)</f>
        <v>803417618</v>
      </c>
      <c r="E121" s="158">
        <f t="shared" si="4"/>
        <v>132566435</v>
      </c>
      <c r="F121" s="159">
        <f t="shared" si="5"/>
        <v>0.1976093034630603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30459343</v>
      </c>
      <c r="D124" s="157">
        <v>52151125</v>
      </c>
      <c r="E124" s="157">
        <f t="shared" ref="E124:E130" si="6">D124-C124</f>
        <v>21691782</v>
      </c>
      <c r="F124" s="161">
        <f t="shared" ref="F124:F130" si="7">IF(C124=0,0,E124/C124)</f>
        <v>0.71215528187853561</v>
      </c>
    </row>
    <row r="125" spans="1:6" ht="15" customHeight="1" x14ac:dyDescent="0.2">
      <c r="A125" s="147">
        <v>2</v>
      </c>
      <c r="B125" s="169" t="s">
        <v>253</v>
      </c>
      <c r="C125" s="157">
        <v>52405647</v>
      </c>
      <c r="D125" s="157">
        <v>66068752</v>
      </c>
      <c r="E125" s="157">
        <f t="shared" si="6"/>
        <v>13663105</v>
      </c>
      <c r="F125" s="161">
        <f t="shared" si="7"/>
        <v>0.26071818176388512</v>
      </c>
    </row>
    <row r="126" spans="1:6" ht="15" customHeight="1" x14ac:dyDescent="0.2">
      <c r="A126" s="147">
        <v>3</v>
      </c>
      <c r="B126" s="169" t="s">
        <v>254</v>
      </c>
      <c r="C126" s="157">
        <v>13490986</v>
      </c>
      <c r="D126" s="157">
        <v>18299375</v>
      </c>
      <c r="E126" s="157">
        <f t="shared" si="6"/>
        <v>4808389</v>
      </c>
      <c r="F126" s="161">
        <f t="shared" si="7"/>
        <v>0.35641494254015238</v>
      </c>
    </row>
    <row r="127" spans="1:6" ht="15" customHeight="1" x14ac:dyDescent="0.2">
      <c r="A127" s="147">
        <v>4</v>
      </c>
      <c r="B127" s="169" t="s">
        <v>255</v>
      </c>
      <c r="C127" s="157">
        <v>7726626</v>
      </c>
      <c r="D127" s="157">
        <v>13082778</v>
      </c>
      <c r="E127" s="157">
        <f t="shared" si="6"/>
        <v>5356152</v>
      </c>
      <c r="F127" s="161">
        <f t="shared" si="7"/>
        <v>0.69320709970949801</v>
      </c>
    </row>
    <row r="128" spans="1:6" ht="15" customHeight="1" x14ac:dyDescent="0.2">
      <c r="A128" s="147">
        <v>5</v>
      </c>
      <c r="B128" s="169" t="s">
        <v>256</v>
      </c>
      <c r="C128" s="157">
        <v>3101521</v>
      </c>
      <c r="D128" s="157">
        <v>7682075</v>
      </c>
      <c r="E128" s="157">
        <f t="shared" si="6"/>
        <v>4580554</v>
      </c>
      <c r="F128" s="161">
        <f t="shared" si="7"/>
        <v>1.476873443707136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107184123</v>
      </c>
      <c r="D130" s="158">
        <f>SUM(D124:D129)</f>
        <v>157284105</v>
      </c>
      <c r="E130" s="158">
        <f t="shared" si="6"/>
        <v>50099982</v>
      </c>
      <c r="F130" s="159">
        <f t="shared" si="7"/>
        <v>0.46741980619648305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91598288</v>
      </c>
      <c r="D133" s="157">
        <v>142606666</v>
      </c>
      <c r="E133" s="157">
        <f t="shared" ref="E133:E167" si="8">D133-C133</f>
        <v>51008378</v>
      </c>
      <c r="F133" s="161">
        <f t="shared" ref="F133:F167" si="9">IF(C133=0,0,E133/C133)</f>
        <v>0.5568704297180751</v>
      </c>
    </row>
    <row r="134" spans="1:6" ht="15" customHeight="1" x14ac:dyDescent="0.2">
      <c r="A134" s="147">
        <v>2</v>
      </c>
      <c r="B134" s="169" t="s">
        <v>261</v>
      </c>
      <c r="C134" s="157">
        <v>7366108</v>
      </c>
      <c r="D134" s="157">
        <v>11467125</v>
      </c>
      <c r="E134" s="157">
        <f t="shared" si="8"/>
        <v>4101017</v>
      </c>
      <c r="F134" s="161">
        <f t="shared" si="9"/>
        <v>0.55674136192409884</v>
      </c>
    </row>
    <row r="135" spans="1:6" ht="15" customHeight="1" x14ac:dyDescent="0.2">
      <c r="A135" s="147">
        <v>3</v>
      </c>
      <c r="B135" s="169" t="s">
        <v>262</v>
      </c>
      <c r="C135" s="157">
        <v>21132075</v>
      </c>
      <c r="D135" s="157">
        <v>20001438</v>
      </c>
      <c r="E135" s="157">
        <f t="shared" si="8"/>
        <v>-1130637</v>
      </c>
      <c r="F135" s="161">
        <f t="shared" si="9"/>
        <v>-5.3503359229985697E-2</v>
      </c>
    </row>
    <row r="136" spans="1:6" ht="15" customHeight="1" x14ac:dyDescent="0.2">
      <c r="A136" s="147">
        <v>4</v>
      </c>
      <c r="B136" s="169" t="s">
        <v>263</v>
      </c>
      <c r="C136" s="157">
        <v>10322141</v>
      </c>
      <c r="D136" s="157">
        <v>12467329</v>
      </c>
      <c r="E136" s="157">
        <f t="shared" si="8"/>
        <v>2145188</v>
      </c>
      <c r="F136" s="161">
        <f t="shared" si="9"/>
        <v>0.20782393885144565</v>
      </c>
    </row>
    <row r="137" spans="1:6" ht="15" customHeight="1" x14ac:dyDescent="0.2">
      <c r="A137" s="147">
        <v>5</v>
      </c>
      <c r="B137" s="169" t="s">
        <v>264</v>
      </c>
      <c r="C137" s="157">
        <v>31566753</v>
      </c>
      <c r="D137" s="157">
        <v>36698324</v>
      </c>
      <c r="E137" s="157">
        <f t="shared" si="8"/>
        <v>5131571</v>
      </c>
      <c r="F137" s="161">
        <f t="shared" si="9"/>
        <v>0.16256252266427276</v>
      </c>
    </row>
    <row r="138" spans="1:6" ht="15" customHeight="1" x14ac:dyDescent="0.2">
      <c r="A138" s="147">
        <v>6</v>
      </c>
      <c r="B138" s="169" t="s">
        <v>265</v>
      </c>
      <c r="C138" s="157">
        <v>4744733</v>
      </c>
      <c r="D138" s="157">
        <v>6467464</v>
      </c>
      <c r="E138" s="157">
        <f t="shared" si="8"/>
        <v>1722731</v>
      </c>
      <c r="F138" s="161">
        <f t="shared" si="9"/>
        <v>0.36308281203599868</v>
      </c>
    </row>
    <row r="139" spans="1:6" ht="15" customHeight="1" x14ac:dyDescent="0.2">
      <c r="A139" s="147">
        <v>7</v>
      </c>
      <c r="B139" s="169" t="s">
        <v>266</v>
      </c>
      <c r="C139" s="157">
        <v>11595265</v>
      </c>
      <c r="D139" s="157">
        <v>18576883</v>
      </c>
      <c r="E139" s="157">
        <f t="shared" si="8"/>
        <v>6981618</v>
      </c>
      <c r="F139" s="161">
        <f t="shared" si="9"/>
        <v>0.60210939551618703</v>
      </c>
    </row>
    <row r="140" spans="1:6" ht="15" customHeight="1" x14ac:dyDescent="0.2">
      <c r="A140" s="147">
        <v>8</v>
      </c>
      <c r="B140" s="169" t="s">
        <v>267</v>
      </c>
      <c r="C140" s="157">
        <v>34014959</v>
      </c>
      <c r="D140" s="157">
        <v>36625486</v>
      </c>
      <c r="E140" s="157">
        <f t="shared" si="8"/>
        <v>2610527</v>
      </c>
      <c r="F140" s="161">
        <f t="shared" si="9"/>
        <v>7.6746439706130473E-2</v>
      </c>
    </row>
    <row r="141" spans="1:6" ht="15" customHeight="1" x14ac:dyDescent="0.2">
      <c r="A141" s="147">
        <v>9</v>
      </c>
      <c r="B141" s="169" t="s">
        <v>268</v>
      </c>
      <c r="C141" s="157">
        <v>4640187</v>
      </c>
      <c r="D141" s="157">
        <v>5699029</v>
      </c>
      <c r="E141" s="157">
        <f t="shared" si="8"/>
        <v>1058842</v>
      </c>
      <c r="F141" s="161">
        <f t="shared" si="9"/>
        <v>0.22818951046584976</v>
      </c>
    </row>
    <row r="142" spans="1:6" ht="15" customHeight="1" x14ac:dyDescent="0.2">
      <c r="A142" s="147">
        <v>10</v>
      </c>
      <c r="B142" s="169" t="s">
        <v>269</v>
      </c>
      <c r="C142" s="157">
        <v>53834259</v>
      </c>
      <c r="D142" s="157">
        <v>70002945</v>
      </c>
      <c r="E142" s="157">
        <f t="shared" si="8"/>
        <v>16168686</v>
      </c>
      <c r="F142" s="161">
        <f t="shared" si="9"/>
        <v>0.30034194396545888</v>
      </c>
    </row>
    <row r="143" spans="1:6" ht="15" customHeight="1" x14ac:dyDescent="0.2">
      <c r="A143" s="147">
        <v>11</v>
      </c>
      <c r="B143" s="169" t="s">
        <v>270</v>
      </c>
      <c r="C143" s="157">
        <v>18109695</v>
      </c>
      <c r="D143" s="157">
        <v>22315749</v>
      </c>
      <c r="E143" s="157">
        <f t="shared" si="8"/>
        <v>4206054</v>
      </c>
      <c r="F143" s="161">
        <f t="shared" si="9"/>
        <v>0.23225427043359925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13797493</v>
      </c>
      <c r="D145" s="157">
        <v>19416864</v>
      </c>
      <c r="E145" s="157">
        <f t="shared" si="8"/>
        <v>5619371</v>
      </c>
      <c r="F145" s="161">
        <f t="shared" si="9"/>
        <v>0.40727478535412193</v>
      </c>
    </row>
    <row r="146" spans="1:6" ht="15" customHeight="1" x14ac:dyDescent="0.2">
      <c r="A146" s="147">
        <v>14</v>
      </c>
      <c r="B146" s="169" t="s">
        <v>273</v>
      </c>
      <c r="C146" s="157">
        <v>3686072</v>
      </c>
      <c r="D146" s="157">
        <v>6829348</v>
      </c>
      <c r="E146" s="157">
        <f t="shared" si="8"/>
        <v>3143276</v>
      </c>
      <c r="F146" s="161">
        <f t="shared" si="9"/>
        <v>0.85274405925874486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13614078</v>
      </c>
      <c r="D150" s="157">
        <v>15635790</v>
      </c>
      <c r="E150" s="157">
        <f t="shared" si="8"/>
        <v>2021712</v>
      </c>
      <c r="F150" s="161">
        <f t="shared" si="9"/>
        <v>0.14850157315096918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3417954</v>
      </c>
      <c r="D154" s="157">
        <v>6301283</v>
      </c>
      <c r="E154" s="157">
        <f t="shared" si="8"/>
        <v>2883329</v>
      </c>
      <c r="F154" s="161">
        <f t="shared" si="9"/>
        <v>0.84358332499501165</v>
      </c>
    </row>
    <row r="155" spans="1:6" ht="15" customHeight="1" x14ac:dyDescent="0.2">
      <c r="A155" s="147">
        <v>23</v>
      </c>
      <c r="B155" s="169" t="s">
        <v>282</v>
      </c>
      <c r="C155" s="157">
        <v>3232129</v>
      </c>
      <c r="D155" s="157">
        <v>3882776</v>
      </c>
      <c r="E155" s="157">
        <f t="shared" si="8"/>
        <v>650647</v>
      </c>
      <c r="F155" s="161">
        <f t="shared" si="9"/>
        <v>0.20130601222909111</v>
      </c>
    </row>
    <row r="156" spans="1:6" ht="15" customHeight="1" x14ac:dyDescent="0.2">
      <c r="A156" s="147">
        <v>24</v>
      </c>
      <c r="B156" s="169" t="s">
        <v>283</v>
      </c>
      <c r="C156" s="157">
        <v>49029560</v>
      </c>
      <c r="D156" s="157">
        <v>67237087</v>
      </c>
      <c r="E156" s="157">
        <f t="shared" si="8"/>
        <v>18207527</v>
      </c>
      <c r="F156" s="161">
        <f t="shared" si="9"/>
        <v>0.37135815618169937</v>
      </c>
    </row>
    <row r="157" spans="1:6" ht="15" customHeight="1" x14ac:dyDescent="0.2">
      <c r="A157" s="147">
        <v>25</v>
      </c>
      <c r="B157" s="169" t="s">
        <v>284</v>
      </c>
      <c r="C157" s="157">
        <v>5712086</v>
      </c>
      <c r="D157" s="157">
        <v>7876965</v>
      </c>
      <c r="E157" s="157">
        <f t="shared" si="8"/>
        <v>2164879</v>
      </c>
      <c r="F157" s="161">
        <f t="shared" si="9"/>
        <v>0.37899972094257683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2453083</v>
      </c>
      <c r="D160" s="157">
        <v>2775834</v>
      </c>
      <c r="E160" s="157">
        <f t="shared" si="8"/>
        <v>322751</v>
      </c>
      <c r="F160" s="161">
        <f t="shared" si="9"/>
        <v>0.13156953922879902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67806</v>
      </c>
      <c r="D162" s="157">
        <v>0</v>
      </c>
      <c r="E162" s="157">
        <f t="shared" si="8"/>
        <v>-67806</v>
      </c>
      <c r="F162" s="161">
        <f t="shared" si="9"/>
        <v>-1</v>
      </c>
    </row>
    <row r="163" spans="1:6" ht="15" customHeight="1" x14ac:dyDescent="0.2">
      <c r="A163" s="147">
        <v>31</v>
      </c>
      <c r="B163" s="169" t="s">
        <v>290</v>
      </c>
      <c r="C163" s="157">
        <v>3922227</v>
      </c>
      <c r="D163" s="157">
        <v>5105156</v>
      </c>
      <c r="E163" s="157">
        <f t="shared" si="8"/>
        <v>1182929</v>
      </c>
      <c r="F163" s="161">
        <f t="shared" si="9"/>
        <v>0.3015962615116361</v>
      </c>
    </row>
    <row r="164" spans="1:6" ht="15" customHeight="1" x14ac:dyDescent="0.2">
      <c r="A164" s="147">
        <v>32</v>
      </c>
      <c r="B164" s="169" t="s">
        <v>291</v>
      </c>
      <c r="C164" s="157">
        <v>5581844</v>
      </c>
      <c r="D164" s="157">
        <v>8863644</v>
      </c>
      <c r="E164" s="157">
        <f t="shared" si="8"/>
        <v>3281800</v>
      </c>
      <c r="F164" s="161">
        <f t="shared" si="9"/>
        <v>0.58794190593646112</v>
      </c>
    </row>
    <row r="165" spans="1:6" ht="15" customHeight="1" x14ac:dyDescent="0.2">
      <c r="A165" s="147">
        <v>33</v>
      </c>
      <c r="B165" s="169" t="s">
        <v>292</v>
      </c>
      <c r="C165" s="157">
        <v>3508068</v>
      </c>
      <c r="D165" s="157">
        <v>4225639</v>
      </c>
      <c r="E165" s="157">
        <f t="shared" si="8"/>
        <v>717571</v>
      </c>
      <c r="F165" s="161">
        <f t="shared" si="9"/>
        <v>0.20454877157455328</v>
      </c>
    </row>
    <row r="166" spans="1:6" ht="15" customHeight="1" x14ac:dyDescent="0.2">
      <c r="A166" s="147">
        <v>34</v>
      </c>
      <c r="B166" s="169" t="s">
        <v>293</v>
      </c>
      <c r="C166" s="157">
        <v>4050343</v>
      </c>
      <c r="D166" s="157">
        <v>4721122</v>
      </c>
      <c r="E166" s="157">
        <f t="shared" si="8"/>
        <v>670779</v>
      </c>
      <c r="F166" s="161">
        <f t="shared" si="9"/>
        <v>0.16561041867318396</v>
      </c>
    </row>
    <row r="167" spans="1:6" ht="15.75" customHeight="1" x14ac:dyDescent="0.25">
      <c r="A167" s="147"/>
      <c r="B167" s="165" t="s">
        <v>294</v>
      </c>
      <c r="C167" s="158">
        <f>SUM(C133:C166)</f>
        <v>400997206</v>
      </c>
      <c r="D167" s="158">
        <f>SUM(D133:D166)</f>
        <v>535799946</v>
      </c>
      <c r="E167" s="158">
        <f t="shared" si="8"/>
        <v>134802740</v>
      </c>
      <c r="F167" s="159">
        <f t="shared" si="9"/>
        <v>0.33616877619840574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153542875</v>
      </c>
      <c r="D170" s="157">
        <v>220229180</v>
      </c>
      <c r="E170" s="157">
        <f t="shared" ref="E170:E183" si="10">D170-C170</f>
        <v>66686305</v>
      </c>
      <c r="F170" s="161">
        <f t="shared" ref="F170:F183" si="11">IF(C170=0,0,E170/C170)</f>
        <v>0.43431715734123122</v>
      </c>
    </row>
    <row r="171" spans="1:6" ht="15" customHeight="1" x14ac:dyDescent="0.2">
      <c r="A171" s="147">
        <v>2</v>
      </c>
      <c r="B171" s="169" t="s">
        <v>297</v>
      </c>
      <c r="C171" s="157">
        <v>48035778</v>
      </c>
      <c r="D171" s="157">
        <v>57763763</v>
      </c>
      <c r="E171" s="157">
        <f t="shared" si="10"/>
        <v>9727985</v>
      </c>
      <c r="F171" s="161">
        <f t="shared" si="11"/>
        <v>0.20251540424722589</v>
      </c>
    </row>
    <row r="172" spans="1:6" ht="15" customHeight="1" x14ac:dyDescent="0.2">
      <c r="A172" s="147">
        <v>3</v>
      </c>
      <c r="B172" s="169" t="s">
        <v>298</v>
      </c>
      <c r="C172" s="157">
        <v>5541502</v>
      </c>
      <c r="D172" s="157">
        <v>10858604</v>
      </c>
      <c r="E172" s="157">
        <f t="shared" si="10"/>
        <v>5317102</v>
      </c>
      <c r="F172" s="161">
        <f t="shared" si="11"/>
        <v>0.95950556365404183</v>
      </c>
    </row>
    <row r="173" spans="1:6" ht="15" customHeight="1" x14ac:dyDescent="0.2">
      <c r="A173" s="147">
        <v>4</v>
      </c>
      <c r="B173" s="169" t="s">
        <v>299</v>
      </c>
      <c r="C173" s="157">
        <v>16991691</v>
      </c>
      <c r="D173" s="157">
        <v>22959848</v>
      </c>
      <c r="E173" s="157">
        <f t="shared" si="10"/>
        <v>5968157</v>
      </c>
      <c r="F173" s="161">
        <f t="shared" si="11"/>
        <v>0.35123973240803402</v>
      </c>
    </row>
    <row r="174" spans="1:6" ht="15" customHeight="1" x14ac:dyDescent="0.2">
      <c r="A174" s="147">
        <v>5</v>
      </c>
      <c r="B174" s="169" t="s">
        <v>300</v>
      </c>
      <c r="C174" s="157">
        <v>11606257</v>
      </c>
      <c r="D174" s="157">
        <v>16076947</v>
      </c>
      <c r="E174" s="157">
        <f t="shared" si="10"/>
        <v>4470690</v>
      </c>
      <c r="F174" s="161">
        <f t="shared" si="11"/>
        <v>0.38519653666121645</v>
      </c>
    </row>
    <row r="175" spans="1:6" ht="15" customHeight="1" x14ac:dyDescent="0.2">
      <c r="A175" s="147">
        <v>6</v>
      </c>
      <c r="B175" s="169" t="s">
        <v>301</v>
      </c>
      <c r="C175" s="157">
        <v>6343379</v>
      </c>
      <c r="D175" s="157">
        <v>7944400</v>
      </c>
      <c r="E175" s="157">
        <f t="shared" si="10"/>
        <v>1601021</v>
      </c>
      <c r="F175" s="161">
        <f t="shared" si="11"/>
        <v>0.25239245518831527</v>
      </c>
    </row>
    <row r="176" spans="1:6" ht="15" customHeight="1" x14ac:dyDescent="0.2">
      <c r="A176" s="147">
        <v>7</v>
      </c>
      <c r="B176" s="169" t="s">
        <v>302</v>
      </c>
      <c r="C176" s="157">
        <v>3843514</v>
      </c>
      <c r="D176" s="157">
        <v>7672660</v>
      </c>
      <c r="E176" s="157">
        <f t="shared" si="10"/>
        <v>3829146</v>
      </c>
      <c r="F176" s="161">
        <f t="shared" si="11"/>
        <v>0.99626175421762486</v>
      </c>
    </row>
    <row r="177" spans="1:6" ht="15" customHeight="1" x14ac:dyDescent="0.2">
      <c r="A177" s="147">
        <v>8</v>
      </c>
      <c r="B177" s="169" t="s">
        <v>303</v>
      </c>
      <c r="C177" s="157">
        <v>18373850</v>
      </c>
      <c r="D177" s="157">
        <v>19502683</v>
      </c>
      <c r="E177" s="157">
        <f t="shared" si="10"/>
        <v>1128833</v>
      </c>
      <c r="F177" s="161">
        <f t="shared" si="11"/>
        <v>6.1436933467944932E-2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1712909</v>
      </c>
      <c r="E178" s="157">
        <f t="shared" si="10"/>
        <v>1712909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11990705</v>
      </c>
      <c r="D179" s="157">
        <v>10253989</v>
      </c>
      <c r="E179" s="157">
        <f t="shared" si="10"/>
        <v>-1736716</v>
      </c>
      <c r="F179" s="161">
        <f t="shared" si="11"/>
        <v>-0.14483852283914916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143497726</v>
      </c>
      <c r="D181" s="157">
        <v>199679009</v>
      </c>
      <c r="E181" s="157">
        <f t="shared" si="10"/>
        <v>56181283</v>
      </c>
      <c r="F181" s="161">
        <f t="shared" si="11"/>
        <v>0.39151340279775582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419767277</v>
      </c>
      <c r="D183" s="158">
        <f>SUM(D170:D182)</f>
        <v>574653992</v>
      </c>
      <c r="E183" s="158">
        <f t="shared" si="10"/>
        <v>154886715</v>
      </c>
      <c r="F183" s="159">
        <f t="shared" si="11"/>
        <v>0.36898234685406411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55451211</v>
      </c>
      <c r="D186" s="157">
        <v>165517339</v>
      </c>
      <c r="E186" s="157">
        <f>D186-C186</f>
        <v>110066128</v>
      </c>
      <c r="F186" s="161">
        <f>IF(C186=0,0,E186/C186)</f>
        <v>1.9849183816742975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1654251000</v>
      </c>
      <c r="D188" s="158">
        <f>+D186+D183+D167+D130+D121</f>
        <v>2236673000</v>
      </c>
      <c r="E188" s="158">
        <f>D188-C188</f>
        <v>582422000</v>
      </c>
      <c r="F188" s="159">
        <f>IF(C188=0,0,E188/C188)</f>
        <v>0.3520759546163188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1442057000</v>
      </c>
      <c r="D11" s="183">
        <v>1713271000</v>
      </c>
      <c r="E11" s="76">
        <v>2282916000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46640000</v>
      </c>
      <c r="D12" s="185">
        <v>47560000</v>
      </c>
      <c r="E12" s="185">
        <v>58633000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1488697000</v>
      </c>
      <c r="D13" s="76">
        <f>+D11+D12</f>
        <v>1760831000</v>
      </c>
      <c r="E13" s="76">
        <f>+E11+E12</f>
        <v>2341549000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1435807000</v>
      </c>
      <c r="D14" s="185">
        <v>1654251000</v>
      </c>
      <c r="E14" s="185">
        <v>2236673000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52890000</v>
      </c>
      <c r="D15" s="76">
        <f>+D13-D14</f>
        <v>106580000</v>
      </c>
      <c r="E15" s="76">
        <f>+E13-E14</f>
        <v>104876000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14272000</v>
      </c>
      <c r="D16" s="185">
        <v>24029000</v>
      </c>
      <c r="E16" s="185">
        <v>73846000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67162000</v>
      </c>
      <c r="D17" s="76">
        <f>D15+D16</f>
        <v>130609000</v>
      </c>
      <c r="E17" s="76">
        <f>E15+E16</f>
        <v>178722000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3.51903465740145E-2</v>
      </c>
      <c r="D20" s="189">
        <f>IF(+D27=0,0,+D24/+D27)</f>
        <v>5.9713366874712862E-2</v>
      </c>
      <c r="E20" s="189">
        <f>IF(+E27=0,0,+E24/+E27)</f>
        <v>4.3419813322458645E-2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9.495871172326243E-3</v>
      </c>
      <c r="D21" s="189">
        <f>IF(D27=0,0,+D26/D27)</f>
        <v>1.3462680546373385E-2</v>
      </c>
      <c r="E21" s="189">
        <f>IF(E27=0,0,+E26/E27)</f>
        <v>3.0573053268720025E-2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4.468621774634074E-2</v>
      </c>
      <c r="D22" s="189">
        <f>IF(D27=0,0,+D28/D27)</f>
        <v>7.3176047421086243E-2</v>
      </c>
      <c r="E22" s="189">
        <f>IF(E27=0,0,+E28/E27)</f>
        <v>7.3992866591178666E-2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52890000</v>
      </c>
      <c r="D24" s="76">
        <f>+D15</f>
        <v>106580000</v>
      </c>
      <c r="E24" s="76">
        <f>+E15</f>
        <v>104876000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1488697000</v>
      </c>
      <c r="D25" s="76">
        <f>+D13</f>
        <v>1760831000</v>
      </c>
      <c r="E25" s="76">
        <f>+E13</f>
        <v>2341549000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14272000</v>
      </c>
      <c r="D26" s="76">
        <f>+D16</f>
        <v>24029000</v>
      </c>
      <c r="E26" s="76">
        <f>+E16</f>
        <v>73846000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1502969000</v>
      </c>
      <c r="D27" s="76">
        <f>+D25+D26</f>
        <v>1784860000</v>
      </c>
      <c r="E27" s="76">
        <f>+E25+E26</f>
        <v>2415395000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67162000</v>
      </c>
      <c r="D28" s="76">
        <f>+D17</f>
        <v>130609000</v>
      </c>
      <c r="E28" s="76">
        <f>+E17</f>
        <v>178722000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604617000</v>
      </c>
      <c r="D31" s="76">
        <v>676008000</v>
      </c>
      <c r="E31" s="76">
        <v>930988000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674087000</v>
      </c>
      <c r="D32" s="76">
        <v>748778000</v>
      </c>
      <c r="E32" s="76">
        <v>1018125000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31775000</v>
      </c>
      <c r="D33" s="76">
        <f>+D32-C32</f>
        <v>74691000</v>
      </c>
      <c r="E33" s="76">
        <f>+E32-D32</f>
        <v>269347000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1.0494000000000001</v>
      </c>
      <c r="D34" s="193">
        <f>IF(C32=0,0,+D33/C32)</f>
        <v>0.11080320492755386</v>
      </c>
      <c r="E34" s="193">
        <f>IF(D32=0,0,+E33/D32)</f>
        <v>0.35971542967341458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0.32245538429631887</v>
      </c>
      <c r="D38" s="195">
        <f>IF((D40+D41)=0,0,+D39/(D40+D41))</f>
        <v>0.28802948956627128</v>
      </c>
      <c r="E38" s="195">
        <f>IF((E40+E41)=0,0,+E39/(E40+E41))</f>
        <v>0.27123322994865828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1435807000</v>
      </c>
      <c r="D39" s="76">
        <v>1654251000</v>
      </c>
      <c r="E39" s="196">
        <v>2236673000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4443296447</v>
      </c>
      <c r="D40" s="76">
        <v>5740304076</v>
      </c>
      <c r="E40" s="196">
        <v>8243052871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9434287</v>
      </c>
      <c r="D41" s="76">
        <v>3034922</v>
      </c>
      <c r="E41" s="196">
        <v>3256036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1.2790871683697644</v>
      </c>
      <c r="D43" s="197">
        <f>IF(D38=0,0,IF((D46-D47)=0,0,((+D44-D45)/(D46-D47)/D38)))</f>
        <v>1.4013613229890949</v>
      </c>
      <c r="E43" s="197">
        <f>IF(E38=0,0,IF((E46-E47)=0,0,((+E44-E45)/(E46-E47)/E38)))</f>
        <v>1.4691565950810439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733145410</v>
      </c>
      <c r="D44" s="76">
        <v>910703894</v>
      </c>
      <c r="E44" s="196">
        <v>1220973590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16918639</v>
      </c>
      <c r="D45" s="76">
        <v>11106305</v>
      </c>
      <c r="E45" s="196">
        <v>12519061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1830528989</v>
      </c>
      <c r="D46" s="76">
        <v>2345778878</v>
      </c>
      <c r="E46" s="196">
        <v>3193811532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94005050</v>
      </c>
      <c r="D47" s="76">
        <v>117029674</v>
      </c>
      <c r="E47" s="76">
        <v>161182216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0.89647009279411694</v>
      </c>
      <c r="D49" s="198">
        <f>IF(D38=0,0,IF(D51=0,0,(D50/D51)/D38))</f>
        <v>0.82984287397877288</v>
      </c>
      <c r="E49" s="198">
        <f>IF(E38=0,0,IF(E51=0,0,(E50/E51)/E38))</f>
        <v>0.8250935681544922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434149633</v>
      </c>
      <c r="D50" s="199">
        <v>482971170</v>
      </c>
      <c r="E50" s="199">
        <v>715953635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1501875731</v>
      </c>
      <c r="D51" s="199">
        <v>2020637383</v>
      </c>
      <c r="E51" s="199">
        <v>3199180920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0.61205540564980465</v>
      </c>
      <c r="D53" s="198">
        <f>IF(D38=0,0,IF(D55=0,0,(D54/D55)/D38))</f>
        <v>0.65955425408107382</v>
      </c>
      <c r="E53" s="198">
        <f>IF(E38=0,0,IF(E55=0,0,(E54/E55)/E38))</f>
        <v>0.68684343739115905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213928168</v>
      </c>
      <c r="D54" s="199">
        <v>254834152</v>
      </c>
      <c r="E54" s="199">
        <v>337078611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1083945885</v>
      </c>
      <c r="D55" s="199">
        <v>1341436594</v>
      </c>
      <c r="E55" s="199">
        <v>1809383172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28023511.419458762</v>
      </c>
      <c r="D57" s="88">
        <f>+D60*D38</f>
        <v>31889608.916738365</v>
      </c>
      <c r="E57" s="88">
        <f>+E60*E38</f>
        <v>41003683.537488416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31059911</v>
      </c>
      <c r="D58" s="199">
        <v>35745214</v>
      </c>
      <c r="E58" s="199">
        <v>32480929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55846721</v>
      </c>
      <c r="D59" s="199">
        <v>74971258</v>
      </c>
      <c r="E59" s="199">
        <v>118694071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86906632</v>
      </c>
      <c r="D60" s="76">
        <v>110716472</v>
      </c>
      <c r="E60" s="201">
        <v>151175000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1.9517603284744233E-2</v>
      </c>
      <c r="D62" s="202">
        <f>IF(D63=0,0,+D57/D63)</f>
        <v>1.9277370191547936E-2</v>
      </c>
      <c r="E62" s="202">
        <f>IF(E63=0,0,+E57/E63)</f>
        <v>1.8332444455442711E-2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1435807000</v>
      </c>
      <c r="D63" s="199">
        <v>1654251000</v>
      </c>
      <c r="E63" s="199">
        <v>2236673000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3.0475098530992475</v>
      </c>
      <c r="D67" s="203">
        <f>IF(D69=0,0,D68/D69)</f>
        <v>2.2697835752551687</v>
      </c>
      <c r="E67" s="203">
        <f>IF(E69=0,0,E68/E69)</f>
        <v>2.9393992942468614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722976000</v>
      </c>
      <c r="D68" s="204">
        <v>956682000</v>
      </c>
      <c r="E68" s="204">
        <v>1081211000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237235000</v>
      </c>
      <c r="D69" s="204">
        <v>421486000</v>
      </c>
      <c r="E69" s="204">
        <v>367834000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124.99923603236884</v>
      </c>
      <c r="D71" s="203">
        <f>IF((D77/365)=0,0,+D74/(D77/365))</f>
        <v>146.77794643139489</v>
      </c>
      <c r="E71" s="203">
        <f>IF((E77/365)=0,0,+E74/(E77/365))</f>
        <v>121.79200748244482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65883000</v>
      </c>
      <c r="D72" s="183">
        <v>64528000</v>
      </c>
      <c r="E72" s="183">
        <v>38914000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402559000</v>
      </c>
      <c r="D73" s="206">
        <v>571302000</v>
      </c>
      <c r="E73" s="206">
        <v>671389000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468442000</v>
      </c>
      <c r="D74" s="204">
        <f>+D72+D73</f>
        <v>635830000</v>
      </c>
      <c r="E74" s="204">
        <f>+E72+E73</f>
        <v>710303000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1435807000</v>
      </c>
      <c r="D75" s="204">
        <f>+D14</f>
        <v>1654251000</v>
      </c>
      <c r="E75" s="204">
        <f>+E14</f>
        <v>2236673000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67948000</v>
      </c>
      <c r="D76" s="204">
        <v>73101000</v>
      </c>
      <c r="E76" s="204">
        <v>107957000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1367859000</v>
      </c>
      <c r="D77" s="204">
        <f>+D75-D76</f>
        <v>1581150000</v>
      </c>
      <c r="E77" s="204">
        <f>+E75-E76</f>
        <v>2128716000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42.366421715646467</v>
      </c>
      <c r="D79" s="203">
        <f>IF((D84/365)=0,0,+D83/(D84/365))</f>
        <v>43.228295465224129</v>
      </c>
      <c r="E79" s="203">
        <f>IF((E84/365)=0,0,+E83/(E84/365))</f>
        <v>37.384218254197705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167383000</v>
      </c>
      <c r="D80" s="212">
        <v>202909000</v>
      </c>
      <c r="E80" s="212">
        <v>233822000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167383000</v>
      </c>
      <c r="D83" s="212">
        <f>+D80+D81-D82</f>
        <v>202909000</v>
      </c>
      <c r="E83" s="212">
        <f>+E80+E81-E82</f>
        <v>233822000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1442057000</v>
      </c>
      <c r="D84" s="204">
        <f>+D11</f>
        <v>1713271000</v>
      </c>
      <c r="E84" s="204">
        <f>+E11</f>
        <v>2282916000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63.303874887689453</v>
      </c>
      <c r="D86" s="203">
        <f>IF((D90/365)=0,0,+D87/(D90/365))</f>
        <v>97.297783259020349</v>
      </c>
      <c r="E86" s="203">
        <f>IF((E90/365)=0,0,+E87/(E90/365))</f>
        <v>63.070606882270816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237235000</v>
      </c>
      <c r="D87" s="76">
        <f>+D69</f>
        <v>421486000</v>
      </c>
      <c r="E87" s="76">
        <f>+E69</f>
        <v>367834000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1435807000</v>
      </c>
      <c r="D88" s="76">
        <f t="shared" si="0"/>
        <v>1654251000</v>
      </c>
      <c r="E88" s="76">
        <f t="shared" si="0"/>
        <v>2236673000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67948000</v>
      </c>
      <c r="D89" s="201">
        <f t="shared" si="0"/>
        <v>73101000</v>
      </c>
      <c r="E89" s="201">
        <f t="shared" si="0"/>
        <v>107957000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1367859000</v>
      </c>
      <c r="D90" s="76">
        <f>+D88-D89</f>
        <v>1581150000</v>
      </c>
      <c r="E90" s="76">
        <f>+E88-E89</f>
        <v>2128716000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33.745418173917656</v>
      </c>
      <c r="D94" s="214">
        <f>IF(D96=0,0,(D95/D96)*100)</f>
        <v>30.204657898399162</v>
      </c>
      <c r="E94" s="214">
        <f>IF(E96=0,0,(E95/E96)*100)</f>
        <v>38.87906848329532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674087000</v>
      </c>
      <c r="D95" s="76">
        <f>+D32</f>
        <v>748778000</v>
      </c>
      <c r="E95" s="76">
        <f>+E32</f>
        <v>1018125000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1997566000</v>
      </c>
      <c r="D96" s="76">
        <v>2479015000</v>
      </c>
      <c r="E96" s="76">
        <v>2618697000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15.824808558584937</v>
      </c>
      <c r="D98" s="214">
        <f>IF(D104=0,0,(D101/D104)*100)</f>
        <v>17.73408363599642</v>
      </c>
      <c r="E98" s="214">
        <f>IF(E104=0,0,(E101/E104)*100)</f>
        <v>26.156652141225244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67162000</v>
      </c>
      <c r="D99" s="76">
        <f>+D28</f>
        <v>130609000</v>
      </c>
      <c r="E99" s="76">
        <f>+E28</f>
        <v>178722000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67948000</v>
      </c>
      <c r="D100" s="201">
        <f>+D76</f>
        <v>73101000</v>
      </c>
      <c r="E100" s="201">
        <f>+E76</f>
        <v>107957000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135110000</v>
      </c>
      <c r="D101" s="76">
        <f>+D99+D100</f>
        <v>203710000</v>
      </c>
      <c r="E101" s="76">
        <f>+E99+E100</f>
        <v>286679000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237235000</v>
      </c>
      <c r="D102" s="204">
        <f>+D69</f>
        <v>421486000</v>
      </c>
      <c r="E102" s="204">
        <f>+E69</f>
        <v>367834000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616551000</v>
      </c>
      <c r="D103" s="216">
        <v>727206000</v>
      </c>
      <c r="E103" s="216">
        <v>728174000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853786000</v>
      </c>
      <c r="D104" s="204">
        <f>+D102+D103</f>
        <v>1148692000</v>
      </c>
      <c r="E104" s="204">
        <f>+E102+E103</f>
        <v>1096008000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47.771024872969804</v>
      </c>
      <c r="D106" s="214">
        <f>IF(D109=0,0,(D107/D109)*100)</f>
        <v>49.269233270821367</v>
      </c>
      <c r="E106" s="214">
        <f>IF(E109=0,0,(E107/E109)*100)</f>
        <v>41.69812844192203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616551000</v>
      </c>
      <c r="D107" s="204">
        <f>+D103</f>
        <v>727206000</v>
      </c>
      <c r="E107" s="204">
        <f>+E103</f>
        <v>728174000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674087000</v>
      </c>
      <c r="D108" s="204">
        <f>+D32</f>
        <v>748778000</v>
      </c>
      <c r="E108" s="204">
        <f>+E32</f>
        <v>1018125000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1290638000</v>
      </c>
      <c r="D109" s="204">
        <f>+D107+D108</f>
        <v>1475984000</v>
      </c>
      <c r="E109" s="204">
        <f>+E107+E108</f>
        <v>1746299000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4.9920181316515571</v>
      </c>
      <c r="D111" s="214">
        <f>IF((+D113+D115)=0,0,((+D112+D113+D114)/(+D113+D115)))</f>
        <v>7.9351370722092813</v>
      </c>
      <c r="E111" s="214">
        <f>IF((+E113+E115)=0,0,((+E112+E113+E114)/(+E113+E115)))</f>
        <v>8.9872395833333325</v>
      </c>
    </row>
    <row r="112" spans="1:6" ht="24" customHeight="1" x14ac:dyDescent="0.2">
      <c r="A112" s="85">
        <v>16</v>
      </c>
      <c r="B112" s="75" t="s">
        <v>373</v>
      </c>
      <c r="C112" s="218">
        <f>+C17</f>
        <v>67162000</v>
      </c>
      <c r="D112" s="76">
        <f>+D17</f>
        <v>130609000</v>
      </c>
      <c r="E112" s="76">
        <f>+E17</f>
        <v>178722000</v>
      </c>
    </row>
    <row r="113" spans="1:8" ht="24" customHeight="1" x14ac:dyDescent="0.2">
      <c r="A113" s="85">
        <v>17</v>
      </c>
      <c r="B113" s="75" t="s">
        <v>88</v>
      </c>
      <c r="C113" s="218">
        <v>16867000</v>
      </c>
      <c r="D113" s="76">
        <v>17720000</v>
      </c>
      <c r="E113" s="76">
        <v>23920000</v>
      </c>
    </row>
    <row r="114" spans="1:8" ht="24" customHeight="1" x14ac:dyDescent="0.2">
      <c r="A114" s="85">
        <v>18</v>
      </c>
      <c r="B114" s="75" t="s">
        <v>374</v>
      </c>
      <c r="C114" s="218">
        <v>67948000</v>
      </c>
      <c r="D114" s="76">
        <v>73101000</v>
      </c>
      <c r="E114" s="76">
        <v>107957000</v>
      </c>
    </row>
    <row r="115" spans="1:8" ht="24" customHeight="1" x14ac:dyDescent="0.2">
      <c r="A115" s="85">
        <v>19</v>
      </c>
      <c r="B115" s="75" t="s">
        <v>104</v>
      </c>
      <c r="C115" s="218">
        <v>13577000</v>
      </c>
      <c r="D115" s="76">
        <v>10185000</v>
      </c>
      <c r="E115" s="76">
        <v>10640000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8.3424089009242355</v>
      </c>
      <c r="D119" s="214">
        <f>IF(+D121=0,0,(+D120)/(+D121))</f>
        <v>8.2306671591359901</v>
      </c>
      <c r="E119" s="214">
        <f>IF(+E121=0,0,(+E120)/(+E121))</f>
        <v>6.2794168048389638</v>
      </c>
    </row>
    <row r="120" spans="1:8" ht="24" customHeight="1" x14ac:dyDescent="0.2">
      <c r="A120" s="85">
        <v>21</v>
      </c>
      <c r="B120" s="75" t="s">
        <v>378</v>
      </c>
      <c r="C120" s="218">
        <v>566850000</v>
      </c>
      <c r="D120" s="218">
        <v>601670000</v>
      </c>
      <c r="E120" s="218">
        <v>677907000</v>
      </c>
    </row>
    <row r="121" spans="1:8" ht="24" customHeight="1" x14ac:dyDescent="0.2">
      <c r="A121" s="85">
        <v>22</v>
      </c>
      <c r="B121" s="75" t="s">
        <v>374</v>
      </c>
      <c r="C121" s="218">
        <v>67948000</v>
      </c>
      <c r="D121" s="218">
        <v>73101000</v>
      </c>
      <c r="E121" s="218">
        <v>107957000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300989</v>
      </c>
      <c r="D124" s="218">
        <v>311547</v>
      </c>
      <c r="E124" s="218">
        <v>462219</v>
      </c>
    </row>
    <row r="125" spans="1:8" ht="24" customHeight="1" x14ac:dyDescent="0.2">
      <c r="A125" s="85">
        <v>2</v>
      </c>
      <c r="B125" s="75" t="s">
        <v>381</v>
      </c>
      <c r="C125" s="218">
        <v>57451</v>
      </c>
      <c r="D125" s="218">
        <v>59426</v>
      </c>
      <c r="E125" s="218">
        <v>80503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5.2390558911072045</v>
      </c>
      <c r="D126" s="219">
        <f>IF(D125=0,0,D124/D125)</f>
        <v>5.2426042472991616</v>
      </c>
      <c r="E126" s="219">
        <f>IF(E125=0,0,E124/E125)</f>
        <v>5.7416369576289084</v>
      </c>
    </row>
    <row r="127" spans="1:8" ht="24" customHeight="1" x14ac:dyDescent="0.2">
      <c r="A127" s="85">
        <v>4</v>
      </c>
      <c r="B127" s="75" t="s">
        <v>383</v>
      </c>
      <c r="C127" s="218">
        <v>827</v>
      </c>
      <c r="D127" s="218">
        <v>859</v>
      </c>
      <c r="E127" s="218">
        <v>1572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1001</v>
      </c>
      <c r="E128" s="218">
        <v>1618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918</v>
      </c>
      <c r="D129" s="218">
        <v>1541</v>
      </c>
      <c r="E129" s="218">
        <v>1541</v>
      </c>
    </row>
    <row r="130" spans="1:7" ht="24" customHeight="1" x14ac:dyDescent="0.2">
      <c r="A130" s="85">
        <v>7</v>
      </c>
      <c r="B130" s="75" t="s">
        <v>386</v>
      </c>
      <c r="C130" s="193">
        <v>0.99709999999999999</v>
      </c>
      <c r="D130" s="193">
        <v>0.99360000000000004</v>
      </c>
      <c r="E130" s="193">
        <v>0.80549999999999999</v>
      </c>
    </row>
    <row r="131" spans="1:7" ht="24" customHeight="1" x14ac:dyDescent="0.2">
      <c r="A131" s="85">
        <v>8</v>
      </c>
      <c r="B131" s="75" t="s">
        <v>387</v>
      </c>
      <c r="C131" s="193">
        <v>0.8982</v>
      </c>
      <c r="D131" s="193">
        <v>0.85270000000000001</v>
      </c>
      <c r="E131" s="193">
        <v>0.78259999999999996</v>
      </c>
    </row>
    <row r="132" spans="1:7" ht="24" customHeight="1" x14ac:dyDescent="0.2">
      <c r="A132" s="85">
        <v>9</v>
      </c>
      <c r="B132" s="75" t="s">
        <v>388</v>
      </c>
      <c r="C132" s="219">
        <v>7611.1</v>
      </c>
      <c r="D132" s="219">
        <v>8150.6</v>
      </c>
      <c r="E132" s="219">
        <v>11071.7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0.3908188345552448</v>
      </c>
      <c r="D135" s="227">
        <f>IF(D149=0,0,D143/D149)</f>
        <v>0.38826326523682225</v>
      </c>
      <c r="E135" s="227">
        <f>IF(E149=0,0,E143/E149)</f>
        <v>0.36790123313040196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0.33800934709499925</v>
      </c>
      <c r="D136" s="227">
        <f>IF(D149=0,0,D144/D149)</f>
        <v>0.35200877100713368</v>
      </c>
      <c r="E136" s="227">
        <f>IF(E149=0,0,E144/E149)</f>
        <v>0.3881063205666293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0.24395083648579255</v>
      </c>
      <c r="D137" s="227">
        <f>IF(D149=0,0,D145/D149)</f>
        <v>0.23368737548390459</v>
      </c>
      <c r="E137" s="227">
        <f>IF(E149=0,0,E145/E149)</f>
        <v>0.21950401147681781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2.115660098787012E-2</v>
      </c>
      <c r="D139" s="227">
        <f>IF(D149=0,0,D147/D149)</f>
        <v>2.0387364928853988E-2</v>
      </c>
      <c r="E139" s="227">
        <f>IF(E149=0,0,E147/E149)</f>
        <v>1.9553704012630735E-2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6.0643808760932755E-3</v>
      </c>
      <c r="D140" s="227">
        <f>IF(D149=0,0,D148/D149)</f>
        <v>5.6532233432854823E-3</v>
      </c>
      <c r="E140" s="227">
        <f>IF(E149=0,0,E148/E149)</f>
        <v>4.9347308135202182E-3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1736523939</v>
      </c>
      <c r="D143" s="229">
        <f>+D46-D147</f>
        <v>2228749204</v>
      </c>
      <c r="E143" s="229">
        <f>+E46-E147</f>
        <v>3032629316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1501875731</v>
      </c>
      <c r="D144" s="229">
        <f>+D51</f>
        <v>2020637383</v>
      </c>
      <c r="E144" s="229">
        <f>+E51</f>
        <v>3199180920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1083945885</v>
      </c>
      <c r="D145" s="229">
        <f>+D55</f>
        <v>1341436594</v>
      </c>
      <c r="E145" s="229">
        <f>+E55</f>
        <v>1809383172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94005050</v>
      </c>
      <c r="D147" s="229">
        <f>+D47</f>
        <v>117029674</v>
      </c>
      <c r="E147" s="229">
        <f>+E47</f>
        <v>161182216</v>
      </c>
    </row>
    <row r="148" spans="1:7" ht="20.100000000000001" customHeight="1" x14ac:dyDescent="0.2">
      <c r="A148" s="226">
        <v>13</v>
      </c>
      <c r="B148" s="224" t="s">
        <v>402</v>
      </c>
      <c r="C148" s="230">
        <v>26945842</v>
      </c>
      <c r="D148" s="229">
        <v>32451221</v>
      </c>
      <c r="E148" s="229">
        <v>40677247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4443296447</v>
      </c>
      <c r="D149" s="229">
        <f>SUM(D143:D148)</f>
        <v>5740304076</v>
      </c>
      <c r="E149" s="229">
        <f>SUM(E143:E148)</f>
        <v>8243052871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0.51620789501498221</v>
      </c>
      <c r="D152" s="227">
        <f>IF(D166=0,0,D160/D166)</f>
        <v>0.54362799351617574</v>
      </c>
      <c r="E152" s="227">
        <f>IF(E166=0,0,E160/E166)</f>
        <v>0.52984410596191578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0.31290574053738779</v>
      </c>
      <c r="D153" s="227">
        <f>IF(D166=0,0,D161/D166)</f>
        <v>0.29186010643394444</v>
      </c>
      <c r="E153" s="227">
        <f>IF(E166=0,0,E161/E166)</f>
        <v>0.31390822289413484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0.15418497849990515</v>
      </c>
      <c r="D154" s="227">
        <f>IF(D166=0,0,D162/D166)</f>
        <v>0.15399660962314579</v>
      </c>
      <c r="E154" s="227">
        <f>IF(E166=0,0,E162/E166)</f>
        <v>0.14779134092200449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1.2193812600043659E-2</v>
      </c>
      <c r="D156" s="227">
        <f>IF(D166=0,0,D164/D166)</f>
        <v>6.7115545621239661E-3</v>
      </c>
      <c r="E156" s="227">
        <f>IF(E166=0,0,E164/E166)</f>
        <v>5.4889534722639835E-3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4.5075733476811373E-3</v>
      </c>
      <c r="D157" s="227">
        <f>IF(D166=0,0,D165/D166)</f>
        <v>3.8037358646099968E-3</v>
      </c>
      <c r="E157" s="227">
        <f>IF(E166=0,0,E165/E166)</f>
        <v>2.9673767496809465E-3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716226771</v>
      </c>
      <c r="D160" s="229">
        <f>+D44-D164</f>
        <v>899597589</v>
      </c>
      <c r="E160" s="229">
        <f>+E44-E164</f>
        <v>1208454529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434149633</v>
      </c>
      <c r="D161" s="229">
        <f>+D50</f>
        <v>482971170</v>
      </c>
      <c r="E161" s="229">
        <f>+E50</f>
        <v>715953635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213928168</v>
      </c>
      <c r="D162" s="229">
        <f>+D54</f>
        <v>254834152</v>
      </c>
      <c r="E162" s="229">
        <f>+E54</f>
        <v>337078611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16918639</v>
      </c>
      <c r="D164" s="229">
        <f>+D45</f>
        <v>11106305</v>
      </c>
      <c r="E164" s="229">
        <f>+E45</f>
        <v>12519061</v>
      </c>
    </row>
    <row r="165" spans="1:6" ht="20.100000000000001" customHeight="1" x14ac:dyDescent="0.2">
      <c r="A165" s="226">
        <v>13</v>
      </c>
      <c r="B165" s="224" t="s">
        <v>417</v>
      </c>
      <c r="C165" s="230">
        <v>6254156</v>
      </c>
      <c r="D165" s="229">
        <v>6294436</v>
      </c>
      <c r="E165" s="229">
        <v>6767915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1387477367</v>
      </c>
      <c r="D166" s="229">
        <f>SUM(D160:D165)</f>
        <v>1654803652</v>
      </c>
      <c r="E166" s="229">
        <f>SUM(E160:E165)</f>
        <v>2280773751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23108</v>
      </c>
      <c r="D169" s="218">
        <v>23650</v>
      </c>
      <c r="E169" s="218">
        <v>28416</v>
      </c>
    </row>
    <row r="170" spans="1:6" ht="20.100000000000001" customHeight="1" x14ac:dyDescent="0.2">
      <c r="A170" s="226">
        <v>2</v>
      </c>
      <c r="B170" s="224" t="s">
        <v>420</v>
      </c>
      <c r="C170" s="218">
        <v>17747</v>
      </c>
      <c r="D170" s="218">
        <v>18100</v>
      </c>
      <c r="E170" s="218">
        <v>28633</v>
      </c>
    </row>
    <row r="171" spans="1:6" ht="20.100000000000001" customHeight="1" x14ac:dyDescent="0.2">
      <c r="A171" s="226">
        <v>3</v>
      </c>
      <c r="B171" s="224" t="s">
        <v>421</v>
      </c>
      <c r="C171" s="218">
        <v>16249</v>
      </c>
      <c r="D171" s="218">
        <v>17294</v>
      </c>
      <c r="E171" s="218">
        <v>23006</v>
      </c>
    </row>
    <row r="172" spans="1:6" ht="20.100000000000001" customHeight="1" x14ac:dyDescent="0.2">
      <c r="A172" s="226">
        <v>4</v>
      </c>
      <c r="B172" s="224" t="s">
        <v>422</v>
      </c>
      <c r="C172" s="218">
        <v>16249</v>
      </c>
      <c r="D172" s="218">
        <v>17294</v>
      </c>
      <c r="E172" s="218">
        <v>23006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347</v>
      </c>
      <c r="D174" s="218">
        <v>382</v>
      </c>
      <c r="E174" s="218">
        <v>448</v>
      </c>
    </row>
    <row r="175" spans="1:6" ht="20.100000000000001" customHeight="1" x14ac:dyDescent="0.2">
      <c r="A175" s="226">
        <v>7</v>
      </c>
      <c r="B175" s="224" t="s">
        <v>425</v>
      </c>
      <c r="C175" s="218">
        <v>939</v>
      </c>
      <c r="D175" s="218">
        <v>977</v>
      </c>
      <c r="E175" s="218">
        <v>885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57451</v>
      </c>
      <c r="D176" s="218">
        <f>+D169+D170+D171+D174</f>
        <v>59426</v>
      </c>
      <c r="E176" s="218">
        <f>+E169+E170+E171+E174</f>
        <v>80503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1.3619000000000001</v>
      </c>
      <c r="D179" s="231">
        <v>1.3531299999999999</v>
      </c>
      <c r="E179" s="231">
        <v>1.3871500000000001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1.7807999999999999</v>
      </c>
      <c r="D180" s="231">
        <v>1.7742500000000001</v>
      </c>
      <c r="E180" s="231">
        <v>1.7250099999999999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1.2388999999999999</v>
      </c>
      <c r="D181" s="231">
        <v>1.1750799999999999</v>
      </c>
      <c r="E181" s="231">
        <v>1.1861299999999999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1.2388999999999999</v>
      </c>
      <c r="D182" s="231">
        <v>1.1750799999999999</v>
      </c>
      <c r="E182" s="231">
        <v>1.1861299999999999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1.425</v>
      </c>
      <c r="D184" s="231">
        <v>1.4587699999999999</v>
      </c>
      <c r="E184" s="231">
        <v>1.3638300000000001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1.5919000000000001</v>
      </c>
      <c r="D185" s="231">
        <v>1.2179</v>
      </c>
      <c r="E185" s="231">
        <v>1.42665</v>
      </c>
    </row>
    <row r="186" spans="1:6" ht="20.100000000000001" customHeight="1" x14ac:dyDescent="0.2">
      <c r="A186" s="226">
        <v>8</v>
      </c>
      <c r="B186" s="224" t="s">
        <v>429</v>
      </c>
      <c r="C186" s="231">
        <v>1.456893</v>
      </c>
      <c r="D186" s="231">
        <v>1.430258</v>
      </c>
      <c r="E186" s="231">
        <v>1.4497409999999999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28351</v>
      </c>
      <c r="D189" s="218">
        <v>26732</v>
      </c>
      <c r="E189" s="218">
        <v>40919</v>
      </c>
    </row>
    <row r="190" spans="1:6" ht="20.100000000000001" customHeight="1" x14ac:dyDescent="0.2">
      <c r="A190" s="226">
        <v>2</v>
      </c>
      <c r="B190" s="224" t="s">
        <v>433</v>
      </c>
      <c r="C190" s="218">
        <v>92128</v>
      </c>
      <c r="D190" s="218">
        <v>114396</v>
      </c>
      <c r="E190" s="218">
        <v>163785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120479</v>
      </c>
      <c r="D191" s="218">
        <f>+D190+D189</f>
        <v>141128</v>
      </c>
      <c r="E191" s="218">
        <f>+E190+E189</f>
        <v>204704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23924809</v>
      </c>
      <c r="D14" s="258">
        <v>33107961</v>
      </c>
      <c r="E14" s="258">
        <f t="shared" ref="E14:E24" si="0">D14-C14</f>
        <v>9183152</v>
      </c>
      <c r="F14" s="259">
        <f t="shared" ref="F14:F24" si="1">IF(C14=0,0,E14/C14)</f>
        <v>0.38383386885136678</v>
      </c>
    </row>
    <row r="15" spans="1:7" ht="20.25" customHeight="1" x14ac:dyDescent="0.3">
      <c r="A15" s="256">
        <v>2</v>
      </c>
      <c r="B15" s="257" t="s">
        <v>442</v>
      </c>
      <c r="C15" s="258">
        <v>8267737</v>
      </c>
      <c r="D15" s="258">
        <v>9001256</v>
      </c>
      <c r="E15" s="258">
        <f t="shared" si="0"/>
        <v>733519</v>
      </c>
      <c r="F15" s="259">
        <f t="shared" si="1"/>
        <v>8.8720649919077008E-2</v>
      </c>
    </row>
    <row r="16" spans="1:7" ht="20.25" customHeight="1" x14ac:dyDescent="0.3">
      <c r="A16" s="256">
        <v>3</v>
      </c>
      <c r="B16" s="257" t="s">
        <v>443</v>
      </c>
      <c r="C16" s="258">
        <v>18332340</v>
      </c>
      <c r="D16" s="258">
        <v>16683329</v>
      </c>
      <c r="E16" s="258">
        <f t="shared" si="0"/>
        <v>-1649011</v>
      </c>
      <c r="F16" s="259">
        <f t="shared" si="1"/>
        <v>-8.9950928250294285E-2</v>
      </c>
    </row>
    <row r="17" spans="1:6" ht="20.25" customHeight="1" x14ac:dyDescent="0.3">
      <c r="A17" s="256">
        <v>4</v>
      </c>
      <c r="B17" s="257" t="s">
        <v>444</v>
      </c>
      <c r="C17" s="258">
        <v>5568625</v>
      </c>
      <c r="D17" s="258">
        <v>5235166</v>
      </c>
      <c r="E17" s="258">
        <f t="shared" si="0"/>
        <v>-333459</v>
      </c>
      <c r="F17" s="259">
        <f t="shared" si="1"/>
        <v>-5.9881748187389165E-2</v>
      </c>
    </row>
    <row r="18" spans="1:6" ht="20.25" customHeight="1" x14ac:dyDescent="0.3">
      <c r="A18" s="256">
        <v>5</v>
      </c>
      <c r="B18" s="257" t="s">
        <v>381</v>
      </c>
      <c r="C18" s="260">
        <v>364</v>
      </c>
      <c r="D18" s="260">
        <v>484</v>
      </c>
      <c r="E18" s="260">
        <f t="shared" si="0"/>
        <v>120</v>
      </c>
      <c r="F18" s="259">
        <f t="shared" si="1"/>
        <v>0.32967032967032966</v>
      </c>
    </row>
    <row r="19" spans="1:6" ht="20.25" customHeight="1" x14ac:dyDescent="0.3">
      <c r="A19" s="256">
        <v>6</v>
      </c>
      <c r="B19" s="257" t="s">
        <v>380</v>
      </c>
      <c r="C19" s="260">
        <v>1989</v>
      </c>
      <c r="D19" s="260">
        <v>3470</v>
      </c>
      <c r="E19" s="260">
        <f t="shared" si="0"/>
        <v>1481</v>
      </c>
      <c r="F19" s="259">
        <f t="shared" si="1"/>
        <v>0.74459527400703873</v>
      </c>
    </row>
    <row r="20" spans="1:6" ht="20.25" customHeight="1" x14ac:dyDescent="0.3">
      <c r="A20" s="256">
        <v>7</v>
      </c>
      <c r="B20" s="257" t="s">
        <v>445</v>
      </c>
      <c r="C20" s="260">
        <v>4452</v>
      </c>
      <c r="D20" s="260">
        <v>4480</v>
      </c>
      <c r="E20" s="260">
        <f t="shared" si="0"/>
        <v>28</v>
      </c>
      <c r="F20" s="259">
        <f t="shared" si="1"/>
        <v>6.2893081761006293E-3</v>
      </c>
    </row>
    <row r="21" spans="1:6" ht="20.25" customHeight="1" x14ac:dyDescent="0.3">
      <c r="A21" s="256">
        <v>8</v>
      </c>
      <c r="B21" s="257" t="s">
        <v>446</v>
      </c>
      <c r="C21" s="260">
        <v>317</v>
      </c>
      <c r="D21" s="260">
        <v>346</v>
      </c>
      <c r="E21" s="260">
        <f t="shared" si="0"/>
        <v>29</v>
      </c>
      <c r="F21" s="259">
        <f t="shared" si="1"/>
        <v>9.1482649842271294E-2</v>
      </c>
    </row>
    <row r="22" spans="1:6" ht="20.25" customHeight="1" x14ac:dyDescent="0.3">
      <c r="A22" s="256">
        <v>9</v>
      </c>
      <c r="B22" s="257" t="s">
        <v>447</v>
      </c>
      <c r="C22" s="260">
        <v>231</v>
      </c>
      <c r="D22" s="260">
        <v>178</v>
      </c>
      <c r="E22" s="260">
        <f t="shared" si="0"/>
        <v>-53</v>
      </c>
      <c r="F22" s="259">
        <f t="shared" si="1"/>
        <v>-0.22943722943722944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42257149</v>
      </c>
      <c r="D23" s="263">
        <f>+D14+D16</f>
        <v>49791290</v>
      </c>
      <c r="E23" s="263">
        <f t="shared" si="0"/>
        <v>7534141</v>
      </c>
      <c r="F23" s="264">
        <f t="shared" si="1"/>
        <v>0.17829269551526061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13836362</v>
      </c>
      <c r="D24" s="263">
        <f>+D15+D17</f>
        <v>14236422</v>
      </c>
      <c r="E24" s="263">
        <f t="shared" si="0"/>
        <v>400060</v>
      </c>
      <c r="F24" s="264">
        <f t="shared" si="1"/>
        <v>2.8913669648134386E-2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56044132</v>
      </c>
      <c r="D40" s="258">
        <v>118122977</v>
      </c>
      <c r="E40" s="258">
        <f t="shared" ref="E40:E50" si="4">D40-C40</f>
        <v>62078845</v>
      </c>
      <c r="F40" s="259">
        <f t="shared" ref="F40:F50" si="5">IF(C40=0,0,E40/C40)</f>
        <v>1.1076778742866424</v>
      </c>
    </row>
    <row r="41" spans="1:6" ht="20.25" customHeight="1" x14ac:dyDescent="0.3">
      <c r="A41" s="256">
        <v>2</v>
      </c>
      <c r="B41" s="257" t="s">
        <v>442</v>
      </c>
      <c r="C41" s="258">
        <v>17973518</v>
      </c>
      <c r="D41" s="258">
        <v>35765401</v>
      </c>
      <c r="E41" s="258">
        <f t="shared" si="4"/>
        <v>17791883</v>
      </c>
      <c r="F41" s="259">
        <f t="shared" si="5"/>
        <v>0.98989429893468828</v>
      </c>
    </row>
    <row r="42" spans="1:6" ht="20.25" customHeight="1" x14ac:dyDescent="0.3">
      <c r="A42" s="256">
        <v>3</v>
      </c>
      <c r="B42" s="257" t="s">
        <v>443</v>
      </c>
      <c r="C42" s="258">
        <v>42432824</v>
      </c>
      <c r="D42" s="258">
        <v>77435197</v>
      </c>
      <c r="E42" s="258">
        <f t="shared" si="4"/>
        <v>35002373</v>
      </c>
      <c r="F42" s="259">
        <f t="shared" si="5"/>
        <v>0.82488907643761822</v>
      </c>
    </row>
    <row r="43" spans="1:6" ht="20.25" customHeight="1" x14ac:dyDescent="0.3">
      <c r="A43" s="256">
        <v>4</v>
      </c>
      <c r="B43" s="257" t="s">
        <v>444</v>
      </c>
      <c r="C43" s="258">
        <v>6703046</v>
      </c>
      <c r="D43" s="258">
        <v>10958365</v>
      </c>
      <c r="E43" s="258">
        <f t="shared" si="4"/>
        <v>4255319</v>
      </c>
      <c r="F43" s="259">
        <f t="shared" si="5"/>
        <v>0.63483362638418417</v>
      </c>
    </row>
    <row r="44" spans="1:6" ht="20.25" customHeight="1" x14ac:dyDescent="0.3">
      <c r="A44" s="256">
        <v>5</v>
      </c>
      <c r="B44" s="257" t="s">
        <v>381</v>
      </c>
      <c r="C44" s="260">
        <v>869</v>
      </c>
      <c r="D44" s="260">
        <v>1632</v>
      </c>
      <c r="E44" s="260">
        <f t="shared" si="4"/>
        <v>763</v>
      </c>
      <c r="F44" s="259">
        <f t="shared" si="5"/>
        <v>0.87802071346375143</v>
      </c>
    </row>
    <row r="45" spans="1:6" ht="20.25" customHeight="1" x14ac:dyDescent="0.3">
      <c r="A45" s="256">
        <v>6</v>
      </c>
      <c r="B45" s="257" t="s">
        <v>380</v>
      </c>
      <c r="C45" s="260">
        <v>4312</v>
      </c>
      <c r="D45" s="260">
        <v>9949</v>
      </c>
      <c r="E45" s="260">
        <f t="shared" si="4"/>
        <v>5637</v>
      </c>
      <c r="F45" s="259">
        <f t="shared" si="5"/>
        <v>1.3072820037105752</v>
      </c>
    </row>
    <row r="46" spans="1:6" ht="20.25" customHeight="1" x14ac:dyDescent="0.3">
      <c r="A46" s="256">
        <v>7</v>
      </c>
      <c r="B46" s="257" t="s">
        <v>445</v>
      </c>
      <c r="C46" s="260">
        <v>10435</v>
      </c>
      <c r="D46" s="260">
        <v>18497</v>
      </c>
      <c r="E46" s="260">
        <f t="shared" si="4"/>
        <v>8062</v>
      </c>
      <c r="F46" s="259">
        <f t="shared" si="5"/>
        <v>0.77259223766171536</v>
      </c>
    </row>
    <row r="47" spans="1:6" ht="20.25" customHeight="1" x14ac:dyDescent="0.3">
      <c r="A47" s="256">
        <v>8</v>
      </c>
      <c r="B47" s="257" t="s">
        <v>446</v>
      </c>
      <c r="C47" s="260">
        <v>738</v>
      </c>
      <c r="D47" s="260">
        <v>1183</v>
      </c>
      <c r="E47" s="260">
        <f t="shared" si="4"/>
        <v>445</v>
      </c>
      <c r="F47" s="259">
        <f t="shared" si="5"/>
        <v>0.60298102981029811</v>
      </c>
    </row>
    <row r="48" spans="1:6" ht="20.25" customHeight="1" x14ac:dyDescent="0.3">
      <c r="A48" s="256">
        <v>9</v>
      </c>
      <c r="B48" s="257" t="s">
        <v>447</v>
      </c>
      <c r="C48" s="260">
        <v>476</v>
      </c>
      <c r="D48" s="260">
        <v>522</v>
      </c>
      <c r="E48" s="260">
        <f t="shared" si="4"/>
        <v>46</v>
      </c>
      <c r="F48" s="259">
        <f t="shared" si="5"/>
        <v>9.6638655462184878E-2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98476956</v>
      </c>
      <c r="D49" s="263">
        <f>+D40+D42</f>
        <v>195558174</v>
      </c>
      <c r="E49" s="263">
        <f t="shared" si="4"/>
        <v>97081218</v>
      </c>
      <c r="F49" s="264">
        <f t="shared" si="5"/>
        <v>0.98582675524617147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24676564</v>
      </c>
      <c r="D50" s="263">
        <f>+D41+D43</f>
        <v>46723766</v>
      </c>
      <c r="E50" s="263">
        <f t="shared" si="4"/>
        <v>22047202</v>
      </c>
      <c r="F50" s="264">
        <f t="shared" si="5"/>
        <v>0.89344699691577811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4546616</v>
      </c>
      <c r="D53" s="258">
        <v>0</v>
      </c>
      <c r="E53" s="258">
        <f t="shared" ref="E53:E63" si="6">D53-C53</f>
        <v>-4546616</v>
      </c>
      <c r="F53" s="259">
        <f t="shared" ref="F53:F63" si="7">IF(C53=0,0,E53/C53)</f>
        <v>-1</v>
      </c>
    </row>
    <row r="54" spans="1:6" ht="20.25" customHeight="1" x14ac:dyDescent="0.3">
      <c r="A54" s="256">
        <v>2</v>
      </c>
      <c r="B54" s="257" t="s">
        <v>442</v>
      </c>
      <c r="C54" s="258">
        <v>1176242</v>
      </c>
      <c r="D54" s="258">
        <v>0</v>
      </c>
      <c r="E54" s="258">
        <f t="shared" si="6"/>
        <v>-1176242</v>
      </c>
      <c r="F54" s="259">
        <f t="shared" si="7"/>
        <v>-1</v>
      </c>
    </row>
    <row r="55" spans="1:6" ht="20.25" customHeight="1" x14ac:dyDescent="0.3">
      <c r="A55" s="256">
        <v>3</v>
      </c>
      <c r="B55" s="257" t="s">
        <v>443</v>
      </c>
      <c r="C55" s="258">
        <v>996616</v>
      </c>
      <c r="D55" s="258">
        <v>0</v>
      </c>
      <c r="E55" s="258">
        <f t="shared" si="6"/>
        <v>-996616</v>
      </c>
      <c r="F55" s="259">
        <f t="shared" si="7"/>
        <v>-1</v>
      </c>
    </row>
    <row r="56" spans="1:6" ht="20.25" customHeight="1" x14ac:dyDescent="0.3">
      <c r="A56" s="256">
        <v>4</v>
      </c>
      <c r="B56" s="257" t="s">
        <v>444</v>
      </c>
      <c r="C56" s="258">
        <v>128844</v>
      </c>
      <c r="D56" s="258">
        <v>0</v>
      </c>
      <c r="E56" s="258">
        <f t="shared" si="6"/>
        <v>-128844</v>
      </c>
      <c r="F56" s="259">
        <f t="shared" si="7"/>
        <v>-1</v>
      </c>
    </row>
    <row r="57" spans="1:6" ht="20.25" customHeight="1" x14ac:dyDescent="0.3">
      <c r="A57" s="256">
        <v>5</v>
      </c>
      <c r="B57" s="257" t="s">
        <v>381</v>
      </c>
      <c r="C57" s="260">
        <v>49</v>
      </c>
      <c r="D57" s="260">
        <v>0</v>
      </c>
      <c r="E57" s="260">
        <f t="shared" si="6"/>
        <v>-49</v>
      </c>
      <c r="F57" s="259">
        <f t="shared" si="7"/>
        <v>-1</v>
      </c>
    </row>
    <row r="58" spans="1:6" ht="20.25" customHeight="1" x14ac:dyDescent="0.3">
      <c r="A58" s="256">
        <v>6</v>
      </c>
      <c r="B58" s="257" t="s">
        <v>380</v>
      </c>
      <c r="C58" s="260">
        <v>386</v>
      </c>
      <c r="D58" s="260">
        <v>0</v>
      </c>
      <c r="E58" s="260">
        <f t="shared" si="6"/>
        <v>-386</v>
      </c>
      <c r="F58" s="259">
        <f t="shared" si="7"/>
        <v>-1</v>
      </c>
    </row>
    <row r="59" spans="1:6" ht="20.25" customHeight="1" x14ac:dyDescent="0.3">
      <c r="A59" s="256">
        <v>7</v>
      </c>
      <c r="B59" s="257" t="s">
        <v>445</v>
      </c>
      <c r="C59" s="260">
        <v>183</v>
      </c>
      <c r="D59" s="260">
        <v>0</v>
      </c>
      <c r="E59" s="260">
        <f t="shared" si="6"/>
        <v>-183</v>
      </c>
      <c r="F59" s="259">
        <f t="shared" si="7"/>
        <v>-1</v>
      </c>
    </row>
    <row r="60" spans="1:6" ht="20.25" customHeight="1" x14ac:dyDescent="0.3">
      <c r="A60" s="256">
        <v>8</v>
      </c>
      <c r="B60" s="257" t="s">
        <v>446</v>
      </c>
      <c r="C60" s="260">
        <v>68</v>
      </c>
      <c r="D60" s="260">
        <v>0</v>
      </c>
      <c r="E60" s="260">
        <f t="shared" si="6"/>
        <v>-68</v>
      </c>
      <c r="F60" s="259">
        <f t="shared" si="7"/>
        <v>-1</v>
      </c>
    </row>
    <row r="61" spans="1:6" ht="20.25" customHeight="1" x14ac:dyDescent="0.3">
      <c r="A61" s="256">
        <v>9</v>
      </c>
      <c r="B61" s="257" t="s">
        <v>447</v>
      </c>
      <c r="C61" s="260">
        <v>36</v>
      </c>
      <c r="D61" s="260">
        <v>0</v>
      </c>
      <c r="E61" s="260">
        <f t="shared" si="6"/>
        <v>-36</v>
      </c>
      <c r="F61" s="259">
        <f t="shared" si="7"/>
        <v>-1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5543232</v>
      </c>
      <c r="D62" s="263">
        <f>+D53+D55</f>
        <v>0</v>
      </c>
      <c r="E62" s="263">
        <f t="shared" si="6"/>
        <v>-5543232</v>
      </c>
      <c r="F62" s="264">
        <f t="shared" si="7"/>
        <v>-1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1305086</v>
      </c>
      <c r="D63" s="263">
        <f>+D54+D56</f>
        <v>0</v>
      </c>
      <c r="E63" s="263">
        <f t="shared" si="6"/>
        <v>-1305086</v>
      </c>
      <c r="F63" s="264">
        <f t="shared" si="7"/>
        <v>-1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14050</v>
      </c>
      <c r="D66" s="258">
        <v>0</v>
      </c>
      <c r="E66" s="258">
        <f t="shared" ref="E66:E76" si="8">D66-C66</f>
        <v>-14050</v>
      </c>
      <c r="F66" s="259">
        <f t="shared" ref="F66:F76" si="9">IF(C66=0,0,E66/C66)</f>
        <v>-1</v>
      </c>
    </row>
    <row r="67" spans="1:6" ht="20.25" customHeight="1" x14ac:dyDescent="0.3">
      <c r="A67" s="256">
        <v>2</v>
      </c>
      <c r="B67" s="257" t="s">
        <v>442</v>
      </c>
      <c r="C67" s="258">
        <v>7094</v>
      </c>
      <c r="D67" s="258">
        <v>0</v>
      </c>
      <c r="E67" s="258">
        <f t="shared" si="8"/>
        <v>-7094</v>
      </c>
      <c r="F67" s="259">
        <f t="shared" si="9"/>
        <v>-1</v>
      </c>
    </row>
    <row r="68" spans="1:6" ht="20.25" customHeight="1" x14ac:dyDescent="0.3">
      <c r="A68" s="256">
        <v>3</v>
      </c>
      <c r="B68" s="257" t="s">
        <v>443</v>
      </c>
      <c r="C68" s="258">
        <v>2927</v>
      </c>
      <c r="D68" s="258">
        <v>0</v>
      </c>
      <c r="E68" s="258">
        <f t="shared" si="8"/>
        <v>-2927</v>
      </c>
      <c r="F68" s="259">
        <f t="shared" si="9"/>
        <v>-1</v>
      </c>
    </row>
    <row r="69" spans="1:6" ht="20.25" customHeight="1" x14ac:dyDescent="0.3">
      <c r="A69" s="256">
        <v>4</v>
      </c>
      <c r="B69" s="257" t="s">
        <v>444</v>
      </c>
      <c r="C69" s="258">
        <v>630</v>
      </c>
      <c r="D69" s="258">
        <v>0</v>
      </c>
      <c r="E69" s="258">
        <f t="shared" si="8"/>
        <v>-630</v>
      </c>
      <c r="F69" s="259">
        <f t="shared" si="9"/>
        <v>-1</v>
      </c>
    </row>
    <row r="70" spans="1:6" ht="20.25" customHeight="1" x14ac:dyDescent="0.3">
      <c r="A70" s="256">
        <v>5</v>
      </c>
      <c r="B70" s="257" t="s">
        <v>381</v>
      </c>
      <c r="C70" s="260">
        <v>1</v>
      </c>
      <c r="D70" s="260">
        <v>0</v>
      </c>
      <c r="E70" s="260">
        <f t="shared" si="8"/>
        <v>-1</v>
      </c>
      <c r="F70" s="259">
        <f t="shared" si="9"/>
        <v>-1</v>
      </c>
    </row>
    <row r="71" spans="1:6" ht="20.25" customHeight="1" x14ac:dyDescent="0.3">
      <c r="A71" s="256">
        <v>6</v>
      </c>
      <c r="B71" s="257" t="s">
        <v>380</v>
      </c>
      <c r="C71" s="260">
        <v>2</v>
      </c>
      <c r="D71" s="260">
        <v>0</v>
      </c>
      <c r="E71" s="260">
        <f t="shared" si="8"/>
        <v>-2</v>
      </c>
      <c r="F71" s="259">
        <f t="shared" si="9"/>
        <v>-1</v>
      </c>
    </row>
    <row r="72" spans="1:6" ht="20.25" customHeight="1" x14ac:dyDescent="0.3">
      <c r="A72" s="256">
        <v>7</v>
      </c>
      <c r="B72" s="257" t="s">
        <v>445</v>
      </c>
      <c r="C72" s="260">
        <v>12</v>
      </c>
      <c r="D72" s="260">
        <v>0</v>
      </c>
      <c r="E72" s="260">
        <f t="shared" si="8"/>
        <v>-12</v>
      </c>
      <c r="F72" s="259">
        <f t="shared" si="9"/>
        <v>-1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16977</v>
      </c>
      <c r="D75" s="263">
        <f>+D66+D68</f>
        <v>0</v>
      </c>
      <c r="E75" s="263">
        <f t="shared" si="8"/>
        <v>-16977</v>
      </c>
      <c r="F75" s="264">
        <f t="shared" si="9"/>
        <v>-1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7724</v>
      </c>
      <c r="D76" s="263">
        <f>+D67+D69</f>
        <v>0</v>
      </c>
      <c r="E76" s="263">
        <f t="shared" si="8"/>
        <v>-7724</v>
      </c>
      <c r="F76" s="264">
        <f t="shared" si="9"/>
        <v>-1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4245798</v>
      </c>
      <c r="D79" s="258">
        <v>0</v>
      </c>
      <c r="E79" s="258">
        <f t="shared" ref="E79:E89" si="10">D79-C79</f>
        <v>-4245798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1282578</v>
      </c>
      <c r="D80" s="258">
        <v>0</v>
      </c>
      <c r="E80" s="258">
        <f t="shared" si="10"/>
        <v>-1282578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1838499</v>
      </c>
      <c r="D81" s="258">
        <v>0</v>
      </c>
      <c r="E81" s="258">
        <f t="shared" si="10"/>
        <v>-1838499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245074</v>
      </c>
      <c r="D82" s="258">
        <v>0</v>
      </c>
      <c r="E82" s="258">
        <f t="shared" si="10"/>
        <v>-245074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64</v>
      </c>
      <c r="D83" s="260">
        <v>0</v>
      </c>
      <c r="E83" s="260">
        <f t="shared" si="10"/>
        <v>-64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440</v>
      </c>
      <c r="D84" s="260">
        <v>0</v>
      </c>
      <c r="E84" s="260">
        <f t="shared" si="10"/>
        <v>-440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664</v>
      </c>
      <c r="D85" s="260">
        <v>0</v>
      </c>
      <c r="E85" s="260">
        <f t="shared" si="10"/>
        <v>-664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77</v>
      </c>
      <c r="D86" s="260">
        <v>0</v>
      </c>
      <c r="E86" s="260">
        <f t="shared" si="10"/>
        <v>-77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51</v>
      </c>
      <c r="D87" s="260">
        <v>0</v>
      </c>
      <c r="E87" s="260">
        <f t="shared" si="10"/>
        <v>-51</v>
      </c>
      <c r="F87" s="259">
        <f t="shared" si="11"/>
        <v>-1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6084297</v>
      </c>
      <c r="D88" s="263">
        <f>+D79+D81</f>
        <v>0</v>
      </c>
      <c r="E88" s="263">
        <f t="shared" si="10"/>
        <v>-6084297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1527652</v>
      </c>
      <c r="D89" s="263">
        <f>+D80+D82</f>
        <v>0</v>
      </c>
      <c r="E89" s="263">
        <f t="shared" si="10"/>
        <v>-1527652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112508500</v>
      </c>
      <c r="D92" s="258">
        <v>200990332</v>
      </c>
      <c r="E92" s="258">
        <f t="shared" ref="E92:E102" si="12">D92-C92</f>
        <v>88481832</v>
      </c>
      <c r="F92" s="259">
        <f t="shared" ref="F92:F102" si="13">IF(C92=0,0,E92/C92)</f>
        <v>0.78644575298755204</v>
      </c>
    </row>
    <row r="93" spans="1:6" ht="20.25" customHeight="1" x14ac:dyDescent="0.3">
      <c r="A93" s="256">
        <v>2</v>
      </c>
      <c r="B93" s="257" t="s">
        <v>442</v>
      </c>
      <c r="C93" s="258">
        <v>34217094</v>
      </c>
      <c r="D93" s="258">
        <v>57012235</v>
      </c>
      <c r="E93" s="258">
        <f t="shared" si="12"/>
        <v>22795141</v>
      </c>
      <c r="F93" s="259">
        <f t="shared" si="13"/>
        <v>0.66619161171313968</v>
      </c>
    </row>
    <row r="94" spans="1:6" ht="20.25" customHeight="1" x14ac:dyDescent="0.3">
      <c r="A94" s="256">
        <v>3</v>
      </c>
      <c r="B94" s="257" t="s">
        <v>443</v>
      </c>
      <c r="C94" s="258">
        <v>65298245</v>
      </c>
      <c r="D94" s="258">
        <v>118917550</v>
      </c>
      <c r="E94" s="258">
        <f t="shared" si="12"/>
        <v>53619305</v>
      </c>
      <c r="F94" s="259">
        <f t="shared" si="13"/>
        <v>0.82114465710372464</v>
      </c>
    </row>
    <row r="95" spans="1:6" ht="20.25" customHeight="1" x14ac:dyDescent="0.3">
      <c r="A95" s="256">
        <v>4</v>
      </c>
      <c r="B95" s="257" t="s">
        <v>444</v>
      </c>
      <c r="C95" s="258">
        <v>10073531</v>
      </c>
      <c r="D95" s="258">
        <v>17012500</v>
      </c>
      <c r="E95" s="258">
        <f t="shared" si="12"/>
        <v>6938969</v>
      </c>
      <c r="F95" s="259">
        <f t="shared" si="13"/>
        <v>0.68883185051994178</v>
      </c>
    </row>
    <row r="96" spans="1:6" ht="20.25" customHeight="1" x14ac:dyDescent="0.3">
      <c r="A96" s="256">
        <v>5</v>
      </c>
      <c r="B96" s="257" t="s">
        <v>381</v>
      </c>
      <c r="C96" s="260">
        <v>1641</v>
      </c>
      <c r="D96" s="260">
        <v>3194</v>
      </c>
      <c r="E96" s="260">
        <f t="shared" si="12"/>
        <v>1553</v>
      </c>
      <c r="F96" s="259">
        <f t="shared" si="13"/>
        <v>0.94637416209628278</v>
      </c>
    </row>
    <row r="97" spans="1:6" ht="20.25" customHeight="1" x14ac:dyDescent="0.3">
      <c r="A97" s="256">
        <v>6</v>
      </c>
      <c r="B97" s="257" t="s">
        <v>380</v>
      </c>
      <c r="C97" s="260">
        <v>9641</v>
      </c>
      <c r="D97" s="260">
        <v>19591</v>
      </c>
      <c r="E97" s="260">
        <f t="shared" si="12"/>
        <v>9950</v>
      </c>
      <c r="F97" s="259">
        <f t="shared" si="13"/>
        <v>1.0320506171558967</v>
      </c>
    </row>
    <row r="98" spans="1:6" ht="20.25" customHeight="1" x14ac:dyDescent="0.3">
      <c r="A98" s="256">
        <v>7</v>
      </c>
      <c r="B98" s="257" t="s">
        <v>445</v>
      </c>
      <c r="C98" s="260">
        <v>19918</v>
      </c>
      <c r="D98" s="260">
        <v>29081</v>
      </c>
      <c r="E98" s="260">
        <f t="shared" si="12"/>
        <v>9163</v>
      </c>
      <c r="F98" s="259">
        <f t="shared" si="13"/>
        <v>0.46003614820765137</v>
      </c>
    </row>
    <row r="99" spans="1:6" ht="20.25" customHeight="1" x14ac:dyDescent="0.3">
      <c r="A99" s="256">
        <v>8</v>
      </c>
      <c r="B99" s="257" t="s">
        <v>446</v>
      </c>
      <c r="C99" s="260">
        <v>1376</v>
      </c>
      <c r="D99" s="260">
        <v>2756</v>
      </c>
      <c r="E99" s="260">
        <f t="shared" si="12"/>
        <v>1380</v>
      </c>
      <c r="F99" s="259">
        <f t="shared" si="13"/>
        <v>1.0029069767441861</v>
      </c>
    </row>
    <row r="100" spans="1:6" ht="20.25" customHeight="1" x14ac:dyDescent="0.3">
      <c r="A100" s="256">
        <v>9</v>
      </c>
      <c r="B100" s="257" t="s">
        <v>447</v>
      </c>
      <c r="C100" s="260">
        <v>1045</v>
      </c>
      <c r="D100" s="260">
        <v>1267</v>
      </c>
      <c r="E100" s="260">
        <f t="shared" si="12"/>
        <v>222</v>
      </c>
      <c r="F100" s="259">
        <f t="shared" si="13"/>
        <v>0.21244019138755982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177806745</v>
      </c>
      <c r="D101" s="263">
        <f>+D92+D94</f>
        <v>319907882</v>
      </c>
      <c r="E101" s="263">
        <f t="shared" si="12"/>
        <v>142101137</v>
      </c>
      <c r="F101" s="264">
        <f t="shared" si="13"/>
        <v>0.79918867532274995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44290625</v>
      </c>
      <c r="D102" s="263">
        <f>+D93+D95</f>
        <v>74024735</v>
      </c>
      <c r="E102" s="263">
        <f t="shared" si="12"/>
        <v>29734110</v>
      </c>
      <c r="F102" s="264">
        <f t="shared" si="13"/>
        <v>0.67134094404854305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10876918</v>
      </c>
      <c r="D105" s="258">
        <v>27013400</v>
      </c>
      <c r="E105" s="258">
        <f t="shared" ref="E105:E115" si="14">D105-C105</f>
        <v>16136482</v>
      </c>
      <c r="F105" s="259">
        <f t="shared" ref="F105:F115" si="15">IF(C105=0,0,E105/C105)</f>
        <v>1.4835527858167175</v>
      </c>
    </row>
    <row r="106" spans="1:6" ht="20.25" customHeight="1" x14ac:dyDescent="0.3">
      <c r="A106" s="256">
        <v>2</v>
      </c>
      <c r="B106" s="257" t="s">
        <v>442</v>
      </c>
      <c r="C106" s="258">
        <v>3343559</v>
      </c>
      <c r="D106" s="258">
        <v>7840706</v>
      </c>
      <c r="E106" s="258">
        <f t="shared" si="14"/>
        <v>4497147</v>
      </c>
      <c r="F106" s="259">
        <f t="shared" si="15"/>
        <v>1.3450179883172393</v>
      </c>
    </row>
    <row r="107" spans="1:6" ht="20.25" customHeight="1" x14ac:dyDescent="0.3">
      <c r="A107" s="256">
        <v>3</v>
      </c>
      <c r="B107" s="257" t="s">
        <v>443</v>
      </c>
      <c r="C107" s="258">
        <v>6424551</v>
      </c>
      <c r="D107" s="258">
        <v>18443818</v>
      </c>
      <c r="E107" s="258">
        <f t="shared" si="14"/>
        <v>12019267</v>
      </c>
      <c r="F107" s="259">
        <f t="shared" si="15"/>
        <v>1.8708337749984396</v>
      </c>
    </row>
    <row r="108" spans="1:6" ht="20.25" customHeight="1" x14ac:dyDescent="0.3">
      <c r="A108" s="256">
        <v>4</v>
      </c>
      <c r="B108" s="257" t="s">
        <v>444</v>
      </c>
      <c r="C108" s="258">
        <v>1091069</v>
      </c>
      <c r="D108" s="258">
        <v>2632249</v>
      </c>
      <c r="E108" s="258">
        <f t="shared" si="14"/>
        <v>1541180</v>
      </c>
      <c r="F108" s="259">
        <f t="shared" si="15"/>
        <v>1.4125412783242857</v>
      </c>
    </row>
    <row r="109" spans="1:6" ht="20.25" customHeight="1" x14ac:dyDescent="0.3">
      <c r="A109" s="256">
        <v>5</v>
      </c>
      <c r="B109" s="257" t="s">
        <v>381</v>
      </c>
      <c r="C109" s="260">
        <v>183</v>
      </c>
      <c r="D109" s="260">
        <v>441</v>
      </c>
      <c r="E109" s="260">
        <f t="shared" si="14"/>
        <v>258</v>
      </c>
      <c r="F109" s="259">
        <f t="shared" si="15"/>
        <v>1.4098360655737705</v>
      </c>
    </row>
    <row r="110" spans="1:6" ht="20.25" customHeight="1" x14ac:dyDescent="0.3">
      <c r="A110" s="256">
        <v>6</v>
      </c>
      <c r="B110" s="257" t="s">
        <v>380</v>
      </c>
      <c r="C110" s="260">
        <v>962</v>
      </c>
      <c r="D110" s="260">
        <v>2817</v>
      </c>
      <c r="E110" s="260">
        <f t="shared" si="14"/>
        <v>1855</v>
      </c>
      <c r="F110" s="259">
        <f t="shared" si="15"/>
        <v>1.9282744282744282</v>
      </c>
    </row>
    <row r="111" spans="1:6" ht="20.25" customHeight="1" x14ac:dyDescent="0.3">
      <c r="A111" s="256">
        <v>7</v>
      </c>
      <c r="B111" s="257" t="s">
        <v>445</v>
      </c>
      <c r="C111" s="260">
        <v>1664</v>
      </c>
      <c r="D111" s="260">
        <v>5655</v>
      </c>
      <c r="E111" s="260">
        <f t="shared" si="14"/>
        <v>3991</v>
      </c>
      <c r="F111" s="259">
        <f t="shared" si="15"/>
        <v>2.3984375</v>
      </c>
    </row>
    <row r="112" spans="1:6" ht="20.25" customHeight="1" x14ac:dyDescent="0.3">
      <c r="A112" s="256">
        <v>8</v>
      </c>
      <c r="B112" s="257" t="s">
        <v>446</v>
      </c>
      <c r="C112" s="260">
        <v>249</v>
      </c>
      <c r="D112" s="260">
        <v>1033</v>
      </c>
      <c r="E112" s="260">
        <f t="shared" si="14"/>
        <v>784</v>
      </c>
      <c r="F112" s="259">
        <f t="shared" si="15"/>
        <v>3.1485943775100402</v>
      </c>
    </row>
    <row r="113" spans="1:6" ht="20.25" customHeight="1" x14ac:dyDescent="0.3">
      <c r="A113" s="256">
        <v>9</v>
      </c>
      <c r="B113" s="257" t="s">
        <v>447</v>
      </c>
      <c r="C113" s="260">
        <v>121</v>
      </c>
      <c r="D113" s="260">
        <v>202</v>
      </c>
      <c r="E113" s="260">
        <f t="shared" si="14"/>
        <v>81</v>
      </c>
      <c r="F113" s="259">
        <f t="shared" si="15"/>
        <v>0.66942148760330578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17301469</v>
      </c>
      <c r="D114" s="263">
        <f>+D105+D107</f>
        <v>45457218</v>
      </c>
      <c r="E114" s="263">
        <f t="shared" si="14"/>
        <v>28155749</v>
      </c>
      <c r="F114" s="264">
        <f t="shared" si="15"/>
        <v>1.6273617575478707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4434628</v>
      </c>
      <c r="D115" s="263">
        <f>+D106+D108</f>
        <v>10472955</v>
      </c>
      <c r="E115" s="263">
        <f t="shared" si="14"/>
        <v>6038327</v>
      </c>
      <c r="F115" s="264">
        <f t="shared" si="15"/>
        <v>1.3616310094104849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14253829</v>
      </c>
      <c r="D118" s="258">
        <v>36086690</v>
      </c>
      <c r="E118" s="258">
        <f t="shared" ref="E118:E128" si="16">D118-C118</f>
        <v>21832861</v>
      </c>
      <c r="F118" s="259">
        <f t="shared" ref="F118:F128" si="17">IF(C118=0,0,E118/C118)</f>
        <v>1.5317190209030851</v>
      </c>
    </row>
    <row r="119" spans="1:6" ht="20.25" customHeight="1" x14ac:dyDescent="0.3">
      <c r="A119" s="256">
        <v>2</v>
      </c>
      <c r="B119" s="257" t="s">
        <v>442</v>
      </c>
      <c r="C119" s="258">
        <v>4265505</v>
      </c>
      <c r="D119" s="258">
        <v>10089761</v>
      </c>
      <c r="E119" s="258">
        <f t="shared" si="16"/>
        <v>5824256</v>
      </c>
      <c r="F119" s="259">
        <f t="shared" si="17"/>
        <v>1.3654317601315671</v>
      </c>
    </row>
    <row r="120" spans="1:6" ht="20.25" customHeight="1" x14ac:dyDescent="0.3">
      <c r="A120" s="256">
        <v>3</v>
      </c>
      <c r="B120" s="257" t="s">
        <v>443</v>
      </c>
      <c r="C120" s="258">
        <v>10216249</v>
      </c>
      <c r="D120" s="258">
        <v>39631423</v>
      </c>
      <c r="E120" s="258">
        <f t="shared" si="16"/>
        <v>29415174</v>
      </c>
      <c r="F120" s="259">
        <f t="shared" si="17"/>
        <v>2.8792538239817764</v>
      </c>
    </row>
    <row r="121" spans="1:6" ht="20.25" customHeight="1" x14ac:dyDescent="0.3">
      <c r="A121" s="256">
        <v>4</v>
      </c>
      <c r="B121" s="257" t="s">
        <v>444</v>
      </c>
      <c r="C121" s="258">
        <v>1978563</v>
      </c>
      <c r="D121" s="258">
        <v>6402277</v>
      </c>
      <c r="E121" s="258">
        <f t="shared" si="16"/>
        <v>4423714</v>
      </c>
      <c r="F121" s="259">
        <f t="shared" si="17"/>
        <v>2.2358216544027156</v>
      </c>
    </row>
    <row r="122" spans="1:6" ht="20.25" customHeight="1" x14ac:dyDescent="0.3">
      <c r="A122" s="256">
        <v>5</v>
      </c>
      <c r="B122" s="257" t="s">
        <v>381</v>
      </c>
      <c r="C122" s="260">
        <v>188</v>
      </c>
      <c r="D122" s="260">
        <v>520</v>
      </c>
      <c r="E122" s="260">
        <f t="shared" si="16"/>
        <v>332</v>
      </c>
      <c r="F122" s="259">
        <f t="shared" si="17"/>
        <v>1.7659574468085106</v>
      </c>
    </row>
    <row r="123" spans="1:6" ht="20.25" customHeight="1" x14ac:dyDescent="0.3">
      <c r="A123" s="256">
        <v>6</v>
      </c>
      <c r="B123" s="257" t="s">
        <v>380</v>
      </c>
      <c r="C123" s="260">
        <v>1232</v>
      </c>
      <c r="D123" s="260">
        <v>3096</v>
      </c>
      <c r="E123" s="260">
        <f t="shared" si="16"/>
        <v>1864</v>
      </c>
      <c r="F123" s="259">
        <f t="shared" si="17"/>
        <v>1.5129870129870129</v>
      </c>
    </row>
    <row r="124" spans="1:6" ht="20.25" customHeight="1" x14ac:dyDescent="0.3">
      <c r="A124" s="256">
        <v>7</v>
      </c>
      <c r="B124" s="257" t="s">
        <v>445</v>
      </c>
      <c r="C124" s="260">
        <v>2554</v>
      </c>
      <c r="D124" s="260">
        <v>7928</v>
      </c>
      <c r="E124" s="260">
        <f t="shared" si="16"/>
        <v>5374</v>
      </c>
      <c r="F124" s="259">
        <f t="shared" si="17"/>
        <v>2.1041503523884102</v>
      </c>
    </row>
    <row r="125" spans="1:6" ht="20.25" customHeight="1" x14ac:dyDescent="0.3">
      <c r="A125" s="256">
        <v>8</v>
      </c>
      <c r="B125" s="257" t="s">
        <v>446</v>
      </c>
      <c r="C125" s="260">
        <v>143</v>
      </c>
      <c r="D125" s="260">
        <v>532</v>
      </c>
      <c r="E125" s="260">
        <f t="shared" si="16"/>
        <v>389</v>
      </c>
      <c r="F125" s="259">
        <f t="shared" si="17"/>
        <v>2.7202797202797204</v>
      </c>
    </row>
    <row r="126" spans="1:6" ht="20.25" customHeight="1" x14ac:dyDescent="0.3">
      <c r="A126" s="256">
        <v>9</v>
      </c>
      <c r="B126" s="257" t="s">
        <v>447</v>
      </c>
      <c r="C126" s="260">
        <v>111</v>
      </c>
      <c r="D126" s="260">
        <v>259</v>
      </c>
      <c r="E126" s="260">
        <f t="shared" si="16"/>
        <v>148</v>
      </c>
      <c r="F126" s="259">
        <f t="shared" si="17"/>
        <v>1.3333333333333333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24470078</v>
      </c>
      <c r="D127" s="263">
        <f>+D118+D120</f>
        <v>75718113</v>
      </c>
      <c r="E127" s="263">
        <f t="shared" si="16"/>
        <v>51248035</v>
      </c>
      <c r="F127" s="264">
        <f t="shared" si="17"/>
        <v>2.0943143295252269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6244068</v>
      </c>
      <c r="D128" s="263">
        <f>+D119+D121</f>
        <v>16492038</v>
      </c>
      <c r="E128" s="263">
        <f t="shared" si="16"/>
        <v>10247970</v>
      </c>
      <c r="F128" s="264">
        <f t="shared" si="17"/>
        <v>1.64123292699567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1521586</v>
      </c>
      <c r="D131" s="258">
        <v>2096289</v>
      </c>
      <c r="E131" s="258">
        <f t="shared" ref="E131:E141" si="18">D131-C131</f>
        <v>574703</v>
      </c>
      <c r="F131" s="259">
        <f t="shared" ref="F131:F141" si="19">IF(C131=0,0,E131/C131)</f>
        <v>0.37769997883787049</v>
      </c>
    </row>
    <row r="132" spans="1:6" ht="20.25" customHeight="1" x14ac:dyDescent="0.3">
      <c r="A132" s="256">
        <v>2</v>
      </c>
      <c r="B132" s="257" t="s">
        <v>442</v>
      </c>
      <c r="C132" s="258">
        <v>466697</v>
      </c>
      <c r="D132" s="258">
        <v>669545</v>
      </c>
      <c r="E132" s="258">
        <f t="shared" si="18"/>
        <v>202848</v>
      </c>
      <c r="F132" s="259">
        <f t="shared" si="19"/>
        <v>0.43464603372209376</v>
      </c>
    </row>
    <row r="133" spans="1:6" ht="20.25" customHeight="1" x14ac:dyDescent="0.3">
      <c r="A133" s="256">
        <v>3</v>
      </c>
      <c r="B133" s="257" t="s">
        <v>443</v>
      </c>
      <c r="C133" s="258">
        <v>1209931</v>
      </c>
      <c r="D133" s="258">
        <v>898931</v>
      </c>
      <c r="E133" s="258">
        <f t="shared" si="18"/>
        <v>-311000</v>
      </c>
      <c r="F133" s="259">
        <f t="shared" si="19"/>
        <v>-0.2570394510100163</v>
      </c>
    </row>
    <row r="134" spans="1:6" ht="20.25" customHeight="1" x14ac:dyDescent="0.3">
      <c r="A134" s="256">
        <v>4</v>
      </c>
      <c r="B134" s="257" t="s">
        <v>444</v>
      </c>
      <c r="C134" s="258">
        <v>88648</v>
      </c>
      <c r="D134" s="258">
        <v>65947</v>
      </c>
      <c r="E134" s="258">
        <f t="shared" si="18"/>
        <v>-22701</v>
      </c>
      <c r="F134" s="259">
        <f t="shared" si="19"/>
        <v>-0.25608022741629816</v>
      </c>
    </row>
    <row r="135" spans="1:6" ht="20.25" customHeight="1" x14ac:dyDescent="0.3">
      <c r="A135" s="256">
        <v>5</v>
      </c>
      <c r="B135" s="257" t="s">
        <v>381</v>
      </c>
      <c r="C135" s="260">
        <v>23</v>
      </c>
      <c r="D135" s="260">
        <v>33</v>
      </c>
      <c r="E135" s="260">
        <f t="shared" si="18"/>
        <v>10</v>
      </c>
      <c r="F135" s="259">
        <f t="shared" si="19"/>
        <v>0.43478260869565216</v>
      </c>
    </row>
    <row r="136" spans="1:6" ht="20.25" customHeight="1" x14ac:dyDescent="0.3">
      <c r="A136" s="256">
        <v>6</v>
      </c>
      <c r="B136" s="257" t="s">
        <v>380</v>
      </c>
      <c r="C136" s="260">
        <v>113</v>
      </c>
      <c r="D136" s="260">
        <v>210</v>
      </c>
      <c r="E136" s="260">
        <f t="shared" si="18"/>
        <v>97</v>
      </c>
      <c r="F136" s="259">
        <f t="shared" si="19"/>
        <v>0.8584070796460177</v>
      </c>
    </row>
    <row r="137" spans="1:6" ht="20.25" customHeight="1" x14ac:dyDescent="0.3">
      <c r="A137" s="256">
        <v>7</v>
      </c>
      <c r="B137" s="257" t="s">
        <v>445</v>
      </c>
      <c r="C137" s="260">
        <v>168</v>
      </c>
      <c r="D137" s="260">
        <v>296</v>
      </c>
      <c r="E137" s="260">
        <f t="shared" si="18"/>
        <v>128</v>
      </c>
      <c r="F137" s="259">
        <f t="shared" si="19"/>
        <v>0.76190476190476186</v>
      </c>
    </row>
    <row r="138" spans="1:6" ht="20.25" customHeight="1" x14ac:dyDescent="0.3">
      <c r="A138" s="256">
        <v>8</v>
      </c>
      <c r="B138" s="257" t="s">
        <v>446</v>
      </c>
      <c r="C138" s="260">
        <v>31</v>
      </c>
      <c r="D138" s="260">
        <v>47</v>
      </c>
      <c r="E138" s="260">
        <f t="shared" si="18"/>
        <v>16</v>
      </c>
      <c r="F138" s="259">
        <f t="shared" si="19"/>
        <v>0.5161290322580645</v>
      </c>
    </row>
    <row r="139" spans="1:6" ht="20.25" customHeight="1" x14ac:dyDescent="0.3">
      <c r="A139" s="256">
        <v>9</v>
      </c>
      <c r="B139" s="257" t="s">
        <v>447</v>
      </c>
      <c r="C139" s="260">
        <v>14</v>
      </c>
      <c r="D139" s="260">
        <v>18</v>
      </c>
      <c r="E139" s="260">
        <f t="shared" si="18"/>
        <v>4</v>
      </c>
      <c r="F139" s="259">
        <f t="shared" si="19"/>
        <v>0.2857142857142857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2731517</v>
      </c>
      <c r="D140" s="263">
        <f>+D131+D133</f>
        <v>2995220</v>
      </c>
      <c r="E140" s="263">
        <f t="shared" si="18"/>
        <v>263703</v>
      </c>
      <c r="F140" s="264">
        <f t="shared" si="19"/>
        <v>9.6540859895801495E-2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555345</v>
      </c>
      <c r="D141" s="263">
        <f>+D132+D134</f>
        <v>735492</v>
      </c>
      <c r="E141" s="263">
        <f t="shared" si="18"/>
        <v>180147</v>
      </c>
      <c r="F141" s="264">
        <f t="shared" si="19"/>
        <v>0.32438754287875105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227936238</v>
      </c>
      <c r="D198" s="263">
        <f t="shared" si="28"/>
        <v>417417649</v>
      </c>
      <c r="E198" s="263">
        <f t="shared" ref="E198:E208" si="29">D198-C198</f>
        <v>189481411</v>
      </c>
      <c r="F198" s="273">
        <f t="shared" ref="F198:F208" si="30">IF(C198=0,0,E198/C198)</f>
        <v>0.83129129734956841</v>
      </c>
    </row>
    <row r="199" spans="1:9" ht="20.25" customHeight="1" x14ac:dyDescent="0.3">
      <c r="A199" s="271"/>
      <c r="B199" s="272" t="s">
        <v>466</v>
      </c>
      <c r="C199" s="263">
        <f t="shared" si="28"/>
        <v>71000024</v>
      </c>
      <c r="D199" s="263">
        <f t="shared" si="28"/>
        <v>120378904</v>
      </c>
      <c r="E199" s="263">
        <f t="shared" si="29"/>
        <v>49378880</v>
      </c>
      <c r="F199" s="273">
        <f t="shared" si="30"/>
        <v>0.69547694800779225</v>
      </c>
    </row>
    <row r="200" spans="1:9" ht="20.25" customHeight="1" x14ac:dyDescent="0.3">
      <c r="A200" s="271"/>
      <c r="B200" s="272" t="s">
        <v>467</v>
      </c>
      <c r="C200" s="263">
        <f t="shared" si="28"/>
        <v>146752182</v>
      </c>
      <c r="D200" s="263">
        <f t="shared" si="28"/>
        <v>272010248</v>
      </c>
      <c r="E200" s="263">
        <f t="shared" si="29"/>
        <v>125258066</v>
      </c>
      <c r="F200" s="273">
        <f t="shared" si="30"/>
        <v>0.85353460706976059</v>
      </c>
    </row>
    <row r="201" spans="1:9" ht="20.25" customHeight="1" x14ac:dyDescent="0.3">
      <c r="A201" s="271"/>
      <c r="B201" s="272" t="s">
        <v>468</v>
      </c>
      <c r="C201" s="263">
        <f t="shared" si="28"/>
        <v>25878030</v>
      </c>
      <c r="D201" s="263">
        <f t="shared" si="28"/>
        <v>42306504</v>
      </c>
      <c r="E201" s="263">
        <f t="shared" si="29"/>
        <v>16428474</v>
      </c>
      <c r="F201" s="273">
        <f t="shared" si="30"/>
        <v>0.63484252858505841</v>
      </c>
    </row>
    <row r="202" spans="1:9" ht="20.25" customHeight="1" x14ac:dyDescent="0.3">
      <c r="A202" s="271"/>
      <c r="B202" s="272" t="s">
        <v>138</v>
      </c>
      <c r="C202" s="274">
        <f t="shared" si="28"/>
        <v>3382</v>
      </c>
      <c r="D202" s="274">
        <f t="shared" si="28"/>
        <v>6304</v>
      </c>
      <c r="E202" s="274">
        <f t="shared" si="29"/>
        <v>2922</v>
      </c>
      <c r="F202" s="273">
        <f t="shared" si="30"/>
        <v>0.86398580721466589</v>
      </c>
    </row>
    <row r="203" spans="1:9" ht="20.25" customHeight="1" x14ac:dyDescent="0.3">
      <c r="A203" s="271"/>
      <c r="B203" s="272" t="s">
        <v>140</v>
      </c>
      <c r="C203" s="274">
        <f t="shared" si="28"/>
        <v>19077</v>
      </c>
      <c r="D203" s="274">
        <f t="shared" si="28"/>
        <v>39133</v>
      </c>
      <c r="E203" s="274">
        <f t="shared" si="29"/>
        <v>20056</v>
      </c>
      <c r="F203" s="273">
        <f t="shared" si="30"/>
        <v>1.0513183414583005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40050</v>
      </c>
      <c r="D204" s="274">
        <f t="shared" si="28"/>
        <v>65937</v>
      </c>
      <c r="E204" s="274">
        <f t="shared" si="29"/>
        <v>25887</v>
      </c>
      <c r="F204" s="273">
        <f t="shared" si="30"/>
        <v>0.64636704119850186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2999</v>
      </c>
      <c r="D205" s="274">
        <f t="shared" si="28"/>
        <v>5897</v>
      </c>
      <c r="E205" s="274">
        <f t="shared" si="29"/>
        <v>2898</v>
      </c>
      <c r="F205" s="273">
        <f t="shared" si="30"/>
        <v>0.96632210736912305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2085</v>
      </c>
      <c r="D206" s="274">
        <f t="shared" si="28"/>
        <v>2446</v>
      </c>
      <c r="E206" s="274">
        <f t="shared" si="29"/>
        <v>361</v>
      </c>
      <c r="F206" s="273">
        <f t="shared" si="30"/>
        <v>0.17314148681055155</v>
      </c>
    </row>
    <row r="207" spans="1:9" ht="20.25" customHeight="1" x14ac:dyDescent="0.3">
      <c r="A207" s="271"/>
      <c r="B207" s="262" t="s">
        <v>471</v>
      </c>
      <c r="C207" s="263">
        <f>+C198+C200</f>
        <v>374688420</v>
      </c>
      <c r="D207" s="263">
        <f>+D198+D200</f>
        <v>689427897</v>
      </c>
      <c r="E207" s="263">
        <f t="shared" si="29"/>
        <v>314739477</v>
      </c>
      <c r="F207" s="273">
        <f t="shared" si="30"/>
        <v>0.8400032138703406</v>
      </c>
    </row>
    <row r="208" spans="1:9" ht="20.25" customHeight="1" x14ac:dyDescent="0.3">
      <c r="A208" s="271"/>
      <c r="B208" s="262" t="s">
        <v>472</v>
      </c>
      <c r="C208" s="263">
        <f>+C199+C201</f>
        <v>96878054</v>
      </c>
      <c r="D208" s="263">
        <f>+D199+D201</f>
        <v>162685408</v>
      </c>
      <c r="E208" s="263">
        <f t="shared" si="29"/>
        <v>65807354</v>
      </c>
      <c r="F208" s="273">
        <f t="shared" si="30"/>
        <v>0.67928030428852337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55408995</v>
      </c>
      <c r="D26" s="258">
        <v>0</v>
      </c>
      <c r="E26" s="258">
        <f t="shared" ref="E26:E36" si="2">D26-C26</f>
        <v>-55408995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8349796</v>
      </c>
      <c r="D27" s="258">
        <v>0</v>
      </c>
      <c r="E27" s="258">
        <f t="shared" si="2"/>
        <v>-8349796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29716083</v>
      </c>
      <c r="D28" s="258">
        <v>0</v>
      </c>
      <c r="E28" s="258">
        <f t="shared" si="2"/>
        <v>-29716083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8102252</v>
      </c>
      <c r="D29" s="258">
        <v>0</v>
      </c>
      <c r="E29" s="258">
        <f t="shared" si="2"/>
        <v>-8102252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1234</v>
      </c>
      <c r="D30" s="260">
        <v>0</v>
      </c>
      <c r="E30" s="260">
        <f t="shared" si="2"/>
        <v>-1234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5712</v>
      </c>
      <c r="D31" s="260">
        <v>0</v>
      </c>
      <c r="E31" s="260">
        <f t="shared" si="2"/>
        <v>-5712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14795</v>
      </c>
      <c r="D32" s="260">
        <v>0</v>
      </c>
      <c r="E32" s="260">
        <f t="shared" si="2"/>
        <v>-14795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4577</v>
      </c>
      <c r="D33" s="260">
        <v>0</v>
      </c>
      <c r="E33" s="260">
        <f t="shared" si="2"/>
        <v>-4577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639</v>
      </c>
      <c r="D34" s="260">
        <v>0</v>
      </c>
      <c r="E34" s="260">
        <f t="shared" si="2"/>
        <v>-639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85125078</v>
      </c>
      <c r="D35" s="263">
        <f>+D26+D28</f>
        <v>0</v>
      </c>
      <c r="E35" s="263">
        <f t="shared" si="2"/>
        <v>-85125078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16452048</v>
      </c>
      <c r="D36" s="263">
        <f>+D27+D29</f>
        <v>0</v>
      </c>
      <c r="E36" s="263">
        <f t="shared" si="2"/>
        <v>-16452048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9124574</v>
      </c>
      <c r="D50" s="258">
        <v>0</v>
      </c>
      <c r="E50" s="258">
        <f t="shared" ref="E50:E60" si="6">D50-C50</f>
        <v>-9124574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1282014</v>
      </c>
      <c r="D51" s="258">
        <v>0</v>
      </c>
      <c r="E51" s="258">
        <f t="shared" si="6"/>
        <v>-1282014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5157118</v>
      </c>
      <c r="D52" s="258">
        <v>0</v>
      </c>
      <c r="E52" s="258">
        <f t="shared" si="6"/>
        <v>-5157118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1552748</v>
      </c>
      <c r="D53" s="258">
        <v>0</v>
      </c>
      <c r="E53" s="258">
        <f t="shared" si="6"/>
        <v>-1552748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146</v>
      </c>
      <c r="D54" s="260">
        <v>0</v>
      </c>
      <c r="E54" s="260">
        <f t="shared" si="6"/>
        <v>-146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886</v>
      </c>
      <c r="D55" s="260">
        <v>0</v>
      </c>
      <c r="E55" s="260">
        <f t="shared" si="6"/>
        <v>-886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2435</v>
      </c>
      <c r="D56" s="260">
        <v>0</v>
      </c>
      <c r="E56" s="260">
        <f t="shared" si="6"/>
        <v>-2435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669</v>
      </c>
      <c r="D57" s="260">
        <v>0</v>
      </c>
      <c r="E57" s="260">
        <f t="shared" si="6"/>
        <v>-669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51</v>
      </c>
      <c r="D58" s="260">
        <v>0</v>
      </c>
      <c r="E58" s="260">
        <f t="shared" si="6"/>
        <v>-51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14281692</v>
      </c>
      <c r="D59" s="263">
        <f>+D50+D52</f>
        <v>0</v>
      </c>
      <c r="E59" s="263">
        <f t="shared" si="6"/>
        <v>-14281692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2834762</v>
      </c>
      <c r="D60" s="263">
        <f>+D51+D53</f>
        <v>0</v>
      </c>
      <c r="E60" s="263">
        <f t="shared" si="6"/>
        <v>-2834762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21823997</v>
      </c>
      <c r="D98" s="258">
        <v>0</v>
      </c>
      <c r="E98" s="258">
        <f t="shared" ref="E98:E108" si="14">D98-C98</f>
        <v>-21823997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3352710</v>
      </c>
      <c r="D99" s="258">
        <v>0</v>
      </c>
      <c r="E99" s="258">
        <f t="shared" si="14"/>
        <v>-3352710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11066368</v>
      </c>
      <c r="D100" s="258">
        <v>0</v>
      </c>
      <c r="E100" s="258">
        <f t="shared" si="14"/>
        <v>-11066368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2866234</v>
      </c>
      <c r="D101" s="258">
        <v>0</v>
      </c>
      <c r="E101" s="258">
        <f t="shared" si="14"/>
        <v>-2866234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470</v>
      </c>
      <c r="D102" s="260">
        <v>0</v>
      </c>
      <c r="E102" s="260">
        <f t="shared" si="14"/>
        <v>-470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2143</v>
      </c>
      <c r="D103" s="260">
        <v>0</v>
      </c>
      <c r="E103" s="260">
        <f t="shared" si="14"/>
        <v>-2143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4891</v>
      </c>
      <c r="D104" s="260">
        <v>0</v>
      </c>
      <c r="E104" s="260">
        <f t="shared" si="14"/>
        <v>-4891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1364</v>
      </c>
      <c r="D105" s="260">
        <v>0</v>
      </c>
      <c r="E105" s="260">
        <f t="shared" si="14"/>
        <v>-1364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212</v>
      </c>
      <c r="D106" s="260">
        <v>0</v>
      </c>
      <c r="E106" s="260">
        <f t="shared" si="14"/>
        <v>-212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32890365</v>
      </c>
      <c r="D107" s="263">
        <f>+D98+D100</f>
        <v>0</v>
      </c>
      <c r="E107" s="263">
        <f t="shared" si="14"/>
        <v>-32890365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6218944</v>
      </c>
      <c r="D108" s="263">
        <f>+D99+D101</f>
        <v>0</v>
      </c>
      <c r="E108" s="263">
        <f t="shared" si="14"/>
        <v>-6218944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86357566</v>
      </c>
      <c r="D112" s="263">
        <f t="shared" si="16"/>
        <v>0</v>
      </c>
      <c r="E112" s="263">
        <f t="shared" ref="E112:E122" si="17">D112-C112</f>
        <v>-86357566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12984520</v>
      </c>
      <c r="D113" s="263">
        <f t="shared" si="16"/>
        <v>0</v>
      </c>
      <c r="E113" s="263">
        <f t="shared" si="17"/>
        <v>-12984520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45939569</v>
      </c>
      <c r="D114" s="263">
        <f t="shared" si="16"/>
        <v>0</v>
      </c>
      <c r="E114" s="263">
        <f t="shared" si="17"/>
        <v>-45939569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12521234</v>
      </c>
      <c r="D115" s="263">
        <f t="shared" si="16"/>
        <v>0</v>
      </c>
      <c r="E115" s="263">
        <f t="shared" si="17"/>
        <v>-12521234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1850</v>
      </c>
      <c r="D116" s="287">
        <f t="shared" si="16"/>
        <v>0</v>
      </c>
      <c r="E116" s="287">
        <f t="shared" si="17"/>
        <v>-1850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8741</v>
      </c>
      <c r="D117" s="287">
        <f t="shared" si="16"/>
        <v>0</v>
      </c>
      <c r="E117" s="287">
        <f t="shared" si="17"/>
        <v>-8741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22121</v>
      </c>
      <c r="D118" s="287">
        <f t="shared" si="16"/>
        <v>0</v>
      </c>
      <c r="E118" s="287">
        <f t="shared" si="17"/>
        <v>-22121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6610</v>
      </c>
      <c r="D119" s="287">
        <f t="shared" si="16"/>
        <v>0</v>
      </c>
      <c r="E119" s="287">
        <f t="shared" si="17"/>
        <v>-6610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902</v>
      </c>
      <c r="D120" s="287">
        <f t="shared" si="16"/>
        <v>0</v>
      </c>
      <c r="E120" s="287">
        <f t="shared" si="17"/>
        <v>-902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132297135</v>
      </c>
      <c r="D121" s="263">
        <f>+D112+D114</f>
        <v>0</v>
      </c>
      <c r="E121" s="263">
        <f t="shared" si="17"/>
        <v>-132297135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25505754</v>
      </c>
      <c r="D122" s="263">
        <f>+D113+D115</f>
        <v>0</v>
      </c>
      <c r="E122" s="263">
        <f t="shared" si="17"/>
        <v>-25505754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69453000</v>
      </c>
      <c r="D13" s="22">
        <v>46312000</v>
      </c>
      <c r="E13" s="22">
        <f t="shared" ref="E13:E22" si="0">D13-C13</f>
        <v>-23141000</v>
      </c>
      <c r="F13" s="306">
        <f t="shared" ref="F13:F22" si="1">IF(C13=0,0,E13/C13)</f>
        <v>-0.33318935107194791</v>
      </c>
    </row>
    <row r="14" spans="1:8" ht="24" customHeight="1" x14ac:dyDescent="0.2">
      <c r="A14" s="304">
        <v>2</v>
      </c>
      <c r="B14" s="305" t="s">
        <v>17</v>
      </c>
      <c r="C14" s="22">
        <v>613360000</v>
      </c>
      <c r="D14" s="22">
        <v>709453000</v>
      </c>
      <c r="E14" s="22">
        <f t="shared" si="0"/>
        <v>96093000</v>
      </c>
      <c r="F14" s="306">
        <f t="shared" si="1"/>
        <v>0.15666655797574019</v>
      </c>
    </row>
    <row r="15" spans="1:8" ht="35.1" customHeight="1" x14ac:dyDescent="0.2">
      <c r="A15" s="304">
        <v>3</v>
      </c>
      <c r="B15" s="305" t="s">
        <v>18</v>
      </c>
      <c r="C15" s="22">
        <v>205704000</v>
      </c>
      <c r="D15" s="22">
        <v>238901000</v>
      </c>
      <c r="E15" s="22">
        <f t="shared" si="0"/>
        <v>33197000</v>
      </c>
      <c r="F15" s="306">
        <f t="shared" si="1"/>
        <v>0.16138237467428926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29902000</v>
      </c>
      <c r="D19" s="22">
        <v>29844000</v>
      </c>
      <c r="E19" s="22">
        <f t="shared" si="0"/>
        <v>-58000</v>
      </c>
      <c r="F19" s="306">
        <f t="shared" si="1"/>
        <v>-1.939669587318574E-3</v>
      </c>
    </row>
    <row r="20" spans="1:11" ht="24" customHeight="1" x14ac:dyDescent="0.2">
      <c r="A20" s="304">
        <v>8</v>
      </c>
      <c r="B20" s="305" t="s">
        <v>23</v>
      </c>
      <c r="C20" s="22">
        <v>19568000</v>
      </c>
      <c r="D20" s="22">
        <v>34089000</v>
      </c>
      <c r="E20" s="22">
        <f t="shared" si="0"/>
        <v>14521000</v>
      </c>
      <c r="F20" s="306">
        <f t="shared" si="1"/>
        <v>0.7420789043336059</v>
      </c>
    </row>
    <row r="21" spans="1:11" ht="24" customHeight="1" x14ac:dyDescent="0.2">
      <c r="A21" s="304">
        <v>9</v>
      </c>
      <c r="B21" s="305" t="s">
        <v>24</v>
      </c>
      <c r="C21" s="22">
        <v>71565000</v>
      </c>
      <c r="D21" s="22">
        <v>76112000</v>
      </c>
      <c r="E21" s="22">
        <f t="shared" si="0"/>
        <v>4547000</v>
      </c>
      <c r="F21" s="306">
        <f t="shared" si="1"/>
        <v>6.3536645008034659E-2</v>
      </c>
    </row>
    <row r="22" spans="1:11" ht="24" customHeight="1" x14ac:dyDescent="0.25">
      <c r="A22" s="307"/>
      <c r="B22" s="308" t="s">
        <v>25</v>
      </c>
      <c r="C22" s="309">
        <f>SUM(C13:C21)</f>
        <v>1009552000</v>
      </c>
      <c r="D22" s="309">
        <f>SUM(D13:D21)</f>
        <v>1134711000</v>
      </c>
      <c r="E22" s="309">
        <f t="shared" si="0"/>
        <v>125159000</v>
      </c>
      <c r="F22" s="310">
        <f t="shared" si="1"/>
        <v>0.12397479277937144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12127000</v>
      </c>
      <c r="D25" s="22">
        <v>12538000</v>
      </c>
      <c r="E25" s="22">
        <f>D25-C25</f>
        <v>411000</v>
      </c>
      <c r="F25" s="306">
        <f>IF(C25=0,0,E25/C25)</f>
        <v>3.3891316896182071E-2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93561000</v>
      </c>
      <c r="D26" s="22">
        <v>71557000</v>
      </c>
      <c r="E26" s="22">
        <f>D26-C26</f>
        <v>-22004000</v>
      </c>
      <c r="F26" s="306">
        <f>IF(C26=0,0,E26/C26)</f>
        <v>-0.23518346319513472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105688000</v>
      </c>
      <c r="D29" s="309">
        <f>SUM(D25:D28)</f>
        <v>84095000</v>
      </c>
      <c r="E29" s="309">
        <f>D29-C29</f>
        <v>-21593000</v>
      </c>
      <c r="F29" s="310">
        <f>IF(C29=0,0,E29/C29)</f>
        <v>-0.20430890924229808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164238000</v>
      </c>
      <c r="D32" s="22">
        <v>214382000</v>
      </c>
      <c r="E32" s="22">
        <f>D32-C32</f>
        <v>50144000</v>
      </c>
      <c r="F32" s="306">
        <f>IF(C32=0,0,E32/C32)</f>
        <v>0.3053130213470695</v>
      </c>
    </row>
    <row r="33" spans="1:8" ht="24" customHeight="1" x14ac:dyDescent="0.2">
      <c r="A33" s="304">
        <v>7</v>
      </c>
      <c r="B33" s="305" t="s">
        <v>35</v>
      </c>
      <c r="C33" s="22">
        <v>256182000</v>
      </c>
      <c r="D33" s="22">
        <v>294202000</v>
      </c>
      <c r="E33" s="22">
        <f>D33-C33</f>
        <v>38020000</v>
      </c>
      <c r="F33" s="306">
        <f>IF(C33=0,0,E33/C33)</f>
        <v>0.14841011468409177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1557206000</v>
      </c>
      <c r="D36" s="22">
        <v>1625294000</v>
      </c>
      <c r="E36" s="22">
        <f>D36-C36</f>
        <v>68088000</v>
      </c>
      <c r="F36" s="306">
        <f>IF(C36=0,0,E36/C36)</f>
        <v>4.3724465484977583E-2</v>
      </c>
    </row>
    <row r="37" spans="1:8" ht="24" customHeight="1" x14ac:dyDescent="0.2">
      <c r="A37" s="304">
        <v>2</v>
      </c>
      <c r="B37" s="305" t="s">
        <v>39</v>
      </c>
      <c r="C37" s="22">
        <v>617488000</v>
      </c>
      <c r="D37" s="22">
        <v>695193000</v>
      </c>
      <c r="E37" s="22">
        <f>D37-C37</f>
        <v>77705000</v>
      </c>
      <c r="F37" s="22">
        <f>IF(C37=0,0,E37/C37)</f>
        <v>0.12584050216360479</v>
      </c>
    </row>
    <row r="38" spans="1:8" ht="24" customHeight="1" x14ac:dyDescent="0.25">
      <c r="A38" s="307"/>
      <c r="B38" s="308" t="s">
        <v>40</v>
      </c>
      <c r="C38" s="309">
        <f>C36-C37</f>
        <v>939718000</v>
      </c>
      <c r="D38" s="309">
        <f>D36-D37</f>
        <v>930101000</v>
      </c>
      <c r="E38" s="309">
        <f>D38-C38</f>
        <v>-9617000</v>
      </c>
      <c r="F38" s="310">
        <f>IF(C38=0,0,E38/C38)</f>
        <v>-1.0233921240201848E-2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63603000</v>
      </c>
      <c r="D40" s="22">
        <v>23639000</v>
      </c>
      <c r="E40" s="22">
        <f>D40-C40</f>
        <v>-39964000</v>
      </c>
      <c r="F40" s="306">
        <f>IF(C40=0,0,E40/C40)</f>
        <v>-0.6283351414241467</v>
      </c>
    </row>
    <row r="41" spans="1:8" ht="24" customHeight="1" x14ac:dyDescent="0.25">
      <c r="A41" s="307"/>
      <c r="B41" s="308" t="s">
        <v>42</v>
      </c>
      <c r="C41" s="309">
        <f>+C38+C40</f>
        <v>1003321000</v>
      </c>
      <c r="D41" s="309">
        <f>+D38+D40</f>
        <v>953740000</v>
      </c>
      <c r="E41" s="309">
        <f>D41-C41</f>
        <v>-49581000</v>
      </c>
      <c r="F41" s="310">
        <f>IF(C41=0,0,E41/C41)</f>
        <v>-4.9416886519867517E-2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2538981000</v>
      </c>
      <c r="D43" s="309">
        <f>D22+D29+D31+D32+D33+D41</f>
        <v>2681130000</v>
      </c>
      <c r="E43" s="309">
        <f>D43-C43</f>
        <v>142149000</v>
      </c>
      <c r="F43" s="310">
        <f>IF(C43=0,0,E43/C43)</f>
        <v>5.5986634007895296E-2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209636000</v>
      </c>
      <c r="D49" s="22">
        <v>234110000</v>
      </c>
      <c r="E49" s="22">
        <f t="shared" ref="E49:E56" si="2">D49-C49</f>
        <v>24474000</v>
      </c>
      <c r="F49" s="306">
        <f t="shared" ref="F49:F56" si="3">IF(C49=0,0,E49/C49)</f>
        <v>0.11674521551641893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97580000</v>
      </c>
      <c r="D50" s="22">
        <v>93206000</v>
      </c>
      <c r="E50" s="22">
        <f t="shared" si="2"/>
        <v>-4374000</v>
      </c>
      <c r="F50" s="306">
        <f t="shared" si="3"/>
        <v>-4.4824759171961465E-2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101664000</v>
      </c>
      <c r="D53" s="22">
        <v>13668000</v>
      </c>
      <c r="E53" s="22">
        <f t="shared" si="2"/>
        <v>-87996000</v>
      </c>
      <c r="F53" s="306">
        <f t="shared" si="3"/>
        <v>-0.86555712936732765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19174000</v>
      </c>
      <c r="D55" s="22">
        <v>36630000</v>
      </c>
      <c r="E55" s="22">
        <f t="shared" si="2"/>
        <v>17456000</v>
      </c>
      <c r="F55" s="306">
        <f t="shared" si="3"/>
        <v>0.91039949932199848</v>
      </c>
    </row>
    <row r="56" spans="1:6" ht="24" customHeight="1" x14ac:dyDescent="0.25">
      <c r="A56" s="307"/>
      <c r="B56" s="308" t="s">
        <v>54</v>
      </c>
      <c r="C56" s="309">
        <f>SUM(C49:C55)</f>
        <v>428054000</v>
      </c>
      <c r="D56" s="309">
        <f>SUM(D49:D55)</f>
        <v>377614000</v>
      </c>
      <c r="E56" s="309">
        <f t="shared" si="2"/>
        <v>-50440000</v>
      </c>
      <c r="F56" s="310">
        <f t="shared" si="3"/>
        <v>-0.11783560018128554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411031000</v>
      </c>
      <c r="D59" s="22">
        <v>675929000</v>
      </c>
      <c r="E59" s="22">
        <f>D59-C59</f>
        <v>264898000</v>
      </c>
      <c r="F59" s="306">
        <f>IF(C59=0,0,E59/C59)</f>
        <v>0.64447207144959873</v>
      </c>
    </row>
    <row r="60" spans="1:6" ht="24" customHeight="1" x14ac:dyDescent="0.2">
      <c r="A60" s="304">
        <v>2</v>
      </c>
      <c r="B60" s="305" t="s">
        <v>57</v>
      </c>
      <c r="C60" s="22">
        <v>320333000</v>
      </c>
      <c r="D60" s="22">
        <v>55364000</v>
      </c>
      <c r="E60" s="22">
        <f>D60-C60</f>
        <v>-264969000</v>
      </c>
      <c r="F60" s="306">
        <f>IF(C60=0,0,E60/C60)</f>
        <v>-0.82716735397227259</v>
      </c>
    </row>
    <row r="61" spans="1:6" ht="24" customHeight="1" x14ac:dyDescent="0.25">
      <c r="A61" s="307"/>
      <c r="B61" s="308" t="s">
        <v>58</v>
      </c>
      <c r="C61" s="309">
        <f>SUM(C59:C60)</f>
        <v>731364000</v>
      </c>
      <c r="D61" s="309">
        <f>SUM(D59:D60)</f>
        <v>731293000</v>
      </c>
      <c r="E61" s="309">
        <f>D61-C61</f>
        <v>-71000</v>
      </c>
      <c r="F61" s="310">
        <f>IF(C61=0,0,E61/C61)</f>
        <v>-9.7078882745117341E-5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280718000</v>
      </c>
      <c r="D63" s="22">
        <v>197950000</v>
      </c>
      <c r="E63" s="22">
        <f>D63-C63</f>
        <v>-82768000</v>
      </c>
      <c r="F63" s="306">
        <f>IF(C63=0,0,E63/C63)</f>
        <v>-0.29484393590720936</v>
      </c>
    </row>
    <row r="64" spans="1:6" ht="24" customHeight="1" x14ac:dyDescent="0.2">
      <c r="A64" s="304">
        <v>4</v>
      </c>
      <c r="B64" s="305" t="s">
        <v>60</v>
      </c>
      <c r="C64" s="22">
        <v>339546000</v>
      </c>
      <c r="D64" s="22">
        <v>345910000</v>
      </c>
      <c r="E64" s="22">
        <f>D64-C64</f>
        <v>6364000</v>
      </c>
      <c r="F64" s="306">
        <f>IF(C64=0,0,E64/C64)</f>
        <v>1.8742674041219747E-2</v>
      </c>
    </row>
    <row r="65" spans="1:6" ht="24" customHeight="1" x14ac:dyDescent="0.25">
      <c r="A65" s="307"/>
      <c r="B65" s="308" t="s">
        <v>61</v>
      </c>
      <c r="C65" s="309">
        <f>SUM(C61:C64)</f>
        <v>1351628000</v>
      </c>
      <c r="D65" s="309">
        <f>SUM(D61:D64)</f>
        <v>1275153000</v>
      </c>
      <c r="E65" s="309">
        <f>D65-C65</f>
        <v>-76475000</v>
      </c>
      <c r="F65" s="310">
        <f>IF(C65=0,0,E65/C65)</f>
        <v>-5.6579916959400074E-2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2383000</v>
      </c>
      <c r="E67" s="22">
        <f>D67-C67</f>
        <v>2383000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686529000</v>
      </c>
      <c r="D70" s="22">
        <v>938843000</v>
      </c>
      <c r="E70" s="22">
        <f>D70-C70</f>
        <v>252314000</v>
      </c>
      <c r="F70" s="306">
        <f>IF(C70=0,0,E70/C70)</f>
        <v>0.36752125547500542</v>
      </c>
    </row>
    <row r="71" spans="1:6" ht="24" customHeight="1" x14ac:dyDescent="0.2">
      <c r="A71" s="304">
        <v>2</v>
      </c>
      <c r="B71" s="305" t="s">
        <v>65</v>
      </c>
      <c r="C71" s="22">
        <v>46026000</v>
      </c>
      <c r="D71" s="22">
        <v>59982000</v>
      </c>
      <c r="E71" s="22">
        <f>D71-C71</f>
        <v>13956000</v>
      </c>
      <c r="F71" s="306">
        <f>IF(C71=0,0,E71/C71)</f>
        <v>0.30321991917611785</v>
      </c>
    </row>
    <row r="72" spans="1:6" ht="24" customHeight="1" x14ac:dyDescent="0.2">
      <c r="A72" s="304">
        <v>3</v>
      </c>
      <c r="B72" s="305" t="s">
        <v>66</v>
      </c>
      <c r="C72" s="22">
        <v>26744000</v>
      </c>
      <c r="D72" s="22">
        <v>27155000</v>
      </c>
      <c r="E72" s="22">
        <f>D72-C72</f>
        <v>411000</v>
      </c>
      <c r="F72" s="306">
        <f>IF(C72=0,0,E72/C72)</f>
        <v>1.5367932994316482E-2</v>
      </c>
    </row>
    <row r="73" spans="1:6" ht="24" customHeight="1" x14ac:dyDescent="0.25">
      <c r="A73" s="304"/>
      <c r="B73" s="308" t="s">
        <v>67</v>
      </c>
      <c r="C73" s="309">
        <f>SUM(C70:C72)</f>
        <v>759299000</v>
      </c>
      <c r="D73" s="309">
        <f>SUM(D70:D72)</f>
        <v>1025980000</v>
      </c>
      <c r="E73" s="309">
        <f>D73-C73</f>
        <v>266681000</v>
      </c>
      <c r="F73" s="310">
        <f>IF(C73=0,0,E73/C73)</f>
        <v>0.35122000687476213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2538981000</v>
      </c>
      <c r="D75" s="309">
        <f>D56+D65+D67+D73</f>
        <v>2681130000</v>
      </c>
      <c r="E75" s="309">
        <f>D75-C75</f>
        <v>142149000</v>
      </c>
      <c r="F75" s="310">
        <f>IF(C75=0,0,E75/C75)</f>
        <v>5.5986634007895296E-2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5822356000</v>
      </c>
      <c r="D11" s="76">
        <v>8355658000</v>
      </c>
      <c r="E11" s="76">
        <f t="shared" ref="E11:E20" si="0">D11-C11</f>
        <v>2533302000</v>
      </c>
      <c r="F11" s="77">
        <f t="shared" ref="F11:F20" si="1">IF(C11=0,0,E11/C11)</f>
        <v>0.43509912482163576</v>
      </c>
    </row>
    <row r="12" spans="1:7" ht="23.1" customHeight="1" x14ac:dyDescent="0.2">
      <c r="A12" s="74">
        <v>2</v>
      </c>
      <c r="B12" s="75" t="s">
        <v>72</v>
      </c>
      <c r="C12" s="76">
        <v>4010121000</v>
      </c>
      <c r="D12" s="76">
        <v>5885526000</v>
      </c>
      <c r="E12" s="76">
        <f t="shared" si="0"/>
        <v>1875405000</v>
      </c>
      <c r="F12" s="77">
        <f t="shared" si="1"/>
        <v>0.46766793321199035</v>
      </c>
    </row>
    <row r="13" spans="1:7" ht="23.1" customHeight="1" x14ac:dyDescent="0.2">
      <c r="A13" s="74">
        <v>3</v>
      </c>
      <c r="B13" s="75" t="s">
        <v>73</v>
      </c>
      <c r="C13" s="76">
        <v>78983000</v>
      </c>
      <c r="D13" s="76">
        <v>87167000</v>
      </c>
      <c r="E13" s="76">
        <f t="shared" si="0"/>
        <v>8184000</v>
      </c>
      <c r="F13" s="77">
        <f t="shared" si="1"/>
        <v>0.10361723408834812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1733252000</v>
      </c>
      <c r="D15" s="79">
        <f>D11-D12-D13-D14</f>
        <v>2382965000</v>
      </c>
      <c r="E15" s="79">
        <f t="shared" si="0"/>
        <v>649713000</v>
      </c>
      <c r="F15" s="80">
        <f t="shared" si="1"/>
        <v>0.37485201228673037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65535000</v>
      </c>
      <c r="E16" s="76">
        <f t="shared" si="0"/>
        <v>65535000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1733252000</v>
      </c>
      <c r="D17" s="79">
        <f>D15-D16</f>
        <v>2317430000</v>
      </c>
      <c r="E17" s="79">
        <f t="shared" si="0"/>
        <v>584178000</v>
      </c>
      <c r="F17" s="80">
        <f t="shared" si="1"/>
        <v>0.3370415842589537</v>
      </c>
    </row>
    <row r="18" spans="1:7" ht="23.1" customHeight="1" x14ac:dyDescent="0.2">
      <c r="A18" s="74">
        <v>6</v>
      </c>
      <c r="B18" s="75" t="s">
        <v>78</v>
      </c>
      <c r="C18" s="76">
        <v>49518000</v>
      </c>
      <c r="D18" s="76">
        <v>60720000</v>
      </c>
      <c r="E18" s="76">
        <f t="shared" si="0"/>
        <v>11202000</v>
      </c>
      <c r="F18" s="77">
        <f t="shared" si="1"/>
        <v>0.22622076820550102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1782770000</v>
      </c>
      <c r="D20" s="79">
        <f>SUM(D17:D19)</f>
        <v>2378150000</v>
      </c>
      <c r="E20" s="79">
        <f t="shared" si="0"/>
        <v>595380000</v>
      </c>
      <c r="F20" s="80">
        <f t="shared" si="1"/>
        <v>0.33396343891808816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591915000</v>
      </c>
      <c r="D23" s="76">
        <v>804309000</v>
      </c>
      <c r="E23" s="76">
        <f t="shared" ref="E23:E32" si="2">D23-C23</f>
        <v>212394000</v>
      </c>
      <c r="F23" s="77">
        <f t="shared" ref="F23:F32" si="3">IF(C23=0,0,E23/C23)</f>
        <v>0.35882516915435492</v>
      </c>
    </row>
    <row r="24" spans="1:7" ht="23.1" customHeight="1" x14ac:dyDescent="0.2">
      <c r="A24" s="74">
        <v>2</v>
      </c>
      <c r="B24" s="75" t="s">
        <v>83</v>
      </c>
      <c r="C24" s="76">
        <v>172925000</v>
      </c>
      <c r="D24" s="76">
        <v>237277000</v>
      </c>
      <c r="E24" s="76">
        <f t="shared" si="2"/>
        <v>64352000</v>
      </c>
      <c r="F24" s="77">
        <f t="shared" si="3"/>
        <v>0.37213821020673704</v>
      </c>
    </row>
    <row r="25" spans="1:7" ht="23.1" customHeight="1" x14ac:dyDescent="0.2">
      <c r="A25" s="74">
        <v>3</v>
      </c>
      <c r="B25" s="75" t="s">
        <v>84</v>
      </c>
      <c r="C25" s="76">
        <v>73967000</v>
      </c>
      <c r="D25" s="76">
        <v>81367000</v>
      </c>
      <c r="E25" s="76">
        <f t="shared" si="2"/>
        <v>7400000</v>
      </c>
      <c r="F25" s="77">
        <f t="shared" si="3"/>
        <v>0.10004461449024565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276826000</v>
      </c>
      <c r="D26" s="76">
        <v>374971000</v>
      </c>
      <c r="E26" s="76">
        <f t="shared" si="2"/>
        <v>98145000</v>
      </c>
      <c r="F26" s="77">
        <f t="shared" si="3"/>
        <v>0.35453678483957429</v>
      </c>
    </row>
    <row r="27" spans="1:7" ht="23.1" customHeight="1" x14ac:dyDescent="0.2">
      <c r="A27" s="74">
        <v>5</v>
      </c>
      <c r="B27" s="75" t="s">
        <v>86</v>
      </c>
      <c r="C27" s="76">
        <v>74623000</v>
      </c>
      <c r="D27" s="76">
        <v>109616000</v>
      </c>
      <c r="E27" s="76">
        <f t="shared" si="2"/>
        <v>34993000</v>
      </c>
      <c r="F27" s="77">
        <f t="shared" si="3"/>
        <v>0.46893049059941305</v>
      </c>
    </row>
    <row r="28" spans="1:7" ht="23.1" customHeight="1" x14ac:dyDescent="0.2">
      <c r="A28" s="74">
        <v>6</v>
      </c>
      <c r="B28" s="75" t="s">
        <v>87</v>
      </c>
      <c r="C28" s="76">
        <v>32863000</v>
      </c>
      <c r="D28" s="76">
        <v>0</v>
      </c>
      <c r="E28" s="76">
        <f t="shared" si="2"/>
        <v>-32863000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18104000</v>
      </c>
      <c r="D29" s="76">
        <v>24246000</v>
      </c>
      <c r="E29" s="76">
        <f t="shared" si="2"/>
        <v>6142000</v>
      </c>
      <c r="F29" s="77">
        <f t="shared" si="3"/>
        <v>0.33926204153778172</v>
      </c>
    </row>
    <row r="30" spans="1:7" ht="23.1" customHeight="1" x14ac:dyDescent="0.2">
      <c r="A30" s="74">
        <v>8</v>
      </c>
      <c r="B30" s="75" t="s">
        <v>89</v>
      </c>
      <c r="C30" s="76">
        <v>15815000</v>
      </c>
      <c r="D30" s="76">
        <v>16811000</v>
      </c>
      <c r="E30" s="76">
        <f t="shared" si="2"/>
        <v>996000</v>
      </c>
      <c r="F30" s="77">
        <f t="shared" si="3"/>
        <v>6.2978185267151432E-2</v>
      </c>
    </row>
    <row r="31" spans="1:7" ht="23.1" customHeight="1" x14ac:dyDescent="0.2">
      <c r="A31" s="74">
        <v>9</v>
      </c>
      <c r="B31" s="75" t="s">
        <v>90</v>
      </c>
      <c r="C31" s="76">
        <v>418169000</v>
      </c>
      <c r="D31" s="76">
        <v>630838000</v>
      </c>
      <c r="E31" s="76">
        <f t="shared" si="2"/>
        <v>212669000</v>
      </c>
      <c r="F31" s="77">
        <f t="shared" si="3"/>
        <v>0.50857189318194318</v>
      </c>
    </row>
    <row r="32" spans="1:7" ht="23.1" customHeight="1" x14ac:dyDescent="0.25">
      <c r="A32" s="71"/>
      <c r="B32" s="78" t="s">
        <v>91</v>
      </c>
      <c r="C32" s="79">
        <f>SUM(C23:C31)</f>
        <v>1675207000</v>
      </c>
      <c r="D32" s="79">
        <f>SUM(D23:D31)</f>
        <v>2279435000</v>
      </c>
      <c r="E32" s="79">
        <f t="shared" si="2"/>
        <v>604228000</v>
      </c>
      <c r="F32" s="80">
        <f t="shared" si="3"/>
        <v>0.36068855968247504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107563000</v>
      </c>
      <c r="D34" s="79">
        <f>+D20-D32</f>
        <v>98715000</v>
      </c>
      <c r="E34" s="79">
        <f>D34-C34</f>
        <v>-8848000</v>
      </c>
      <c r="F34" s="80">
        <f>IF(C34=0,0,E34/C34)</f>
        <v>-8.2258769279399055E-2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4660000</v>
      </c>
      <c r="D37" s="76">
        <v>7993000</v>
      </c>
      <c r="E37" s="76">
        <f>D37-C37</f>
        <v>3333000</v>
      </c>
      <c r="F37" s="77">
        <f>IF(C37=0,0,E37/C37)</f>
        <v>0.71523605150214598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-29793000</v>
      </c>
      <c r="D39" s="76">
        <v>16263000</v>
      </c>
      <c r="E39" s="76">
        <f>D39-C39</f>
        <v>46056000</v>
      </c>
      <c r="F39" s="77">
        <f>IF(C39=0,0,E39/C39)</f>
        <v>-1.5458664787030512</v>
      </c>
    </row>
    <row r="40" spans="1:6" ht="23.1" customHeight="1" x14ac:dyDescent="0.25">
      <c r="A40" s="83"/>
      <c r="B40" s="78" t="s">
        <v>97</v>
      </c>
      <c r="C40" s="79">
        <f>SUM(C37:C39)</f>
        <v>-25133000</v>
      </c>
      <c r="D40" s="79">
        <f>SUM(D37:D39)</f>
        <v>24256000</v>
      </c>
      <c r="E40" s="79">
        <f>D40-C40</f>
        <v>49389000</v>
      </c>
      <c r="F40" s="80">
        <f>IF(C40=0,0,E40/C40)</f>
        <v>-1.9651056380058092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82430000</v>
      </c>
      <c r="D42" s="79">
        <f>D34+D40</f>
        <v>122971000</v>
      </c>
      <c r="E42" s="79">
        <f>D42-C42</f>
        <v>40541000</v>
      </c>
      <c r="F42" s="80">
        <f>IF(C42=0,0,E42/C42)</f>
        <v>0.49182336527963122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47986000</v>
      </c>
      <c r="D45" s="76">
        <v>50283000</v>
      </c>
      <c r="E45" s="76">
        <f>D45-C45</f>
        <v>2297000</v>
      </c>
      <c r="F45" s="77">
        <f>IF(C45=0,0,E45/C45)</f>
        <v>4.7868128204059515E-2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-4594000</v>
      </c>
      <c r="E46" s="76">
        <f>D46-C46</f>
        <v>-4594000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47986000</v>
      </c>
      <c r="D47" s="79">
        <f>SUM(D45:D46)</f>
        <v>45689000</v>
      </c>
      <c r="E47" s="79">
        <f>D47-C47</f>
        <v>-2297000</v>
      </c>
      <c r="F47" s="80">
        <f>IF(C47=0,0,E47/C47)</f>
        <v>-4.7868128204059515E-2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130416000</v>
      </c>
      <c r="D49" s="79">
        <f>D42+D47</f>
        <v>168660000</v>
      </c>
      <c r="E49" s="79">
        <f>D49-C49</f>
        <v>38244000</v>
      </c>
      <c r="F49" s="80">
        <f>IF(C49=0,0,E49/C49)</f>
        <v>0.29324622745675377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2014-10-07T14:13:28Z</cp:lastPrinted>
  <dcterms:created xsi:type="dcterms:W3CDTF">2014-10-06T19:18:46Z</dcterms:created>
  <dcterms:modified xsi:type="dcterms:W3CDTF">2014-10-09T19:16:04Z</dcterms:modified>
</cp:coreProperties>
</file>