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 s="1"/>
  <c r="D230" i="14"/>
  <c r="D229" i="14"/>
  <c r="D226" i="14"/>
  <c r="D227" i="14" s="1"/>
  <c r="D223" i="14"/>
  <c r="D204" i="14"/>
  <c r="D285" i="14"/>
  <c r="D203" i="14"/>
  <c r="D267" i="14"/>
  <c r="D198" i="14"/>
  <c r="D191" i="14"/>
  <c r="D264" i="14" s="1"/>
  <c r="D189" i="14"/>
  <c r="D215" i="14" s="1"/>
  <c r="D255" i="14" s="1"/>
  <c r="D188" i="14"/>
  <c r="D214" i="14" s="1"/>
  <c r="D180" i="14"/>
  <c r="D179" i="14"/>
  <c r="D181" i="14"/>
  <c r="D171" i="14"/>
  <c r="D172" i="14"/>
  <c r="D170" i="14"/>
  <c r="D165" i="14"/>
  <c r="D164" i="14"/>
  <c r="D159" i="14"/>
  <c r="D158" i="14"/>
  <c r="D155" i="14"/>
  <c r="D145" i="14"/>
  <c r="D144" i="14"/>
  <c r="D146" i="14" s="1"/>
  <c r="D136" i="14"/>
  <c r="D137" i="14" s="1"/>
  <c r="D135" i="14"/>
  <c r="D130" i="14"/>
  <c r="D129" i="14"/>
  <c r="D123" i="14"/>
  <c r="D192" i="14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68" i="14" s="1"/>
  <c r="D59" i="14"/>
  <c r="D60" i="14" s="1"/>
  <c r="D61" i="14" s="1"/>
  <c r="D58" i="14"/>
  <c r="D53" i="14"/>
  <c r="D52" i="14"/>
  <c r="D47" i="14"/>
  <c r="D48" i="14" s="1"/>
  <c r="D44" i="14"/>
  <c r="D36" i="14"/>
  <c r="D35" i="14"/>
  <c r="D37" i="14" s="1"/>
  <c r="D30" i="14"/>
  <c r="D31" i="14" s="1"/>
  <c r="D32" i="14" s="1"/>
  <c r="D29" i="14"/>
  <c r="D24" i="14"/>
  <c r="D23" i="14"/>
  <c r="D20" i="14"/>
  <c r="D21" i="14" s="1"/>
  <c r="D17" i="14"/>
  <c r="E97" i="19"/>
  <c r="D97" i="19"/>
  <c r="C97" i="19"/>
  <c r="E96" i="19"/>
  <c r="E98" i="19"/>
  <c r="D96" i="19"/>
  <c r="D98" i="19" s="1"/>
  <c r="C96" i="19"/>
  <c r="C98" i="19" s="1"/>
  <c r="E92" i="19"/>
  <c r="D92" i="19"/>
  <c r="C92" i="19"/>
  <c r="E91" i="19"/>
  <c r="E93" i="19" s="1"/>
  <c r="D91" i="19"/>
  <c r="D93" i="19"/>
  <c r="C91" i="19"/>
  <c r="C93" i="19"/>
  <c r="E87" i="19"/>
  <c r="D87" i="19"/>
  <c r="C87" i="19"/>
  <c r="E86" i="19"/>
  <c r="E88" i="19" s="1"/>
  <c r="D86" i="19"/>
  <c r="C86" i="19"/>
  <c r="C88" i="19" s="1"/>
  <c r="E83" i="19"/>
  <c r="D83" i="19"/>
  <c r="D101" i="19" s="1"/>
  <c r="C83" i="19"/>
  <c r="E76" i="19"/>
  <c r="E102" i="19"/>
  <c r="D76" i="19"/>
  <c r="C76" i="19"/>
  <c r="C102" i="19" s="1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C23" i="19"/>
  <c r="C46" i="19" s="1"/>
  <c r="E21" i="19"/>
  <c r="D21" i="19"/>
  <c r="C21" i="19"/>
  <c r="E12" i="19"/>
  <c r="E23" i="19" s="1"/>
  <c r="E54" i="19" s="1"/>
  <c r="E33" i="19"/>
  <c r="D12" i="19"/>
  <c r="D33" i="19"/>
  <c r="C12" i="19"/>
  <c r="C34" i="19" s="1"/>
  <c r="C33" i="19"/>
  <c r="D21" i="18"/>
  <c r="C21" i="18"/>
  <c r="E21" i="18" s="1"/>
  <c r="F21" i="18" s="1"/>
  <c r="D19" i="18"/>
  <c r="C19" i="18"/>
  <c r="E19" i="18" s="1"/>
  <c r="F19" i="18" s="1"/>
  <c r="E17" i="18"/>
  <c r="F17" i="18" s="1"/>
  <c r="E15" i="18"/>
  <c r="F15" i="18" s="1"/>
  <c r="D45" i="17"/>
  <c r="C45" i="17"/>
  <c r="D44" i="17"/>
  <c r="C44" i="17"/>
  <c r="D43" i="17"/>
  <c r="D46" i="17"/>
  <c r="C43" i="17"/>
  <c r="C46" i="17"/>
  <c r="D36" i="17"/>
  <c r="D40" i="17"/>
  <c r="C36" i="17"/>
  <c r="C40" i="17"/>
  <c r="E35" i="17"/>
  <c r="F35" i="17" s="1"/>
  <c r="E34" i="17"/>
  <c r="F34" i="17" s="1"/>
  <c r="E33" i="17"/>
  <c r="F33" i="17" s="1"/>
  <c r="E30" i="17"/>
  <c r="F30" i="17" s="1"/>
  <c r="E29" i="17"/>
  <c r="F29" i="17" s="1"/>
  <c r="E28" i="17"/>
  <c r="F28" i="17" s="1"/>
  <c r="E27" i="17"/>
  <c r="F27" i="17" s="1"/>
  <c r="D25" i="17"/>
  <c r="D39" i="17" s="1"/>
  <c r="D41" i="17" s="1"/>
  <c r="C25" i="17"/>
  <c r="C39" i="17" s="1"/>
  <c r="F24" i="17"/>
  <c r="E24" i="17"/>
  <c r="F23" i="17"/>
  <c r="E23" i="17"/>
  <c r="F22" i="17"/>
  <c r="E22" i="17"/>
  <c r="E25" i="17"/>
  <c r="D19" i="17"/>
  <c r="D20" i="17" s="1"/>
  <c r="C19" i="17"/>
  <c r="C20" i="17" s="1"/>
  <c r="E18" i="17"/>
  <c r="F18" i="17" s="1"/>
  <c r="D16" i="17"/>
  <c r="C16" i="17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49" i="16" s="1"/>
  <c r="C36" i="16"/>
  <c r="C32" i="16"/>
  <c r="C33" i="16" s="1"/>
  <c r="C21" i="16"/>
  <c r="C37" i="16" s="1"/>
  <c r="C38" i="16" s="1"/>
  <c r="C127" i="16" s="1"/>
  <c r="C129" i="16" s="1"/>
  <c r="C133" i="16" s="1"/>
  <c r="E328" i="15"/>
  <c r="E325" i="15"/>
  <c r="D324" i="15"/>
  <c r="D326" i="15" s="1"/>
  <c r="C324" i="15"/>
  <c r="C326" i="15" s="1"/>
  <c r="C330" i="15" s="1"/>
  <c r="E318" i="15"/>
  <c r="E315" i="15"/>
  <c r="D314" i="15"/>
  <c r="D316" i="15"/>
  <c r="C314" i="15"/>
  <c r="C316" i="15" s="1"/>
  <c r="C320" i="15" s="1"/>
  <c r="E308" i="15"/>
  <c r="E305" i="15"/>
  <c r="D301" i="15"/>
  <c r="E301" i="15" s="1"/>
  <c r="C301" i="15"/>
  <c r="D293" i="15"/>
  <c r="E293" i="15" s="1"/>
  <c r="C293" i="15"/>
  <c r="D292" i="15"/>
  <c r="E292" i="15" s="1"/>
  <c r="C292" i="15"/>
  <c r="D291" i="15"/>
  <c r="C291" i="15"/>
  <c r="D290" i="15"/>
  <c r="E290" i="15" s="1"/>
  <c r="C290" i="15"/>
  <c r="D288" i="15"/>
  <c r="E288" i="15" s="1"/>
  <c r="C288" i="15"/>
  <c r="D287" i="15"/>
  <c r="C287" i="15"/>
  <c r="D282" i="15"/>
  <c r="E282" i="15" s="1"/>
  <c r="C282" i="15"/>
  <c r="D281" i="15"/>
  <c r="C281" i="15"/>
  <c r="D280" i="15"/>
  <c r="C280" i="15"/>
  <c r="D279" i="15"/>
  <c r="E279" i="15" s="1"/>
  <c r="C279" i="15"/>
  <c r="D278" i="15"/>
  <c r="C278" i="15"/>
  <c r="D277" i="15"/>
  <c r="C277" i="15"/>
  <c r="D276" i="15"/>
  <c r="C276" i="15"/>
  <c r="E270" i="15"/>
  <c r="D265" i="15"/>
  <c r="E265" i="15" s="1"/>
  <c r="C265" i="15"/>
  <c r="C302" i="15" s="1"/>
  <c r="D262" i="15"/>
  <c r="E262" i="15" s="1"/>
  <c r="C262" i="15"/>
  <c r="D251" i="15"/>
  <c r="C251" i="15"/>
  <c r="D233" i="15"/>
  <c r="E233" i="15" s="1"/>
  <c r="C233" i="15"/>
  <c r="D232" i="15"/>
  <c r="C232" i="15"/>
  <c r="D231" i="15"/>
  <c r="C231" i="15"/>
  <c r="D230" i="15"/>
  <c r="C230" i="15"/>
  <c r="D228" i="15"/>
  <c r="C228" i="15"/>
  <c r="D227" i="15"/>
  <c r="E227" i="15" s="1"/>
  <c r="C227" i="15"/>
  <c r="D221" i="15"/>
  <c r="D245" i="15" s="1"/>
  <c r="E245" i="15" s="1"/>
  <c r="C221" i="15"/>
  <c r="C245" i="15" s="1"/>
  <c r="D220" i="15"/>
  <c r="E220" i="15" s="1"/>
  <c r="C220" i="15"/>
  <c r="C244" i="15" s="1"/>
  <c r="D219" i="15"/>
  <c r="D243" i="15" s="1"/>
  <c r="C219" i="15"/>
  <c r="C243" i="15" s="1"/>
  <c r="D218" i="15"/>
  <c r="D242" i="15" s="1"/>
  <c r="C218" i="15"/>
  <c r="C217" i="15" s="1"/>
  <c r="D216" i="15"/>
  <c r="D240" i="15" s="1"/>
  <c r="C216" i="15"/>
  <c r="C240" i="15" s="1"/>
  <c r="D215" i="15"/>
  <c r="C215" i="15"/>
  <c r="C239" i="15" s="1"/>
  <c r="E209" i="15"/>
  <c r="E208" i="15"/>
  <c r="E207" i="15"/>
  <c r="E206" i="15"/>
  <c r="D205" i="15"/>
  <c r="D229" i="15" s="1"/>
  <c r="C205" i="15"/>
  <c r="C229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C188" i="15"/>
  <c r="C261" i="15" s="1"/>
  <c r="E186" i="15"/>
  <c r="E185" i="15"/>
  <c r="D179" i="15"/>
  <c r="E179" i="15" s="1"/>
  <c r="C179" i="15"/>
  <c r="D178" i="15"/>
  <c r="C178" i="15"/>
  <c r="D177" i="15"/>
  <c r="C177" i="15"/>
  <c r="E177" i="15"/>
  <c r="D176" i="15"/>
  <c r="E176" i="15"/>
  <c r="C176" i="15"/>
  <c r="D174" i="15"/>
  <c r="E174" i="15" s="1"/>
  <c r="C174" i="15"/>
  <c r="D173" i="15"/>
  <c r="C173" i="15"/>
  <c r="E173" i="15" s="1"/>
  <c r="D167" i="15"/>
  <c r="E167" i="15" s="1"/>
  <c r="C167" i="15"/>
  <c r="D166" i="15"/>
  <c r="C166" i="15"/>
  <c r="E166" i="15" s="1"/>
  <c r="D165" i="15"/>
  <c r="E165" i="15" s="1"/>
  <c r="C165" i="15"/>
  <c r="D164" i="15"/>
  <c r="C164" i="15"/>
  <c r="E164" i="15" s="1"/>
  <c r="D162" i="15"/>
  <c r="C162" i="15"/>
  <c r="E162" i="15" s="1"/>
  <c r="D161" i="15"/>
  <c r="E161" i="15"/>
  <c r="C161" i="15"/>
  <c r="E155" i="15"/>
  <c r="E154" i="15"/>
  <c r="E153" i="15"/>
  <c r="E152" i="15"/>
  <c r="D151" i="15"/>
  <c r="E151" i="15" s="1"/>
  <c r="C151" i="15"/>
  <c r="C156" i="15"/>
  <c r="C157" i="15" s="1"/>
  <c r="E150" i="15"/>
  <c r="E149" i="15"/>
  <c r="E143" i="15"/>
  <c r="E142" i="15"/>
  <c r="E141" i="15"/>
  <c r="E140" i="15"/>
  <c r="D139" i="15"/>
  <c r="D163" i="15" s="1"/>
  <c r="C139" i="15"/>
  <c r="C163" i="15" s="1"/>
  <c r="E138" i="15"/>
  <c r="E137" i="15"/>
  <c r="D75" i="15"/>
  <c r="C75" i="15"/>
  <c r="E75" i="15" s="1"/>
  <c r="D74" i="15"/>
  <c r="E74" i="15"/>
  <c r="C74" i="15"/>
  <c r="D73" i="15"/>
  <c r="C73" i="15"/>
  <c r="E73" i="15"/>
  <c r="D72" i="15"/>
  <c r="E72" i="15"/>
  <c r="C72" i="15"/>
  <c r="D70" i="15"/>
  <c r="E70" i="15" s="1"/>
  <c r="C70" i="15"/>
  <c r="D69" i="15"/>
  <c r="C69" i="15"/>
  <c r="E64" i="15"/>
  <c r="E63" i="15"/>
  <c r="E62" i="15"/>
  <c r="E61" i="15"/>
  <c r="D60" i="15"/>
  <c r="C60" i="15"/>
  <c r="C289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E42" i="15"/>
  <c r="C42" i="15"/>
  <c r="D41" i="15"/>
  <c r="C41" i="15"/>
  <c r="D40" i="15"/>
  <c r="E40" i="15" s="1"/>
  <c r="C40" i="15"/>
  <c r="D39" i="15"/>
  <c r="C39" i="15"/>
  <c r="E39" i="15" s="1"/>
  <c r="D38" i="15"/>
  <c r="C38" i="15"/>
  <c r="D37" i="15"/>
  <c r="C37" i="15"/>
  <c r="D36" i="15"/>
  <c r="E36" i="15" s="1"/>
  <c r="C36" i="15"/>
  <c r="D32" i="15"/>
  <c r="C32" i="15"/>
  <c r="C33" i="15" s="1"/>
  <c r="E31" i="15"/>
  <c r="E30" i="15"/>
  <c r="E29" i="15"/>
  <c r="E28" i="15"/>
  <c r="E27" i="15"/>
  <c r="E26" i="15"/>
  <c r="E25" i="15"/>
  <c r="D21" i="15"/>
  <c r="D22" i="15" s="1"/>
  <c r="C21" i="15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 s="1"/>
  <c r="F332" i="14"/>
  <c r="E332" i="14"/>
  <c r="E331" i="14"/>
  <c r="F331" i="14" s="1"/>
  <c r="E330" i="14"/>
  <c r="F330" i="14" s="1"/>
  <c r="F329" i="14"/>
  <c r="E329" i="14"/>
  <c r="F316" i="14"/>
  <c r="E316" i="14"/>
  <c r="C311" i="14"/>
  <c r="E311" i="14"/>
  <c r="F311" i="14"/>
  <c r="F308" i="14"/>
  <c r="E308" i="14"/>
  <c r="C307" i="14"/>
  <c r="C299" i="14"/>
  <c r="E299" i="14" s="1"/>
  <c r="C298" i="14"/>
  <c r="C297" i="14"/>
  <c r="E297" i="14" s="1"/>
  <c r="C296" i="14"/>
  <c r="E296" i="14"/>
  <c r="C295" i="14"/>
  <c r="E295" i="14" s="1"/>
  <c r="C294" i="14"/>
  <c r="C250" i="14"/>
  <c r="C306" i="14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E238" i="14" s="1"/>
  <c r="C237" i="14"/>
  <c r="E237" i="14"/>
  <c r="F237" i="14" s="1"/>
  <c r="E234" i="14"/>
  <c r="F234" i="14" s="1"/>
  <c r="E233" i="14"/>
  <c r="F233" i="14" s="1"/>
  <c r="C230" i="14"/>
  <c r="E230" i="14" s="1"/>
  <c r="C229" i="14"/>
  <c r="E229" i="14"/>
  <c r="F229" i="14" s="1"/>
  <c r="E228" i="14"/>
  <c r="F228" i="14" s="1"/>
  <c r="C226" i="14"/>
  <c r="C227" i="14" s="1"/>
  <c r="E225" i="14"/>
  <c r="F225" i="14" s="1"/>
  <c r="E224" i="14"/>
  <c r="F224" i="14" s="1"/>
  <c r="C223" i="14"/>
  <c r="E223" i="14" s="1"/>
  <c r="E222" i="14"/>
  <c r="F222" i="14" s="1"/>
  <c r="E221" i="14"/>
  <c r="F221" i="14" s="1"/>
  <c r="C204" i="14"/>
  <c r="E204" i="14" s="1"/>
  <c r="C203" i="14"/>
  <c r="E203" i="14" s="1"/>
  <c r="C198" i="14"/>
  <c r="C274" i="14" s="1"/>
  <c r="C191" i="14"/>
  <c r="C264" i="14" s="1"/>
  <c r="C189" i="14"/>
  <c r="E189" i="14" s="1"/>
  <c r="C188" i="14"/>
  <c r="C206" i="14"/>
  <c r="C180" i="14"/>
  <c r="E180" i="14" s="1"/>
  <c r="C179" i="14"/>
  <c r="E179" i="14" s="1"/>
  <c r="F179" i="14" s="1"/>
  <c r="C171" i="14"/>
  <c r="C172" i="14" s="1"/>
  <c r="C173" i="14" s="1"/>
  <c r="C170" i="14"/>
  <c r="E170" i="14" s="1"/>
  <c r="E169" i="14"/>
  <c r="F169" i="14"/>
  <c r="E168" i="14"/>
  <c r="F168" i="14"/>
  <c r="C165" i="14"/>
  <c r="E165" i="14"/>
  <c r="F165" i="14" s="1"/>
  <c r="C164" i="14"/>
  <c r="E163" i="14"/>
  <c r="F163" i="14" s="1"/>
  <c r="C158" i="14"/>
  <c r="E158" i="14" s="1"/>
  <c r="F158" i="14" s="1"/>
  <c r="E157" i="14"/>
  <c r="F157" i="14" s="1"/>
  <c r="E156" i="14"/>
  <c r="F156" i="14" s="1"/>
  <c r="C155" i="14"/>
  <c r="E154" i="14"/>
  <c r="F154" i="14" s="1"/>
  <c r="E153" i="14"/>
  <c r="F153" i="14" s="1"/>
  <c r="C145" i="14"/>
  <c r="C144" i="14"/>
  <c r="E136" i="14"/>
  <c r="C136" i="14"/>
  <c r="C137" i="14" s="1"/>
  <c r="E137" i="14" s="1"/>
  <c r="C135" i="14"/>
  <c r="E135" i="14" s="1"/>
  <c r="F135" i="14" s="1"/>
  <c r="E134" i="14"/>
  <c r="F134" i="14"/>
  <c r="E133" i="14"/>
  <c r="F133" i="14"/>
  <c r="C130" i="14"/>
  <c r="C129" i="14"/>
  <c r="E129" i="14" s="1"/>
  <c r="E128" i="14"/>
  <c r="F128" i="14" s="1"/>
  <c r="C124" i="14"/>
  <c r="C123" i="14"/>
  <c r="C193" i="14" s="1"/>
  <c r="E122" i="14"/>
  <c r="F122" i="14" s="1"/>
  <c r="E121" i="14"/>
  <c r="F121" i="14" s="1"/>
  <c r="C120" i="14"/>
  <c r="E120" i="14" s="1"/>
  <c r="E119" i="14"/>
  <c r="F119" i="14" s="1"/>
  <c r="E118" i="14"/>
  <c r="F118" i="14" s="1"/>
  <c r="C110" i="14"/>
  <c r="C109" i="14"/>
  <c r="C101" i="14"/>
  <c r="E101" i="14"/>
  <c r="C100" i="14"/>
  <c r="E100" i="14" s="1"/>
  <c r="F100" i="14" s="1"/>
  <c r="F99" i="14"/>
  <c r="E99" i="14"/>
  <c r="F98" i="14"/>
  <c r="E98" i="14"/>
  <c r="C95" i="14"/>
  <c r="C94" i="14"/>
  <c r="E94" i="14"/>
  <c r="E93" i="14"/>
  <c r="F93" i="14" s="1"/>
  <c r="C88" i="14"/>
  <c r="C89" i="14" s="1"/>
  <c r="E87" i="14"/>
  <c r="F87" i="14"/>
  <c r="E86" i="14"/>
  <c r="F86" i="14"/>
  <c r="C85" i="14"/>
  <c r="E85" i="14"/>
  <c r="E84" i="14"/>
  <c r="F84" i="14"/>
  <c r="E83" i="14"/>
  <c r="F83" i="14"/>
  <c r="C76" i="14"/>
  <c r="C77" i="14" s="1"/>
  <c r="E77" i="14" s="1"/>
  <c r="F74" i="14"/>
  <c r="E74" i="14"/>
  <c r="F73" i="14"/>
  <c r="E73" i="14"/>
  <c r="C67" i="14"/>
  <c r="C66" i="14"/>
  <c r="E66" i="14" s="1"/>
  <c r="F66" i="14" s="1"/>
  <c r="C59" i="14"/>
  <c r="E59" i="14" s="1"/>
  <c r="C58" i="14"/>
  <c r="E58" i="14" s="1"/>
  <c r="E57" i="14"/>
  <c r="F57" i="14" s="1"/>
  <c r="E56" i="14"/>
  <c r="F56" i="14" s="1"/>
  <c r="C53" i="14"/>
  <c r="C52" i="14"/>
  <c r="E51" i="14"/>
  <c r="F51" i="14" s="1"/>
  <c r="C47" i="14"/>
  <c r="C48" i="14" s="1"/>
  <c r="E46" i="14"/>
  <c r="F46" i="14" s="1"/>
  <c r="E45" i="14"/>
  <c r="F45" i="14" s="1"/>
  <c r="C44" i="14"/>
  <c r="E43" i="14"/>
  <c r="F43" i="14" s="1"/>
  <c r="E42" i="14"/>
  <c r="F42" i="14" s="1"/>
  <c r="C36" i="14"/>
  <c r="E36" i="14" s="1"/>
  <c r="E35" i="14"/>
  <c r="C35" i="14"/>
  <c r="C37" i="14"/>
  <c r="C30" i="14"/>
  <c r="C29" i="14"/>
  <c r="E29" i="14" s="1"/>
  <c r="E28" i="14"/>
  <c r="F28" i="14" s="1"/>
  <c r="F27" i="14"/>
  <c r="E27" i="14"/>
  <c r="C24" i="14"/>
  <c r="C23" i="14"/>
  <c r="E23" i="14" s="1"/>
  <c r="F23" i="14" s="1"/>
  <c r="E22" i="14"/>
  <c r="F22" i="14" s="1"/>
  <c r="C20" i="14"/>
  <c r="E20" i="14" s="1"/>
  <c r="F20" i="14" s="1"/>
  <c r="E19" i="14"/>
  <c r="F19" i="14" s="1"/>
  <c r="E18" i="14"/>
  <c r="F18" i="14" s="1"/>
  <c r="C17" i="14"/>
  <c r="E17" i="14"/>
  <c r="F17" i="14" s="1"/>
  <c r="E16" i="14"/>
  <c r="F16" i="14" s="1"/>
  <c r="E15" i="14"/>
  <c r="F15" i="14" s="1"/>
  <c r="D25" i="13"/>
  <c r="C25" i="13"/>
  <c r="E25" i="13"/>
  <c r="E24" i="13"/>
  <c r="F24" i="13"/>
  <c r="E23" i="13"/>
  <c r="F23" i="13"/>
  <c r="F22" i="13"/>
  <c r="E22" i="13"/>
  <c r="D19" i="13"/>
  <c r="C19" i="13"/>
  <c r="E19" i="13" s="1"/>
  <c r="E18" i="13"/>
  <c r="F18" i="13" s="1"/>
  <c r="E17" i="13"/>
  <c r="F17" i="13" s="1"/>
  <c r="D14" i="13"/>
  <c r="C14" i="13"/>
  <c r="E14" i="13"/>
  <c r="E13" i="13"/>
  <c r="F13" i="13"/>
  <c r="E12" i="13"/>
  <c r="F12" i="13"/>
  <c r="D99" i="12"/>
  <c r="C99" i="12"/>
  <c r="E99" i="12" s="1"/>
  <c r="E98" i="12"/>
  <c r="F98" i="12" s="1"/>
  <c r="E97" i="12"/>
  <c r="F97" i="12" s="1"/>
  <c r="E96" i="12"/>
  <c r="F96" i="12" s="1"/>
  <c r="D92" i="12"/>
  <c r="C92" i="12"/>
  <c r="E91" i="12"/>
  <c r="F91" i="12" s="1"/>
  <c r="E90" i="12"/>
  <c r="F90" i="12" s="1"/>
  <c r="E89" i="12"/>
  <c r="F89" i="12" s="1"/>
  <c r="F88" i="12"/>
  <c r="E88" i="12"/>
  <c r="F87" i="12"/>
  <c r="E87" i="12"/>
  <c r="D84" i="12"/>
  <c r="C84" i="12"/>
  <c r="E84" i="12" s="1"/>
  <c r="E83" i="12"/>
  <c r="F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70" i="12" s="1"/>
  <c r="E69" i="12"/>
  <c r="F69" i="12" s="1"/>
  <c r="E68" i="12"/>
  <c r="F68" i="12" s="1"/>
  <c r="D65" i="12"/>
  <c r="C65" i="12"/>
  <c r="E64" i="12"/>
  <c r="F64" i="12" s="1"/>
  <c r="E63" i="12"/>
  <c r="F63" i="12" s="1"/>
  <c r="D60" i="12"/>
  <c r="C60" i="12"/>
  <c r="E59" i="12"/>
  <c r="F59" i="12" s="1"/>
  <c r="E58" i="12"/>
  <c r="F58" i="12" s="1"/>
  <c r="D55" i="12"/>
  <c r="C55" i="12"/>
  <c r="E55" i="12" s="1"/>
  <c r="E54" i="12"/>
  <c r="F54" i="12"/>
  <c r="E53" i="12"/>
  <c r="F53" i="12"/>
  <c r="D50" i="12"/>
  <c r="C50" i="12"/>
  <c r="E50" i="12" s="1"/>
  <c r="E49" i="12"/>
  <c r="F49" i="12" s="1"/>
  <c r="E48" i="12"/>
  <c r="F48" i="12" s="1"/>
  <c r="D45" i="12"/>
  <c r="C45" i="12"/>
  <c r="E44" i="12"/>
  <c r="F44" i="12" s="1"/>
  <c r="E43" i="12"/>
  <c r="F43" i="12" s="1"/>
  <c r="D37" i="12"/>
  <c r="C37" i="12"/>
  <c r="E37" i="12" s="1"/>
  <c r="F36" i="12"/>
  <c r="E36" i="12"/>
  <c r="E35" i="12"/>
  <c r="F35" i="12"/>
  <c r="E34" i="12"/>
  <c r="F34" i="12"/>
  <c r="E33" i="12"/>
  <c r="F33" i="12"/>
  <c r="D30" i="12"/>
  <c r="C30" i="12"/>
  <c r="F29" i="12"/>
  <c r="E29" i="12"/>
  <c r="E28" i="12"/>
  <c r="F28" i="12"/>
  <c r="E27" i="12"/>
  <c r="F27" i="12"/>
  <c r="E26" i="12"/>
  <c r="F26" i="12"/>
  <c r="D23" i="12"/>
  <c r="C23" i="12"/>
  <c r="F22" i="12"/>
  <c r="E22" i="12"/>
  <c r="E21" i="12"/>
  <c r="F21" i="12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1" i="11" s="1"/>
  <c r="E17" i="11"/>
  <c r="E31" i="11" s="1"/>
  <c r="D17" i="11"/>
  <c r="D33" i="11" s="1"/>
  <c r="D36" i="11" s="1"/>
  <c r="D38" i="11" s="1"/>
  <c r="C17" i="11"/>
  <c r="C33" i="11" s="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D78" i="10"/>
  <c r="D80" i="10"/>
  <c r="D77" i="10" s="1"/>
  <c r="C78" i="10"/>
  <c r="C80" i="10" s="1"/>
  <c r="C77" i="10" s="1"/>
  <c r="E73" i="10"/>
  <c r="E75" i="10" s="1"/>
  <c r="D73" i="10"/>
  <c r="D75" i="10" s="1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E50" i="10" s="1"/>
  <c r="D55" i="10"/>
  <c r="C55" i="10"/>
  <c r="E54" i="10"/>
  <c r="D54" i="10"/>
  <c r="D50" i="10" s="1"/>
  <c r="C54" i="10"/>
  <c r="E46" i="10"/>
  <c r="D46" i="10"/>
  <c r="D59" i="10" s="1"/>
  <c r="D61" i="10" s="1"/>
  <c r="D57" i="10" s="1"/>
  <c r="C46" i="10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D13" i="10"/>
  <c r="D25" i="10" s="1"/>
  <c r="D27" i="10" s="1"/>
  <c r="C13" i="10"/>
  <c r="D46" i="9"/>
  <c r="E46" i="9" s="1"/>
  <c r="C46" i="9"/>
  <c r="F45" i="9"/>
  <c r="E45" i="9"/>
  <c r="E44" i="9"/>
  <c r="F44" i="9" s="1"/>
  <c r="D39" i="9"/>
  <c r="C39" i="9"/>
  <c r="E39" i="9" s="1"/>
  <c r="E38" i="9"/>
  <c r="F38" i="9"/>
  <c r="F37" i="9"/>
  <c r="E37" i="9"/>
  <c r="E36" i="9"/>
  <c r="F36" i="9"/>
  <c r="D31" i="9"/>
  <c r="C31" i="9"/>
  <c r="E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F18" i="9"/>
  <c r="E18" i="9"/>
  <c r="E17" i="9"/>
  <c r="F17" i="9" s="1"/>
  <c r="D16" i="9"/>
  <c r="D19" i="9" s="1"/>
  <c r="D33" i="9" s="1"/>
  <c r="D41" i="9" s="1"/>
  <c r="D48" i="9" s="1"/>
  <c r="C16" i="9"/>
  <c r="F15" i="9"/>
  <c r="E15" i="9"/>
  <c r="E14" i="9"/>
  <c r="F14" i="9" s="1"/>
  <c r="E13" i="9"/>
  <c r="F13" i="9" s="1"/>
  <c r="E12" i="9"/>
  <c r="F12" i="9" s="1"/>
  <c r="D73" i="8"/>
  <c r="E73" i="8" s="1"/>
  <c r="C73" i="8"/>
  <c r="E72" i="8"/>
  <c r="F72" i="8" s="1"/>
  <c r="E71" i="8"/>
  <c r="F71" i="8" s="1"/>
  <c r="E70" i="8"/>
  <c r="F70" i="8"/>
  <c r="F67" i="8"/>
  <c r="E67" i="8"/>
  <c r="E64" i="8"/>
  <c r="F64" i="8" s="1"/>
  <c r="E63" i="8"/>
  <c r="F63" i="8" s="1"/>
  <c r="D61" i="8"/>
  <c r="C61" i="8"/>
  <c r="C65" i="8" s="1"/>
  <c r="E60" i="8"/>
  <c r="F60" i="8"/>
  <c r="E59" i="8"/>
  <c r="F59" i="8"/>
  <c r="D56" i="8"/>
  <c r="C56" i="8"/>
  <c r="E56" i="8" s="1"/>
  <c r="E55" i="8"/>
  <c r="F55" i="8" s="1"/>
  <c r="F54" i="8"/>
  <c r="E54" i="8"/>
  <c r="E53" i="8"/>
  <c r="F53" i="8" s="1"/>
  <c r="F52" i="8"/>
  <c r="E52" i="8"/>
  <c r="F51" i="8"/>
  <c r="E51" i="8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C38" i="8"/>
  <c r="E37" i="8"/>
  <c r="F37" i="8"/>
  <c r="E36" i="8"/>
  <c r="F36" i="8"/>
  <c r="E33" i="8"/>
  <c r="F33" i="8"/>
  <c r="E32" i="8"/>
  <c r="F32" i="8"/>
  <c r="F31" i="8"/>
  <c r="E31" i="8"/>
  <c r="D29" i="8"/>
  <c r="C29" i="8"/>
  <c r="E29" i="8" s="1"/>
  <c r="F28" i="8"/>
  <c r="E28" i="8"/>
  <c r="F27" i="8"/>
  <c r="E27" i="8"/>
  <c r="E26" i="8"/>
  <c r="F26" i="8" s="1"/>
  <c r="E25" i="8"/>
  <c r="F25" i="8" s="1"/>
  <c r="D22" i="8"/>
  <c r="C22" i="8"/>
  <c r="E21" i="8"/>
  <c r="F21" i="8"/>
  <c r="E20" i="8"/>
  <c r="F20" i="8"/>
  <c r="E19" i="8"/>
  <c r="F19" i="8"/>
  <c r="F18" i="8"/>
  <c r="E18" i="8"/>
  <c r="F17" i="8"/>
  <c r="E17" i="8"/>
  <c r="F16" i="8"/>
  <c r="E16" i="8"/>
  <c r="E15" i="8"/>
  <c r="F15" i="8"/>
  <c r="E14" i="8"/>
  <c r="F14" i="8"/>
  <c r="E13" i="8"/>
  <c r="F13" i="8"/>
  <c r="D120" i="7"/>
  <c r="C120" i="7"/>
  <c r="E120" i="7" s="1"/>
  <c r="D119" i="7"/>
  <c r="C119" i="7"/>
  <c r="D118" i="7"/>
  <c r="E118" i="7" s="1"/>
  <c r="C118" i="7"/>
  <c r="D117" i="7"/>
  <c r="C117" i="7"/>
  <c r="D116" i="7"/>
  <c r="C116" i="7"/>
  <c r="E116" i="7"/>
  <c r="D115" i="7"/>
  <c r="C115" i="7"/>
  <c r="D114" i="7"/>
  <c r="E114" i="7" s="1"/>
  <c r="C114" i="7"/>
  <c r="D113" i="7"/>
  <c r="D122" i="7" s="1"/>
  <c r="C113" i="7"/>
  <c r="D112" i="7"/>
  <c r="D121" i="7" s="1"/>
  <c r="C112" i="7"/>
  <c r="D108" i="7"/>
  <c r="E108" i="7" s="1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E96" i="7" s="1"/>
  <c r="C96" i="7"/>
  <c r="D95" i="7"/>
  <c r="C95" i="7"/>
  <c r="E94" i="7"/>
  <c r="F94" i="7" s="1"/>
  <c r="F93" i="7"/>
  <c r="E93" i="7"/>
  <c r="F92" i="7"/>
  <c r="E92" i="7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E84" i="7" s="1"/>
  <c r="D83" i="7"/>
  <c r="C83" i="7"/>
  <c r="E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E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 s="1"/>
  <c r="C60" i="7"/>
  <c r="D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C24" i="7"/>
  <c r="F24" i="7" s="1"/>
  <c r="D23" i="7"/>
  <c r="E23" i="7" s="1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E205" i="6" s="1"/>
  <c r="D204" i="6"/>
  <c r="E204" i="6" s="1"/>
  <c r="C204" i="6"/>
  <c r="D203" i="6"/>
  <c r="E203" i="6" s="1"/>
  <c r="C203" i="6"/>
  <c r="D202" i="6"/>
  <c r="C202" i="6"/>
  <c r="D201" i="6"/>
  <c r="C201" i="6"/>
  <c r="E201" i="6"/>
  <c r="D200" i="6"/>
  <c r="C200" i="6"/>
  <c r="D199" i="6"/>
  <c r="E199" i="6" s="1"/>
  <c r="C199" i="6"/>
  <c r="D198" i="6"/>
  <c r="D207" i="6" s="1"/>
  <c r="C198" i="6"/>
  <c r="D193" i="6"/>
  <c r="C193" i="6"/>
  <c r="F193" i="6" s="1"/>
  <c r="D192" i="6"/>
  <c r="C192" i="6"/>
  <c r="F192" i="6" s="1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 s="1"/>
  <c r="D179" i="6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E167" i="6" s="1"/>
  <c r="D166" i="6"/>
  <c r="C166" i="6"/>
  <c r="E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E153" i="6" s="1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D140" i="6"/>
  <c r="C140" i="6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D128" i="6"/>
  <c r="C128" i="6"/>
  <c r="D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C115" i="6"/>
  <c r="D114" i="6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 s="1"/>
  <c r="F102" i="6" s="1"/>
  <c r="C102" i="6"/>
  <c r="D101" i="6"/>
  <c r="E101" i="6" s="1"/>
  <c r="F101" i="6" s="1"/>
  <c r="C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F89" i="6" s="1"/>
  <c r="C89" i="6"/>
  <c r="D88" i="6"/>
  <c r="E88" i="6" s="1"/>
  <c r="F88" i="6" s="1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 s="1"/>
  <c r="F76" i="6" s="1"/>
  <c r="C76" i="6"/>
  <c r="D75" i="6"/>
  <c r="E75" i="6" s="1"/>
  <c r="F75" i="6" s="1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 s="1"/>
  <c r="F63" i="6" s="1"/>
  <c r="C63" i="6"/>
  <c r="D62" i="6"/>
  <c r="E62" i="6" s="1"/>
  <c r="F62" i="6" s="1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 s="1"/>
  <c r="F50" i="6" s="1"/>
  <c r="C50" i="6"/>
  <c r="D49" i="6"/>
  <c r="E49" i="6" s="1"/>
  <c r="F49" i="6" s="1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E37" i="6" s="1"/>
  <c r="F37" i="6" s="1"/>
  <c r="C37" i="6"/>
  <c r="D36" i="6"/>
  <c r="E36" i="6" s="1"/>
  <c r="F36" i="6" s="1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F24" i="6" s="1"/>
  <c r="C24" i="6"/>
  <c r="D23" i="6"/>
  <c r="E23" i="6" s="1"/>
  <c r="F23" i="6" s="1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D161" i="5"/>
  <c r="C161" i="5"/>
  <c r="E160" i="5"/>
  <c r="E166" i="5" s="1"/>
  <c r="C160" i="5"/>
  <c r="E147" i="5"/>
  <c r="E143" i="5" s="1"/>
  <c r="E149" i="5" s="1"/>
  <c r="D147" i="5"/>
  <c r="D143" i="5" s="1"/>
  <c r="C147" i="5"/>
  <c r="E145" i="5"/>
  <c r="D145" i="5"/>
  <c r="C145" i="5"/>
  <c r="E144" i="5"/>
  <c r="D144" i="5"/>
  <c r="C144" i="5"/>
  <c r="C143" i="5"/>
  <c r="C149" i="5" s="1"/>
  <c r="E126" i="5"/>
  <c r="D126" i="5"/>
  <c r="C126" i="5"/>
  <c r="E119" i="5"/>
  <c r="D119" i="5"/>
  <c r="C119" i="5"/>
  <c r="E108" i="5"/>
  <c r="D108" i="5"/>
  <c r="C108" i="5"/>
  <c r="E107" i="5"/>
  <c r="D107" i="5"/>
  <c r="C107" i="5"/>
  <c r="C109" i="5" s="1"/>
  <c r="C106" i="5" s="1"/>
  <c r="E102" i="5"/>
  <c r="E104" i="5" s="1"/>
  <c r="D102" i="5"/>
  <c r="D104" i="5"/>
  <c r="C102" i="5"/>
  <c r="C104" i="5" s="1"/>
  <c r="E100" i="5"/>
  <c r="D100" i="5"/>
  <c r="C100" i="5"/>
  <c r="E95" i="5"/>
  <c r="E94" i="5"/>
  <c r="D95" i="5"/>
  <c r="C95" i="5"/>
  <c r="C94" i="5" s="1"/>
  <c r="D94" i="5"/>
  <c r="E89" i="5"/>
  <c r="D89" i="5"/>
  <c r="C89" i="5"/>
  <c r="E87" i="5"/>
  <c r="D87" i="5"/>
  <c r="C87" i="5"/>
  <c r="E84" i="5"/>
  <c r="D84" i="5"/>
  <c r="D79" i="5" s="1"/>
  <c r="C84" i="5"/>
  <c r="E83" i="5"/>
  <c r="E79" i="5" s="1"/>
  <c r="D83" i="5"/>
  <c r="C83" i="5"/>
  <c r="E75" i="5"/>
  <c r="E88" i="5" s="1"/>
  <c r="E90" i="5" s="1"/>
  <c r="E86" i="5" s="1"/>
  <c r="D75" i="5"/>
  <c r="D88" i="5"/>
  <c r="D90" i="5" s="1"/>
  <c r="D86" i="5" s="1"/>
  <c r="C75" i="5"/>
  <c r="C88" i="5" s="1"/>
  <c r="C90" i="5" s="1"/>
  <c r="C86" i="5" s="1"/>
  <c r="E74" i="5"/>
  <c r="D74" i="5"/>
  <c r="C74" i="5"/>
  <c r="E67" i="5"/>
  <c r="D67" i="5"/>
  <c r="C67" i="5"/>
  <c r="E38" i="5"/>
  <c r="E49" i="5" s="1"/>
  <c r="D38" i="5"/>
  <c r="D43" i="5" s="1"/>
  <c r="C38" i="5"/>
  <c r="C53" i="5" s="1"/>
  <c r="E33" i="5"/>
  <c r="E34" i="5" s="1"/>
  <c r="D33" i="5"/>
  <c r="D34" i="5"/>
  <c r="E26" i="5"/>
  <c r="D26" i="5"/>
  <c r="C26" i="5"/>
  <c r="E25" i="5"/>
  <c r="E27" i="5" s="1"/>
  <c r="E21" i="5" s="1"/>
  <c r="E13" i="5"/>
  <c r="E15" i="5" s="1"/>
  <c r="E24" i="5" s="1"/>
  <c r="D13" i="5"/>
  <c r="D25" i="5" s="1"/>
  <c r="D27" i="5" s="1"/>
  <c r="C13" i="5"/>
  <c r="C25" i="5" s="1"/>
  <c r="C27" i="5" s="1"/>
  <c r="F174" i="4"/>
  <c r="E174" i="4"/>
  <c r="D171" i="4"/>
  <c r="E171" i="4" s="1"/>
  <c r="F171" i="4" s="1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C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D118" i="4"/>
  <c r="C118" i="4"/>
  <c r="F117" i="4"/>
  <c r="E117" i="4"/>
  <c r="E116" i="4"/>
  <c r="F116" i="4" s="1"/>
  <c r="E115" i="4"/>
  <c r="F115" i="4" s="1"/>
  <c r="E114" i="4"/>
  <c r="F114" i="4" s="1"/>
  <c r="E113" i="4"/>
  <c r="F113" i="4" s="1"/>
  <c r="E112" i="4"/>
  <c r="F112" i="4" s="1"/>
  <c r="D109" i="4"/>
  <c r="C109" i="4"/>
  <c r="E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F95" i="4"/>
  <c r="E95" i="4"/>
  <c r="E94" i="4"/>
  <c r="F94" i="4" s="1"/>
  <c r="E93" i="4"/>
  <c r="F93" i="4" s="1"/>
  <c r="E92" i="4"/>
  <c r="F92" i="4" s="1"/>
  <c r="E91" i="4"/>
  <c r="F91" i="4" s="1"/>
  <c r="F81" i="4"/>
  <c r="E81" i="4"/>
  <c r="D78" i="4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F69" i="4"/>
  <c r="E69" i="4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C59" i="4"/>
  <c r="E59" i="4" s="1"/>
  <c r="E58" i="4"/>
  <c r="F58" i="4" s="1"/>
  <c r="E57" i="4"/>
  <c r="F57" i="4" s="1"/>
  <c r="E56" i="4"/>
  <c r="F56" i="4" s="1"/>
  <c r="F55" i="4"/>
  <c r="E55" i="4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E41" i="4" s="1"/>
  <c r="F40" i="4"/>
  <c r="E40" i="4"/>
  <c r="E39" i="4"/>
  <c r="F39" i="4" s="1"/>
  <c r="E38" i="4"/>
  <c r="F38" i="4" s="1"/>
  <c r="D35" i="4"/>
  <c r="C35" i="4"/>
  <c r="E34" i="4"/>
  <c r="F34" i="4" s="1"/>
  <c r="E33" i="4"/>
  <c r="F33" i="4" s="1"/>
  <c r="D30" i="4"/>
  <c r="C30" i="4"/>
  <c r="E29" i="4"/>
  <c r="F29" i="4" s="1"/>
  <c r="E28" i="4"/>
  <c r="F28" i="4" s="1"/>
  <c r="E27" i="4"/>
  <c r="F27" i="4" s="1"/>
  <c r="D24" i="4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C179" i="3"/>
  <c r="F178" i="3"/>
  <c r="E178" i="3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F152" i="3"/>
  <c r="E152" i="3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F136" i="3"/>
  <c r="E136" i="3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F123" i="3"/>
  <c r="E123" i="3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D111" i="3"/>
  <c r="C111" i="3"/>
  <c r="F110" i="3"/>
  <c r="E110" i="3"/>
  <c r="E109" i="3"/>
  <c r="F109" i="3" s="1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E93" i="3" s="1"/>
  <c r="F93" i="3" s="1"/>
  <c r="C93" i="3"/>
  <c r="D92" i="3"/>
  <c r="E92" i="3" s="1"/>
  <c r="F92" i="3" s="1"/>
  <c r="C92" i="3"/>
  <c r="D91" i="3"/>
  <c r="E91" i="3" s="1"/>
  <c r="F91" i="3" s="1"/>
  <c r="C91" i="3"/>
  <c r="D90" i="3"/>
  <c r="E90" i="3" s="1"/>
  <c r="F90" i="3" s="1"/>
  <c r="C90" i="3"/>
  <c r="D89" i="3"/>
  <c r="E89" i="3" s="1"/>
  <c r="F89" i="3" s="1"/>
  <c r="C89" i="3"/>
  <c r="D88" i="3"/>
  <c r="E88" i="3" s="1"/>
  <c r="F88" i="3" s="1"/>
  <c r="C88" i="3"/>
  <c r="D87" i="3"/>
  <c r="E87" i="3" s="1"/>
  <c r="F87" i="3" s="1"/>
  <c r="C87" i="3"/>
  <c r="D86" i="3"/>
  <c r="E86" i="3" s="1"/>
  <c r="F86" i="3" s="1"/>
  <c r="C86" i="3"/>
  <c r="D85" i="3"/>
  <c r="E85" i="3" s="1"/>
  <c r="F85" i="3" s="1"/>
  <c r="C85" i="3"/>
  <c r="D84" i="3"/>
  <c r="E84" i="3" s="1"/>
  <c r="F84" i="3" s="1"/>
  <c r="C84" i="3"/>
  <c r="C95" i="3"/>
  <c r="D81" i="3"/>
  <c r="C81" i="3"/>
  <c r="E81" i="3" s="1"/>
  <c r="F80" i="3"/>
  <c r="E80" i="3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E68" i="3" s="1"/>
  <c r="F67" i="3"/>
  <c r="E67" i="3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F51" i="3" s="1"/>
  <c r="D50" i="3"/>
  <c r="C50" i="3"/>
  <c r="E50" i="3" s="1"/>
  <c r="D49" i="3"/>
  <c r="C49" i="3"/>
  <c r="E49" i="3" s="1"/>
  <c r="D48" i="3"/>
  <c r="C48" i="3"/>
  <c r="E48" i="3" s="1"/>
  <c r="D47" i="3"/>
  <c r="C47" i="3"/>
  <c r="E47" i="3" s="1"/>
  <c r="D46" i="3"/>
  <c r="C46" i="3"/>
  <c r="E46" i="3" s="1"/>
  <c r="D45" i="3"/>
  <c r="C45" i="3"/>
  <c r="E45" i="3" s="1"/>
  <c r="D44" i="3"/>
  <c r="C44" i="3"/>
  <c r="E44" i="3" s="1"/>
  <c r="D43" i="3"/>
  <c r="C43" i="3"/>
  <c r="E43" i="3" s="1"/>
  <c r="D42" i="3"/>
  <c r="C42" i="3"/>
  <c r="E42" i="3" s="1"/>
  <c r="D41" i="3"/>
  <c r="C41" i="3"/>
  <c r="E41" i="3" s="1"/>
  <c r="D38" i="3"/>
  <c r="C38" i="3"/>
  <c r="F37" i="3"/>
  <c r="E37" i="3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F24" i="3"/>
  <c r="E24" i="3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F45" i="2"/>
  <c r="E45" i="2"/>
  <c r="E44" i="2"/>
  <c r="F44" i="2" s="1"/>
  <c r="D39" i="2"/>
  <c r="C39" i="2"/>
  <c r="E38" i="2"/>
  <c r="F38" i="2" s="1"/>
  <c r="F37" i="2"/>
  <c r="E37" i="2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D19" i="2" s="1"/>
  <c r="C16" i="2"/>
  <c r="C19" i="2" s="1"/>
  <c r="F15" i="2"/>
  <c r="E15" i="2"/>
  <c r="E14" i="2"/>
  <c r="F14" i="2" s="1"/>
  <c r="E13" i="2"/>
  <c r="F13" i="2" s="1"/>
  <c r="E12" i="2"/>
  <c r="F12" i="2" s="1"/>
  <c r="D73" i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C61" i="1"/>
  <c r="C65" i="1" s="1"/>
  <c r="E60" i="1"/>
  <c r="F60" i="1" s="1"/>
  <c r="E59" i="1"/>
  <c r="F59" i="1" s="1"/>
  <c r="D56" i="1"/>
  <c r="C56" i="1"/>
  <c r="E55" i="1"/>
  <c r="F55" i="1" s="1"/>
  <c r="F54" i="1"/>
  <c r="E54" i="1"/>
  <c r="E53" i="1"/>
  <c r="F53" i="1" s="1"/>
  <c r="F52" i="1"/>
  <c r="E52" i="1"/>
  <c r="F51" i="1"/>
  <c r="E51" i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C38" i="1"/>
  <c r="C41" i="1" s="1"/>
  <c r="C43" i="1" s="1"/>
  <c r="E37" i="1"/>
  <c r="F37" i="1" s="1"/>
  <c r="E36" i="1"/>
  <c r="F36" i="1" s="1"/>
  <c r="E33" i="1"/>
  <c r="F33" i="1" s="1"/>
  <c r="E32" i="1"/>
  <c r="F32" i="1" s="1"/>
  <c r="F31" i="1"/>
  <c r="E31" i="1"/>
  <c r="D29" i="1"/>
  <c r="C29" i="1"/>
  <c r="E29" i="1" s="1"/>
  <c r="F28" i="1"/>
  <c r="E28" i="1"/>
  <c r="F27" i="1"/>
  <c r="E27" i="1"/>
  <c r="E26" i="1"/>
  <c r="F26" i="1" s="1"/>
  <c r="E25" i="1"/>
  <c r="F25" i="1" s="1"/>
  <c r="D22" i="1"/>
  <c r="C22" i="1"/>
  <c r="E22" i="1" s="1"/>
  <c r="E21" i="1"/>
  <c r="F21" i="1" s="1"/>
  <c r="E20" i="1"/>
  <c r="F20" i="1" s="1"/>
  <c r="E19" i="1"/>
  <c r="F19" i="1" s="1"/>
  <c r="F18" i="1"/>
  <c r="E18" i="1"/>
  <c r="F17" i="1"/>
  <c r="E17" i="1"/>
  <c r="F16" i="1"/>
  <c r="E16" i="1"/>
  <c r="E15" i="1"/>
  <c r="F15" i="1" s="1"/>
  <c r="E14" i="1"/>
  <c r="F14" i="1" s="1"/>
  <c r="E13" i="1"/>
  <c r="F13" i="1" s="1"/>
  <c r="D173" i="14"/>
  <c r="E172" i="14"/>
  <c r="F172" i="14" s="1"/>
  <c r="F29" i="14"/>
  <c r="E171" i="14"/>
  <c r="F171" i="14" s="1"/>
  <c r="E298" i="14"/>
  <c r="D111" i="14"/>
  <c r="D205" i="14"/>
  <c r="D283" i="14"/>
  <c r="E95" i="14"/>
  <c r="E145" i="14"/>
  <c r="D269" i="14"/>
  <c r="D270" i="14"/>
  <c r="E30" i="14"/>
  <c r="E294" i="14"/>
  <c r="D261" i="14"/>
  <c r="D33" i="2"/>
  <c r="C33" i="2"/>
  <c r="E137" i="5"/>
  <c r="E140" i="5"/>
  <c r="E136" i="5"/>
  <c r="E139" i="5"/>
  <c r="E135" i="5"/>
  <c r="E138" i="5"/>
  <c r="D21" i="5"/>
  <c r="C21" i="5"/>
  <c r="C139" i="5"/>
  <c r="C135" i="5"/>
  <c r="C138" i="5"/>
  <c r="C137" i="5"/>
  <c r="C140" i="5"/>
  <c r="C136" i="5"/>
  <c r="E154" i="5"/>
  <c r="E157" i="5"/>
  <c r="E153" i="5"/>
  <c r="E156" i="5"/>
  <c r="E152" i="5"/>
  <c r="E155" i="5"/>
  <c r="D21" i="10"/>
  <c r="D95" i="3"/>
  <c r="E95" i="3" s="1"/>
  <c r="F95" i="3" s="1"/>
  <c r="D83" i="4"/>
  <c r="C57" i="5"/>
  <c r="C62" i="5"/>
  <c r="F22" i="1"/>
  <c r="D15" i="5"/>
  <c r="E17" i="5"/>
  <c r="C43" i="5"/>
  <c r="E53" i="5"/>
  <c r="D77" i="5"/>
  <c r="D71" i="5" s="1"/>
  <c r="C121" i="7"/>
  <c r="I17" i="11"/>
  <c r="E75" i="12"/>
  <c r="F75" i="12" s="1"/>
  <c r="E243" i="15"/>
  <c r="C25" i="10"/>
  <c r="C27" i="10" s="1"/>
  <c r="C15" i="10"/>
  <c r="E59" i="10"/>
  <c r="E61" i="10" s="1"/>
  <c r="E57" i="10" s="1"/>
  <c r="E48" i="10"/>
  <c r="E42" i="10" s="1"/>
  <c r="H17" i="11"/>
  <c r="C31" i="11"/>
  <c r="H31" i="11" s="1"/>
  <c r="E37" i="14"/>
  <c r="F37" i="14" s="1"/>
  <c r="D52" i="3"/>
  <c r="E180" i="6"/>
  <c r="F203" i="6"/>
  <c r="F96" i="7"/>
  <c r="F114" i="7"/>
  <c r="F118" i="7"/>
  <c r="G33" i="11"/>
  <c r="F37" i="12"/>
  <c r="E20" i="5"/>
  <c r="C49" i="5"/>
  <c r="E57" i="5"/>
  <c r="E62" i="5" s="1"/>
  <c r="E155" i="4"/>
  <c r="F155" i="4" s="1"/>
  <c r="E202" i="6"/>
  <c r="F202" i="6" s="1"/>
  <c r="F204" i="6"/>
  <c r="E206" i="6"/>
  <c r="F206" i="6"/>
  <c r="E24" i="7"/>
  <c r="E35" i="7"/>
  <c r="F35" i="7" s="1"/>
  <c r="E47" i="7"/>
  <c r="F60" i="7"/>
  <c r="E95" i="7"/>
  <c r="F95" i="7" s="1"/>
  <c r="F108" i="7"/>
  <c r="E113" i="7"/>
  <c r="F113" i="7"/>
  <c r="E117" i="7"/>
  <c r="F117" i="7" s="1"/>
  <c r="C122" i="7"/>
  <c r="E22" i="8"/>
  <c r="F22" i="8" s="1"/>
  <c r="C41" i="8"/>
  <c r="F73" i="8"/>
  <c r="E16" i="9"/>
  <c r="F16" i="9" s="1"/>
  <c r="C19" i="9"/>
  <c r="F39" i="9"/>
  <c r="F46" i="9"/>
  <c r="E80" i="10"/>
  <c r="E77" i="10" s="1"/>
  <c r="E45" i="12"/>
  <c r="F45" i="12" s="1"/>
  <c r="F55" i="12"/>
  <c r="E65" i="12"/>
  <c r="F65" i="12" s="1"/>
  <c r="E15" i="10"/>
  <c r="E25" i="10"/>
  <c r="E27" i="10"/>
  <c r="C48" i="10"/>
  <c r="C42" i="10"/>
  <c r="C59" i="10"/>
  <c r="C61" i="10"/>
  <c r="C57" i="10" s="1"/>
  <c r="F201" i="6"/>
  <c r="F205" i="6"/>
  <c r="C208" i="6"/>
  <c r="E36" i="7"/>
  <c r="F36" i="7" s="1"/>
  <c r="E48" i="7"/>
  <c r="E59" i="7"/>
  <c r="F59" i="7" s="1"/>
  <c r="E71" i="7"/>
  <c r="F116" i="7"/>
  <c r="F120" i="7"/>
  <c r="F29" i="8"/>
  <c r="C43" i="8"/>
  <c r="F56" i="8"/>
  <c r="C75" i="8"/>
  <c r="F31" i="9"/>
  <c r="E33" i="11"/>
  <c r="E36" i="11"/>
  <c r="E38" i="11" s="1"/>
  <c r="E16" i="12"/>
  <c r="F16" i="12" s="1"/>
  <c r="E23" i="12"/>
  <c r="F23" i="12" s="1"/>
  <c r="E30" i="12"/>
  <c r="F30" i="12" s="1"/>
  <c r="F50" i="12"/>
  <c r="E60" i="12"/>
  <c r="F60" i="12"/>
  <c r="F70" i="12"/>
  <c r="F84" i="12"/>
  <c r="E92" i="12"/>
  <c r="F92" i="12"/>
  <c r="D55" i="15"/>
  <c r="D284" i="15" s="1"/>
  <c r="E54" i="15"/>
  <c r="D189" i="15"/>
  <c r="D261" i="15"/>
  <c r="E261" i="15" s="1"/>
  <c r="E188" i="15"/>
  <c r="E205" i="15"/>
  <c r="D210" i="15"/>
  <c r="E218" i="15"/>
  <c r="D217" i="15"/>
  <c r="C108" i="19"/>
  <c r="C109" i="19"/>
  <c r="D104" i="14"/>
  <c r="D174" i="14"/>
  <c r="F25" i="13"/>
  <c r="E24" i="14"/>
  <c r="F24" i="14" s="1"/>
  <c r="C31" i="14"/>
  <c r="F35" i="14"/>
  <c r="E44" i="14"/>
  <c r="F44" i="14" s="1"/>
  <c r="E53" i="14"/>
  <c r="F53" i="14" s="1"/>
  <c r="C60" i="14"/>
  <c r="E67" i="14"/>
  <c r="F67" i="14" s="1"/>
  <c r="E89" i="14"/>
  <c r="F89" i="14" s="1"/>
  <c r="F101" i="14"/>
  <c r="F136" i="14"/>
  <c r="F137" i="14"/>
  <c r="C159" i="14"/>
  <c r="F170" i="14"/>
  <c r="C181" i="14"/>
  <c r="C199" i="14"/>
  <c r="C207" i="14"/>
  <c r="E226" i="14"/>
  <c r="F226" i="14" s="1"/>
  <c r="F238" i="14"/>
  <c r="C290" i="14"/>
  <c r="F294" i="14"/>
  <c r="F296" i="14"/>
  <c r="F298" i="14"/>
  <c r="E69" i="15"/>
  <c r="D90" i="14"/>
  <c r="D286" i="14"/>
  <c r="C215" i="14"/>
  <c r="F189" i="14"/>
  <c r="C267" i="14"/>
  <c r="C283" i="14"/>
  <c r="C205" i="14"/>
  <c r="F203" i="14"/>
  <c r="D252" i="15"/>
  <c r="E231" i="15"/>
  <c r="D207" i="14"/>
  <c r="D138" i="14"/>
  <c r="E264" i="14"/>
  <c r="F264" i="14" s="1"/>
  <c r="F30" i="14"/>
  <c r="F36" i="14"/>
  <c r="F59" i="14"/>
  <c r="F85" i="14"/>
  <c r="F94" i="14"/>
  <c r="F95" i="14"/>
  <c r="F120" i="14"/>
  <c r="F129" i="14"/>
  <c r="C146" i="14"/>
  <c r="C194" i="14"/>
  <c r="F204" i="14"/>
  <c r="C214" i="14"/>
  <c r="C255" i="14"/>
  <c r="E163" i="15"/>
  <c r="C222" i="15"/>
  <c r="E219" i="15"/>
  <c r="D43" i="15"/>
  <c r="E38" i="15"/>
  <c r="D71" i="15"/>
  <c r="D65" i="15"/>
  <c r="D294" i="15"/>
  <c r="D289" i="15"/>
  <c r="E289" i="15" s="1"/>
  <c r="E60" i="15"/>
  <c r="D144" i="15"/>
  <c r="D175" i="15"/>
  <c r="E139" i="15"/>
  <c r="E251" i="15"/>
  <c r="D320" i="15"/>
  <c r="E320" i="15" s="1"/>
  <c r="E316" i="15"/>
  <c r="D330" i="15"/>
  <c r="E330" i="15"/>
  <c r="E326" i="15"/>
  <c r="E109" i="19"/>
  <c r="E108" i="19"/>
  <c r="D175" i="14"/>
  <c r="D140" i="14"/>
  <c r="D62" i="14"/>
  <c r="D105" i="14"/>
  <c r="F99" i="12"/>
  <c r="F14" i="13"/>
  <c r="F19" i="13"/>
  <c r="C304" i="14"/>
  <c r="E48" i="14"/>
  <c r="F48" i="14" s="1"/>
  <c r="C68" i="14"/>
  <c r="C90" i="14"/>
  <c r="E90" i="14" s="1"/>
  <c r="F90" i="14" s="1"/>
  <c r="F145" i="14"/>
  <c r="F180" i="14"/>
  <c r="F223" i="14"/>
  <c r="E227" i="14"/>
  <c r="F227" i="14" s="1"/>
  <c r="C239" i="14"/>
  <c r="E239" i="14" s="1"/>
  <c r="F239" i="14" s="1"/>
  <c r="C278" i="14"/>
  <c r="D244" i="15"/>
  <c r="E244" i="15" s="1"/>
  <c r="E20" i="17"/>
  <c r="E40" i="17"/>
  <c r="E173" i="14"/>
  <c r="F173" i="14" s="1"/>
  <c r="D268" i="14"/>
  <c r="C277" i="14"/>
  <c r="C261" i="14"/>
  <c r="C254" i="14"/>
  <c r="E188" i="14"/>
  <c r="F188" i="14" s="1"/>
  <c r="C285" i="14"/>
  <c r="C269" i="14"/>
  <c r="C283" i="15"/>
  <c r="C22" i="15"/>
  <c r="C284" i="15" s="1"/>
  <c r="D33" i="15"/>
  <c r="E32" i="15"/>
  <c r="C41" i="17"/>
  <c r="D109" i="19"/>
  <c r="D108" i="19"/>
  <c r="D254" i="14"/>
  <c r="D216" i="14"/>
  <c r="C195" i="14"/>
  <c r="C102" i="14"/>
  <c r="C125" i="14"/>
  <c r="C190" i="14"/>
  <c r="C262" i="14"/>
  <c r="D222" i="15"/>
  <c r="D223" i="15" s="1"/>
  <c r="D253" i="15"/>
  <c r="D254" i="15" s="1"/>
  <c r="F20" i="17"/>
  <c r="F40" i="17"/>
  <c r="E255" i="14"/>
  <c r="D239" i="15"/>
  <c r="E239" i="15" s="1"/>
  <c r="C242" i="15"/>
  <c r="E242" i="15" s="1"/>
  <c r="C22" i="16"/>
  <c r="E22" i="19"/>
  <c r="D34" i="19"/>
  <c r="C101" i="19"/>
  <c r="C103" i="19" s="1"/>
  <c r="D102" i="19"/>
  <c r="D103" i="19" s="1"/>
  <c r="E111" i="19"/>
  <c r="D161" i="14"/>
  <c r="D193" i="14"/>
  <c r="D282" i="14" s="1"/>
  <c r="D271" i="14"/>
  <c r="D277" i="14"/>
  <c r="D306" i="14"/>
  <c r="E306" i="14" s="1"/>
  <c r="E314" i="15"/>
  <c r="D22" i="19"/>
  <c r="E30" i="19"/>
  <c r="E36" i="19"/>
  <c r="E40" i="19"/>
  <c r="E46" i="19"/>
  <c r="C54" i="19"/>
  <c r="D124" i="14"/>
  <c r="E124" i="14"/>
  <c r="F124" i="14" s="1"/>
  <c r="D160" i="14"/>
  <c r="D200" i="14"/>
  <c r="D206" i="14"/>
  <c r="E206" i="14" s="1"/>
  <c r="F206" i="14" s="1"/>
  <c r="D262" i="14"/>
  <c r="D263" i="14" s="1"/>
  <c r="D274" i="14"/>
  <c r="E274" i="14" s="1"/>
  <c r="F274" i="14" s="1"/>
  <c r="D280" i="14"/>
  <c r="E324" i="15"/>
  <c r="E19" i="17"/>
  <c r="F19" i="17" s="1"/>
  <c r="E39" i="17"/>
  <c r="E43" i="17"/>
  <c r="D23" i="19"/>
  <c r="E101" i="19"/>
  <c r="E103" i="19" s="1"/>
  <c r="C111" i="19"/>
  <c r="D49" i="14"/>
  <c r="D91" i="14"/>
  <c r="C30" i="19"/>
  <c r="C36" i="19"/>
  <c r="C40" i="19"/>
  <c r="D190" i="14"/>
  <c r="E190" i="14" s="1"/>
  <c r="F190" i="14" s="1"/>
  <c r="D266" i="14"/>
  <c r="D139" i="14"/>
  <c r="D92" i="14"/>
  <c r="C272" i="14"/>
  <c r="E33" i="15"/>
  <c r="E285" i="14"/>
  <c r="F285" i="14" s="1"/>
  <c r="C287" i="14"/>
  <c r="C279" i="14"/>
  <c r="C284" i="14"/>
  <c r="D176" i="14"/>
  <c r="D46" i="19"/>
  <c r="D40" i="19"/>
  <c r="D36" i="19"/>
  <c r="D30" i="19"/>
  <c r="D111" i="19"/>
  <c r="D54" i="19"/>
  <c r="D272" i="14"/>
  <c r="E262" i="14"/>
  <c r="F262" i="14" s="1"/>
  <c r="D53" i="19"/>
  <c r="D45" i="19"/>
  <c r="D39" i="19"/>
  <c r="D35" i="19"/>
  <c r="D29" i="19"/>
  <c r="D110" i="19"/>
  <c r="D287" i="14"/>
  <c r="D284" i="14"/>
  <c r="E277" i="14"/>
  <c r="F277" i="14" s="1"/>
  <c r="D162" i="14"/>
  <c r="E222" i="15"/>
  <c r="D246" i="15"/>
  <c r="E269" i="14"/>
  <c r="F269" i="14" s="1"/>
  <c r="C271" i="14"/>
  <c r="C263" i="14"/>
  <c r="C268" i="14"/>
  <c r="E261" i="14"/>
  <c r="F261" i="14" s="1"/>
  <c r="C288" i="14"/>
  <c r="D141" i="14"/>
  <c r="D145" i="15"/>
  <c r="D180" i="15"/>
  <c r="D76" i="15"/>
  <c r="E146" i="14"/>
  <c r="F146" i="14" s="1"/>
  <c r="C286" i="14"/>
  <c r="E283" i="14"/>
  <c r="F283" i="14"/>
  <c r="E159" i="14"/>
  <c r="F159" i="14"/>
  <c r="E31" i="14"/>
  <c r="F31" i="14"/>
  <c r="C32" i="14"/>
  <c r="D234" i="15"/>
  <c r="D211" i="15"/>
  <c r="G36" i="11"/>
  <c r="G38" i="11" s="1"/>
  <c r="G40" i="11" s="1"/>
  <c r="I33" i="11"/>
  <c r="I36" i="11"/>
  <c r="I38" i="11" s="1"/>
  <c r="I40" i="11" s="1"/>
  <c r="C24" i="10"/>
  <c r="C17" i="10"/>
  <c r="C28" i="10" s="1"/>
  <c r="D125" i="14"/>
  <c r="E125" i="14"/>
  <c r="F125" i="14" s="1"/>
  <c r="D265" i="14"/>
  <c r="E286" i="14"/>
  <c r="E22" i="15"/>
  <c r="C160" i="14"/>
  <c r="E160" i="14" s="1"/>
  <c r="F160" i="14" s="1"/>
  <c r="C56" i="19"/>
  <c r="C48" i="19"/>
  <c r="C38" i="19"/>
  <c r="C113" i="19"/>
  <c r="E48" i="19"/>
  <c r="E38" i="19"/>
  <c r="E113" i="19"/>
  <c r="E56" i="19"/>
  <c r="D63" i="14"/>
  <c r="D66" i="15"/>
  <c r="C223" i="15"/>
  <c r="D208" i="14"/>
  <c r="E207" i="14"/>
  <c r="F207" i="14" s="1"/>
  <c r="E205" i="14"/>
  <c r="F205" i="14"/>
  <c r="E215" i="14"/>
  <c r="F215" i="14"/>
  <c r="C208" i="14"/>
  <c r="E60" i="14"/>
  <c r="F60" i="14" s="1"/>
  <c r="C61" i="14"/>
  <c r="C33" i="9"/>
  <c r="E121" i="7"/>
  <c r="F121" i="7" s="1"/>
  <c r="F255" i="14"/>
  <c r="D194" i="14"/>
  <c r="E193" i="14"/>
  <c r="F193" i="14" s="1"/>
  <c r="E110" i="19"/>
  <c r="E53" i="19"/>
  <c r="E45" i="19"/>
  <c r="E39" i="19"/>
  <c r="E35" i="19"/>
  <c r="E29" i="19"/>
  <c r="D50" i="14"/>
  <c r="E102" i="14"/>
  <c r="F102" i="14"/>
  <c r="C103" i="14"/>
  <c r="E254" i="14"/>
  <c r="F254" i="14" s="1"/>
  <c r="D259" i="15"/>
  <c r="D241" i="15"/>
  <c r="E217" i="15"/>
  <c r="E24" i="10"/>
  <c r="E20" i="10"/>
  <c r="E17" i="10"/>
  <c r="E28" i="10"/>
  <c r="E70" i="10" s="1"/>
  <c r="E72" i="10" s="1"/>
  <c r="E69" i="10" s="1"/>
  <c r="D24" i="5"/>
  <c r="D20" i="5"/>
  <c r="D17" i="5"/>
  <c r="C41" i="2"/>
  <c r="E41" i="17"/>
  <c r="D126" i="14"/>
  <c r="F39" i="17"/>
  <c r="E268" i="14"/>
  <c r="D44" i="15"/>
  <c r="E19" i="9"/>
  <c r="F19" i="9" s="1"/>
  <c r="E122" i="7"/>
  <c r="F122" i="7" s="1"/>
  <c r="C141" i="5"/>
  <c r="D304" i="14"/>
  <c r="D273" i="14"/>
  <c r="E271" i="14"/>
  <c r="E68" i="14"/>
  <c r="F68" i="14"/>
  <c r="D106" i="14"/>
  <c r="C216" i="14"/>
  <c r="E214" i="14"/>
  <c r="F214" i="14" s="1"/>
  <c r="C270" i="14"/>
  <c r="E267" i="14"/>
  <c r="F267" i="14" s="1"/>
  <c r="E181" i="14"/>
  <c r="F181" i="14" s="1"/>
  <c r="E22" i="10"/>
  <c r="E21" i="10"/>
  <c r="C20" i="10"/>
  <c r="C21" i="10"/>
  <c r="E112" i="5"/>
  <c r="E111" i="5" s="1"/>
  <c r="E28" i="5"/>
  <c r="E33" i="2"/>
  <c r="F33" i="2" s="1"/>
  <c r="D41" i="2"/>
  <c r="D48" i="2" s="1"/>
  <c r="E48" i="2" s="1"/>
  <c r="F48" i="2" s="1"/>
  <c r="F41" i="17"/>
  <c r="D300" i="14"/>
  <c r="E158" i="5"/>
  <c r="E141" i="5"/>
  <c r="E41" i="2"/>
  <c r="F41" i="2" s="1"/>
  <c r="D112" i="5"/>
  <c r="D111" i="5"/>
  <c r="D28" i="5"/>
  <c r="F103" i="14"/>
  <c r="E103" i="14"/>
  <c r="E194" i="14"/>
  <c r="F194" i="14"/>
  <c r="D196" i="14"/>
  <c r="D195" i="14"/>
  <c r="E195" i="14" s="1"/>
  <c r="F195" i="14" s="1"/>
  <c r="C273" i="14"/>
  <c r="F271" i="14"/>
  <c r="D47" i="19"/>
  <c r="D37" i="19"/>
  <c r="D112" i="19"/>
  <c r="D55" i="19"/>
  <c r="E273" i="14"/>
  <c r="F286" i="14"/>
  <c r="E284" i="14"/>
  <c r="C209" i="14"/>
  <c r="C104" i="14"/>
  <c r="C174" i="14"/>
  <c r="E61" i="14"/>
  <c r="F61" i="14" s="1"/>
  <c r="D235" i="15"/>
  <c r="D77" i="15"/>
  <c r="F284" i="14"/>
  <c r="C48" i="2"/>
  <c r="E99" i="5"/>
  <c r="E101" i="5" s="1"/>
  <c r="E98" i="5" s="1"/>
  <c r="E22" i="5"/>
  <c r="E270" i="14"/>
  <c r="F270" i="14" s="1"/>
  <c r="E304" i="14"/>
  <c r="F304" i="14" s="1"/>
  <c r="D99" i="15"/>
  <c r="D95" i="15"/>
  <c r="D88" i="15"/>
  <c r="D84" i="15"/>
  <c r="D101" i="15"/>
  <c r="D97" i="15"/>
  <c r="D86" i="15"/>
  <c r="D96" i="15"/>
  <c r="D85" i="15"/>
  <c r="D83" i="15"/>
  <c r="D100" i="15"/>
  <c r="D89" i="15"/>
  <c r="D258" i="15"/>
  <c r="D98" i="15"/>
  <c r="D87" i="15"/>
  <c r="D127" i="14"/>
  <c r="D70" i="14"/>
  <c r="C62" i="14"/>
  <c r="C210" i="14"/>
  <c r="C175" i="14"/>
  <c r="C105" i="14"/>
  <c r="E32" i="14"/>
  <c r="F32" i="14"/>
  <c r="D181" i="15"/>
  <c r="D183" i="14"/>
  <c r="D323" i="14"/>
  <c r="E287" i="14"/>
  <c r="F287" i="14"/>
  <c r="C289" i="14"/>
  <c r="C291" i="14"/>
  <c r="D324" i="14"/>
  <c r="D113" i="14"/>
  <c r="E216" i="14"/>
  <c r="F216" i="14" s="1"/>
  <c r="E272" i="14"/>
  <c r="F272" i="14" s="1"/>
  <c r="D295" i="15"/>
  <c r="D263" i="15"/>
  <c r="E47" i="19"/>
  <c r="E37" i="19"/>
  <c r="E112" i="19"/>
  <c r="E55" i="19"/>
  <c r="C41" i="9"/>
  <c r="E33" i="9"/>
  <c r="F33" i="9" s="1"/>
  <c r="E208" i="14"/>
  <c r="F208" i="14" s="1"/>
  <c r="D209" i="14"/>
  <c r="E209" i="14" s="1"/>
  <c r="F209" i="14" s="1"/>
  <c r="D210" i="14"/>
  <c r="E210" i="14" s="1"/>
  <c r="F210" i="14" s="1"/>
  <c r="D322" i="14"/>
  <c r="D113" i="19"/>
  <c r="D56" i="19"/>
  <c r="D48" i="19"/>
  <c r="D38" i="19"/>
  <c r="F268" i="14"/>
  <c r="D211" i="14"/>
  <c r="C106" i="14"/>
  <c r="E105" i="14"/>
  <c r="F105" i="14" s="1"/>
  <c r="E174" i="14"/>
  <c r="F174" i="14"/>
  <c r="F273" i="14"/>
  <c r="C63" i="14"/>
  <c r="F62" i="14"/>
  <c r="E62" i="14"/>
  <c r="D99" i="5"/>
  <c r="D101" i="5" s="1"/>
  <c r="D98" i="5" s="1"/>
  <c r="D22" i="5"/>
  <c r="C305" i="14"/>
  <c r="D325" i="14"/>
  <c r="D90" i="15"/>
  <c r="D197" i="14"/>
  <c r="C48" i="9"/>
  <c r="E41" i="9"/>
  <c r="F41" i="9" s="1"/>
  <c r="C176" i="14"/>
  <c r="E175" i="14"/>
  <c r="F175" i="14" s="1"/>
  <c r="D148" i="14"/>
  <c r="D102" i="15"/>
  <c r="D126" i="15"/>
  <c r="D122" i="15"/>
  <c r="D115" i="15"/>
  <c r="D111" i="15"/>
  <c r="D124" i="15"/>
  <c r="D113" i="15"/>
  <c r="D109" i="15"/>
  <c r="D127" i="15"/>
  <c r="D125" i="15"/>
  <c r="D114" i="15"/>
  <c r="D123" i="15"/>
  <c r="D112" i="15"/>
  <c r="D121" i="15"/>
  <c r="D110" i="15"/>
  <c r="D116" i="15" s="1"/>
  <c r="E104" i="14"/>
  <c r="F104" i="14" s="1"/>
  <c r="D103" i="15"/>
  <c r="E48" i="9"/>
  <c r="F48" i="9" s="1"/>
  <c r="D128" i="15"/>
  <c r="D129" i="15" s="1"/>
  <c r="C309" i="14"/>
  <c r="E176" i="14"/>
  <c r="F176" i="14" s="1"/>
  <c r="E63" i="14"/>
  <c r="F63" i="14"/>
  <c r="E106" i="14"/>
  <c r="F106" i="14"/>
  <c r="D91" i="15"/>
  <c r="D105" i="15" s="1"/>
  <c r="C310" i="14"/>
  <c r="C312" i="14" s="1"/>
  <c r="C313" i="14" s="1"/>
  <c r="C251" i="14" l="1"/>
  <c r="C315" i="14"/>
  <c r="E263" i="14"/>
  <c r="F263" i="14" s="1"/>
  <c r="E73" i="1"/>
  <c r="F73" i="1" s="1"/>
  <c r="E31" i="2"/>
  <c r="F31" i="2" s="1"/>
  <c r="E39" i="2"/>
  <c r="F39" i="2" s="1"/>
  <c r="E46" i="2"/>
  <c r="F46" i="2" s="1"/>
  <c r="E25" i="3"/>
  <c r="F25" i="3" s="1"/>
  <c r="E38" i="3"/>
  <c r="F38" i="3" s="1"/>
  <c r="E51" i="3"/>
  <c r="I31" i="11"/>
  <c r="C75" i="1"/>
  <c r="D166" i="5"/>
  <c r="E111" i="3"/>
  <c r="F111" i="3" s="1"/>
  <c r="E124" i="3"/>
  <c r="F124" i="3" s="1"/>
  <c r="E137" i="3"/>
  <c r="F137" i="3" s="1"/>
  <c r="E153" i="3"/>
  <c r="F153" i="3" s="1"/>
  <c r="E166" i="3"/>
  <c r="F166" i="3" s="1"/>
  <c r="E179" i="3"/>
  <c r="F179" i="3" s="1"/>
  <c r="E18" i="4"/>
  <c r="F18" i="4" s="1"/>
  <c r="E24" i="4"/>
  <c r="F24" i="4" s="1"/>
  <c r="E30" i="4"/>
  <c r="F30" i="4" s="1"/>
  <c r="E35" i="4"/>
  <c r="F35" i="4" s="1"/>
  <c r="E78" i="4"/>
  <c r="E118" i="4"/>
  <c r="C77" i="5"/>
  <c r="C71" i="5" s="1"/>
  <c r="C79" i="5"/>
  <c r="D109" i="5"/>
  <c r="D106" i="5" s="1"/>
  <c r="E109" i="5"/>
  <c r="E106" i="5" s="1"/>
  <c r="D149" i="5"/>
  <c r="C166" i="5"/>
  <c r="E114" i="6"/>
  <c r="F114" i="6" s="1"/>
  <c r="E115" i="6"/>
  <c r="F115" i="6" s="1"/>
  <c r="E127" i="6"/>
  <c r="F127" i="6" s="1"/>
  <c r="E128" i="6"/>
  <c r="F128" i="6" s="1"/>
  <c r="E140" i="6"/>
  <c r="F140" i="6" s="1"/>
  <c r="E141" i="6"/>
  <c r="F141" i="6" s="1"/>
  <c r="E179" i="6"/>
  <c r="E115" i="7"/>
  <c r="F115" i="7" s="1"/>
  <c r="E61" i="8"/>
  <c r="F61" i="8" s="1"/>
  <c r="C50" i="10"/>
  <c r="C21" i="14"/>
  <c r="E47" i="14"/>
  <c r="F47" i="14" s="1"/>
  <c r="F58" i="14"/>
  <c r="C282" i="14"/>
  <c r="D283" i="15"/>
  <c r="E283" i="15" s="1"/>
  <c r="E21" i="15"/>
  <c r="E37" i="15"/>
  <c r="E41" i="15"/>
  <c r="C65" i="15"/>
  <c r="E178" i="15"/>
  <c r="E260" i="15"/>
  <c r="E229" i="15"/>
  <c r="E216" i="15"/>
  <c r="C241" i="15"/>
  <c r="E241" i="15" s="1"/>
  <c r="E228" i="15"/>
  <c r="E230" i="15"/>
  <c r="E232" i="15"/>
  <c r="D302" i="15"/>
  <c r="E277" i="15"/>
  <c r="E281" i="15"/>
  <c r="E287" i="15"/>
  <c r="E291" i="15"/>
  <c r="E34" i="19"/>
  <c r="D199" i="14"/>
  <c r="E199" i="14" s="1"/>
  <c r="F199" i="14" s="1"/>
  <c r="E200" i="6"/>
  <c r="F200" i="6" s="1"/>
  <c r="E107" i="7"/>
  <c r="F107" i="7" s="1"/>
  <c r="E112" i="7"/>
  <c r="F112" i="7" s="1"/>
  <c r="E119" i="7"/>
  <c r="F119" i="7" s="1"/>
  <c r="D65" i="8"/>
  <c r="D75" i="8" s="1"/>
  <c r="E75" i="8" s="1"/>
  <c r="F75" i="8" s="1"/>
  <c r="E16" i="17"/>
  <c r="F16" i="17" s="1"/>
  <c r="C22" i="19"/>
  <c r="D88" i="19"/>
  <c r="D117" i="15"/>
  <c r="C70" i="10"/>
  <c r="C72" i="10" s="1"/>
  <c r="C69" i="10" s="1"/>
  <c r="C22" i="10"/>
  <c r="E282" i="14"/>
  <c r="F282" i="14" s="1"/>
  <c r="D281" i="14"/>
  <c r="D247" i="15"/>
  <c r="E223" i="15"/>
  <c r="E284" i="15"/>
  <c r="C256" i="14"/>
  <c r="C314" i="14"/>
  <c r="D264" i="15"/>
  <c r="F43" i="17"/>
  <c r="E55" i="15"/>
  <c r="E56" i="1"/>
  <c r="F56" i="1" s="1"/>
  <c r="D65" i="1"/>
  <c r="E65" i="1" s="1"/>
  <c r="F65" i="1" s="1"/>
  <c r="E61" i="1"/>
  <c r="F61" i="1" s="1"/>
  <c r="E19" i="2"/>
  <c r="F19" i="2" s="1"/>
  <c r="F29" i="1"/>
  <c r="E38" i="1"/>
  <c r="F38" i="1" s="1"/>
  <c r="D41" i="1"/>
  <c r="E16" i="2"/>
  <c r="F16" i="2" s="1"/>
  <c r="C52" i="3"/>
  <c r="F41" i="3"/>
  <c r="F42" i="3"/>
  <c r="F43" i="3"/>
  <c r="F44" i="3"/>
  <c r="F45" i="3"/>
  <c r="F46" i="3"/>
  <c r="F47" i="3"/>
  <c r="F48" i="3"/>
  <c r="F49" i="3"/>
  <c r="F50" i="3"/>
  <c r="F68" i="3"/>
  <c r="F81" i="3"/>
  <c r="C83" i="4"/>
  <c r="F41" i="4"/>
  <c r="F59" i="4"/>
  <c r="F78" i="4"/>
  <c r="F109" i="4"/>
  <c r="F118" i="4"/>
  <c r="F199" i="6"/>
  <c r="C176" i="4"/>
  <c r="D49" i="5"/>
  <c r="D53" i="5"/>
  <c r="E77" i="5"/>
  <c r="E71" i="5" s="1"/>
  <c r="F166" i="6"/>
  <c r="F167" i="6"/>
  <c r="E192" i="6"/>
  <c r="E193" i="6"/>
  <c r="E198" i="6"/>
  <c r="F198" i="6" s="1"/>
  <c r="C207" i="6"/>
  <c r="E207" i="6" s="1"/>
  <c r="F72" i="7"/>
  <c r="F83" i="7"/>
  <c r="F84" i="7"/>
  <c r="C252" i="15"/>
  <c r="C254" i="15" s="1"/>
  <c r="E254" i="15" s="1"/>
  <c r="C253" i="15"/>
  <c r="E253" i="15" s="1"/>
  <c r="D176" i="4"/>
  <c r="E176" i="4" s="1"/>
  <c r="C15" i="5"/>
  <c r="D57" i="5"/>
  <c r="D62" i="5" s="1"/>
  <c r="E43" i="5"/>
  <c r="D208" i="6"/>
  <c r="E208" i="6" s="1"/>
  <c r="F208" i="6" s="1"/>
  <c r="E38" i="8"/>
  <c r="F38" i="8" s="1"/>
  <c r="D41" i="8"/>
  <c r="E41" i="8" s="1"/>
  <c r="F41" i="8" s="1"/>
  <c r="E65" i="8"/>
  <c r="F65" i="8" s="1"/>
  <c r="C300" i="14"/>
  <c r="E240" i="15"/>
  <c r="D48" i="10"/>
  <c r="D42" i="10" s="1"/>
  <c r="D31" i="11"/>
  <c r="F33" i="11"/>
  <c r="E52" i="14"/>
  <c r="F52" i="14" s="1"/>
  <c r="E88" i="14"/>
  <c r="E109" i="14"/>
  <c r="F109" i="14" s="1"/>
  <c r="C111" i="14"/>
  <c r="E144" i="14"/>
  <c r="F144" i="14" s="1"/>
  <c r="E155" i="14"/>
  <c r="F155" i="14" s="1"/>
  <c r="E164" i="14"/>
  <c r="F164" i="14" s="1"/>
  <c r="E191" i="14"/>
  <c r="C266" i="14"/>
  <c r="E198" i="14"/>
  <c r="F230" i="14"/>
  <c r="C280" i="14"/>
  <c r="F295" i="14"/>
  <c r="F297" i="14"/>
  <c r="E307" i="14"/>
  <c r="F307" i="14" s="1"/>
  <c r="C43" i="15"/>
  <c r="C71" i="15"/>
  <c r="C144" i="15"/>
  <c r="D156" i="15"/>
  <c r="C175" i="15"/>
  <c r="E175" i="15" s="1"/>
  <c r="E195" i="15"/>
  <c r="C210" i="15"/>
  <c r="E215" i="15"/>
  <c r="C303" i="15"/>
  <c r="E110" i="14"/>
  <c r="D15" i="10"/>
  <c r="E76" i="14"/>
  <c r="F76" i="14" s="1"/>
  <c r="F88" i="14"/>
  <c r="F110" i="14"/>
  <c r="E123" i="14"/>
  <c r="F123" i="14" s="1"/>
  <c r="E130" i="14"/>
  <c r="F130" i="14" s="1"/>
  <c r="C138" i="14"/>
  <c r="E138" i="14" s="1"/>
  <c r="F191" i="14"/>
  <c r="C192" i="14"/>
  <c r="F198" i="14"/>
  <c r="C200" i="14"/>
  <c r="F299" i="14"/>
  <c r="C189" i="15"/>
  <c r="E189" i="15" s="1"/>
  <c r="E221" i="15"/>
  <c r="E276" i="15"/>
  <c r="E278" i="15"/>
  <c r="E280" i="15"/>
  <c r="E250" i="14"/>
  <c r="F250" i="14" s="1"/>
  <c r="C64" i="16"/>
  <c r="C65" i="16" s="1"/>
  <c r="C114" i="16" s="1"/>
  <c r="C116" i="16" s="1"/>
  <c r="C119" i="16" s="1"/>
  <c r="C123" i="16" s="1"/>
  <c r="E44" i="17"/>
  <c r="E45" i="17"/>
  <c r="F45" i="17" s="1"/>
  <c r="F25" i="17"/>
  <c r="E36" i="17"/>
  <c r="F36" i="17" s="1"/>
  <c r="D278" i="14"/>
  <c r="D290" i="14"/>
  <c r="E290" i="14" s="1"/>
  <c r="F290" i="14" s="1"/>
  <c r="E302" i="15" l="1"/>
  <c r="D303" i="15"/>
  <c r="D306" i="15" s="1"/>
  <c r="D310" i="15" s="1"/>
  <c r="C49" i="14"/>
  <c r="C91" i="14"/>
  <c r="E21" i="14"/>
  <c r="F21" i="14" s="1"/>
  <c r="C161" i="14"/>
  <c r="C126" i="14"/>
  <c r="C196" i="14"/>
  <c r="E196" i="14" s="1"/>
  <c r="F196" i="14" s="1"/>
  <c r="D140" i="5"/>
  <c r="D139" i="5"/>
  <c r="D137" i="5"/>
  <c r="D136" i="5"/>
  <c r="D135" i="5"/>
  <c r="D141" i="5" s="1"/>
  <c r="D138" i="5"/>
  <c r="E46" i="17"/>
  <c r="F46" i="17" s="1"/>
  <c r="F44" i="17"/>
  <c r="C45" i="19"/>
  <c r="C53" i="19"/>
  <c r="C29" i="19"/>
  <c r="C39" i="19"/>
  <c r="C110" i="19"/>
  <c r="C35" i="19"/>
  <c r="C66" i="15"/>
  <c r="C294" i="15"/>
  <c r="E294" i="15" s="1"/>
  <c r="E65" i="15"/>
  <c r="C246" i="15"/>
  <c r="E246" i="15" s="1"/>
  <c r="C157" i="5"/>
  <c r="C152" i="5"/>
  <c r="C154" i="5"/>
  <c r="C156" i="5"/>
  <c r="C155" i="5"/>
  <c r="C153" i="5"/>
  <c r="D154" i="5"/>
  <c r="D153" i="5"/>
  <c r="D152" i="5"/>
  <c r="D157" i="5"/>
  <c r="D156" i="5"/>
  <c r="D155" i="5"/>
  <c r="F192" i="14"/>
  <c r="E192" i="14"/>
  <c r="D157" i="15"/>
  <c r="D168" i="15"/>
  <c r="E156" i="15"/>
  <c r="C76" i="15"/>
  <c r="E71" i="15"/>
  <c r="C265" i="14"/>
  <c r="E266" i="14"/>
  <c r="F266" i="14" s="1"/>
  <c r="F36" i="11"/>
  <c r="F38" i="11" s="1"/>
  <c r="F40" i="11" s="1"/>
  <c r="H33" i="11"/>
  <c r="H36" i="11" s="1"/>
  <c r="H38" i="11" s="1"/>
  <c r="H40" i="11" s="1"/>
  <c r="D43" i="8"/>
  <c r="E43" i="8" s="1"/>
  <c r="F43" i="8" s="1"/>
  <c r="F176" i="4"/>
  <c r="E41" i="1"/>
  <c r="F41" i="1" s="1"/>
  <c r="D43" i="1"/>
  <c r="E43" i="1" s="1"/>
  <c r="F43" i="1" s="1"/>
  <c r="C257" i="14"/>
  <c r="E200" i="14"/>
  <c r="F200" i="14" s="1"/>
  <c r="F138" i="14"/>
  <c r="C140" i="14"/>
  <c r="C139" i="14"/>
  <c r="D288" i="14"/>
  <c r="D279" i="14"/>
  <c r="E279" i="14" s="1"/>
  <c r="F279" i="14" s="1"/>
  <c r="E278" i="14"/>
  <c r="F278" i="14" s="1"/>
  <c r="D24" i="10"/>
  <c r="D20" i="10" s="1"/>
  <c r="D17" i="10"/>
  <c r="D28" i="10" s="1"/>
  <c r="C306" i="15"/>
  <c r="E303" i="15"/>
  <c r="C211" i="15"/>
  <c r="E210" i="15"/>
  <c r="C234" i="15"/>
  <c r="E234" i="15" s="1"/>
  <c r="C145" i="15"/>
  <c r="C180" i="15"/>
  <c r="E180" i="15" s="1"/>
  <c r="C168" i="15"/>
  <c r="E144" i="15"/>
  <c r="C44" i="15"/>
  <c r="E43" i="15"/>
  <c r="C259" i="15"/>
  <c r="E280" i="14"/>
  <c r="C281" i="14"/>
  <c r="F280" i="14"/>
  <c r="E111" i="14"/>
  <c r="F111" i="14" s="1"/>
  <c r="E300" i="14"/>
  <c r="F300" i="14" s="1"/>
  <c r="C24" i="5"/>
  <c r="C20" i="5" s="1"/>
  <c r="C17" i="5"/>
  <c r="F207" i="6"/>
  <c r="E52" i="3"/>
  <c r="F52" i="3" s="1"/>
  <c r="E83" i="4"/>
  <c r="F83" i="4" s="1"/>
  <c r="D75" i="1"/>
  <c r="E75" i="1" s="1"/>
  <c r="F75" i="1" s="1"/>
  <c r="D266" i="15"/>
  <c r="C318" i="14"/>
  <c r="E252" i="15"/>
  <c r="D131" i="15"/>
  <c r="C158" i="5" l="1"/>
  <c r="E161" i="14"/>
  <c r="F161" i="14"/>
  <c r="C162" i="14"/>
  <c r="E49" i="14"/>
  <c r="C50" i="14"/>
  <c r="F49" i="14"/>
  <c r="D158" i="5"/>
  <c r="C295" i="15"/>
  <c r="E295" i="15" s="1"/>
  <c r="E66" i="15"/>
  <c r="C247" i="15"/>
  <c r="E247" i="15" s="1"/>
  <c r="C55" i="19"/>
  <c r="C37" i="19"/>
  <c r="C112" i="19"/>
  <c r="C47" i="19"/>
  <c r="E126" i="14"/>
  <c r="C127" i="14"/>
  <c r="F126" i="14"/>
  <c r="C92" i="14"/>
  <c r="E91" i="14"/>
  <c r="F91" i="14" s="1"/>
  <c r="D267" i="15"/>
  <c r="C263" i="15"/>
  <c r="E263" i="15" s="1"/>
  <c r="E259" i="15"/>
  <c r="C258" i="15"/>
  <c r="C87" i="15"/>
  <c r="E87" i="15" s="1"/>
  <c r="C100" i="15"/>
  <c r="E100" i="15" s="1"/>
  <c r="C85" i="15"/>
  <c r="E85" i="15" s="1"/>
  <c r="C88" i="15"/>
  <c r="E88" i="15" s="1"/>
  <c r="C86" i="15"/>
  <c r="E86" i="15" s="1"/>
  <c r="C84" i="15"/>
  <c r="C101" i="15"/>
  <c r="E101" i="15" s="1"/>
  <c r="E44" i="15"/>
  <c r="C98" i="15"/>
  <c r="E98" i="15" s="1"/>
  <c r="C83" i="15"/>
  <c r="C96" i="15"/>
  <c r="C89" i="15"/>
  <c r="E89" i="15" s="1"/>
  <c r="C99" i="15"/>
  <c r="E99" i="15" s="1"/>
  <c r="C97" i="15"/>
  <c r="E97" i="15" s="1"/>
  <c r="C95" i="15"/>
  <c r="C169" i="15"/>
  <c r="C181" i="15"/>
  <c r="E181" i="15" s="1"/>
  <c r="E145" i="15"/>
  <c r="D70" i="10"/>
  <c r="D72" i="10" s="1"/>
  <c r="D69" i="10" s="1"/>
  <c r="D22" i="10"/>
  <c r="D291" i="14"/>
  <c r="E288" i="14"/>
  <c r="F288" i="14" s="1"/>
  <c r="D289" i="14"/>
  <c r="E289" i="14" s="1"/>
  <c r="F289" i="14" s="1"/>
  <c r="E140" i="14"/>
  <c r="C141" i="14"/>
  <c r="F140" i="14"/>
  <c r="E281" i="14"/>
  <c r="F281" i="14" s="1"/>
  <c r="E265" i="14"/>
  <c r="F265" i="14" s="1"/>
  <c r="C77" i="15"/>
  <c r="E76" i="15"/>
  <c r="E168" i="15"/>
  <c r="C28" i="5"/>
  <c r="C112" i="5"/>
  <c r="C111" i="5" s="1"/>
  <c r="C235" i="15"/>
  <c r="E235" i="15" s="1"/>
  <c r="E211" i="15"/>
  <c r="C310" i="15"/>
  <c r="E310" i="15" s="1"/>
  <c r="E306" i="15"/>
  <c r="F139" i="14"/>
  <c r="E139" i="14"/>
  <c r="D169" i="15"/>
  <c r="E169" i="15" s="1"/>
  <c r="E157" i="15"/>
  <c r="E92" i="14" l="1"/>
  <c r="F92" i="14" s="1"/>
  <c r="C324" i="14"/>
  <c r="C113" i="14"/>
  <c r="E113" i="14" s="1"/>
  <c r="F113" i="14" s="1"/>
  <c r="C70" i="14"/>
  <c r="E50" i="14"/>
  <c r="F50" i="14" s="1"/>
  <c r="C323" i="14"/>
  <c r="C183" i="14"/>
  <c r="E183" i="14" s="1"/>
  <c r="F183" i="14" s="1"/>
  <c r="E162" i="14"/>
  <c r="F162" i="14" s="1"/>
  <c r="C197" i="14"/>
  <c r="E197" i="14" s="1"/>
  <c r="F197" i="14" s="1"/>
  <c r="E127" i="14"/>
  <c r="F127" i="14" s="1"/>
  <c r="C99" i="5"/>
  <c r="C101" i="5" s="1"/>
  <c r="C98" i="5" s="1"/>
  <c r="C22" i="5"/>
  <c r="C121" i="15"/>
  <c r="C110" i="15"/>
  <c r="C123" i="15"/>
  <c r="E123" i="15" s="1"/>
  <c r="C122" i="15"/>
  <c r="C109" i="15"/>
  <c r="C115" i="15"/>
  <c r="E115" i="15" s="1"/>
  <c r="C113" i="15"/>
  <c r="E113" i="15" s="1"/>
  <c r="E77" i="15"/>
  <c r="C125" i="15"/>
  <c r="E125" i="15" s="1"/>
  <c r="C114" i="15"/>
  <c r="E114" i="15" s="1"/>
  <c r="C127" i="15"/>
  <c r="E127" i="15" s="1"/>
  <c r="C112" i="15"/>
  <c r="E112" i="15" s="1"/>
  <c r="C111" i="15"/>
  <c r="E111" i="15" s="1"/>
  <c r="C126" i="15"/>
  <c r="E126" i="15" s="1"/>
  <c r="C124" i="15"/>
  <c r="E124" i="15" s="1"/>
  <c r="C211" i="14"/>
  <c r="C148" i="14"/>
  <c r="E141" i="14"/>
  <c r="C322" i="14"/>
  <c r="F141" i="14"/>
  <c r="D305" i="14"/>
  <c r="E291" i="14"/>
  <c r="F291" i="14" s="1"/>
  <c r="E95" i="15"/>
  <c r="C102" i="15"/>
  <c r="E102" i="15" s="1"/>
  <c r="E96" i="15"/>
  <c r="E83" i="15"/>
  <c r="E84" i="15"/>
  <c r="C90" i="15"/>
  <c r="E90" i="15" s="1"/>
  <c r="C264" i="15"/>
  <c r="E258" i="15"/>
  <c r="D269" i="15"/>
  <c r="D268" i="15"/>
  <c r="E324" i="14" l="1"/>
  <c r="F324" i="14" s="1"/>
  <c r="E323" i="14"/>
  <c r="F323" i="14" s="1"/>
  <c r="E70" i="14"/>
  <c r="F70" i="14" s="1"/>
  <c r="D271" i="15"/>
  <c r="C266" i="15"/>
  <c r="E264" i="15"/>
  <c r="C91" i="15"/>
  <c r="C103" i="15"/>
  <c r="E103" i="15" s="1"/>
  <c r="E211" i="14"/>
  <c r="F211" i="14"/>
  <c r="E122" i="15"/>
  <c r="C128" i="15"/>
  <c r="E128" i="15" s="1"/>
  <c r="E110" i="15"/>
  <c r="C116" i="15"/>
  <c r="E116" i="15" s="1"/>
  <c r="D309" i="14"/>
  <c r="E305" i="14"/>
  <c r="F305" i="14" s="1"/>
  <c r="E322" i="14"/>
  <c r="C325" i="14"/>
  <c r="F322" i="14"/>
  <c r="F148" i="14"/>
  <c r="E148" i="14"/>
  <c r="C117" i="15"/>
  <c r="E109" i="15"/>
  <c r="C129" i="15"/>
  <c r="E129" i="15" s="1"/>
  <c r="E121" i="15"/>
  <c r="C131" i="15" l="1"/>
  <c r="E131" i="15" s="1"/>
  <c r="E117" i="15"/>
  <c r="E309" i="14"/>
  <c r="F309" i="14" s="1"/>
  <c r="D310" i="14"/>
  <c r="C105" i="15"/>
  <c r="E105" i="15" s="1"/>
  <c r="E91" i="15"/>
  <c r="E325" i="14"/>
  <c r="F325" i="14" s="1"/>
  <c r="E266" i="15"/>
  <c r="C267" i="15"/>
  <c r="D312" i="14" l="1"/>
  <c r="E310" i="14"/>
  <c r="F310" i="14" s="1"/>
  <c r="C269" i="15"/>
  <c r="E269" i="15" s="1"/>
  <c r="C268" i="15"/>
  <c r="E267" i="15"/>
  <c r="C271" i="15" l="1"/>
  <c r="E271" i="15" s="1"/>
  <c r="E268" i="15"/>
  <c r="D313" i="14"/>
  <c r="E312" i="14"/>
  <c r="F312" i="14" s="1"/>
  <c r="D251" i="14" l="1"/>
  <c r="E251" i="14" s="1"/>
  <c r="F251" i="14" s="1"/>
  <c r="D314" i="14"/>
  <c r="E313" i="14"/>
  <c r="F313" i="14" s="1"/>
  <c r="D315" i="14"/>
  <c r="E315" i="14" s="1"/>
  <c r="F315" i="14" s="1"/>
  <c r="D256" i="14"/>
  <c r="D257" i="14" l="1"/>
  <c r="E257" i="14" s="1"/>
  <c r="F257" i="14" s="1"/>
  <c r="E256" i="14"/>
  <c r="F256" i="14" s="1"/>
  <c r="E314" i="14"/>
  <c r="F314" i="14" s="1"/>
  <c r="D318" i="14"/>
  <c r="E318" i="14" s="1"/>
  <c r="F318" i="14" s="1"/>
</calcChain>
</file>

<file path=xl/sharedStrings.xml><?xml version="1.0" encoding="utf-8"?>
<sst xmlns="http://schemas.openxmlformats.org/spreadsheetml/2006/main" count="2311" uniqueCount="986">
  <si>
    <t>YALE-NEW HAVEN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</si>
  <si>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</si>
  <si>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</si>
  <si>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</si>
  <si>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</si>
  <si>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</si>
  <si>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</si>
  <si>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</si>
  <si>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</si>
  <si>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</si>
  <si>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</si>
  <si>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</si>
  <si>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</si>
  <si>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</si>
  <si>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</si>
  <si>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</si>
  <si>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</si>
  <si>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</si>
  <si>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</si>
  <si>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</si>
  <si>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</si>
  <si>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</si>
  <si>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</si>
  <si>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</si>
  <si>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</si>
  <si>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</si>
  <si>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</si>
  <si>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</si>
  <si>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</si>
  <si>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</si>
  <si>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</si>
  <si>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</si>
  <si>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</si>
  <si>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</si>
  <si>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</si>
  <si>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</si>
  <si>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</si>
  <si>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</si>
  <si>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</si>
  <si>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</si>
  <si>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</si>
  <si>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</si>
  <si>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</si>
  <si>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</si>
  <si>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</si>
  <si>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</si>
  <si>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</si>
  <si>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</si>
  <si>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</si>
  <si>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</si>
  <si>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</si>
  <si>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</si>
  <si>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</si>
  <si>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</si>
  <si>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</si>
  <si>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</si>
  <si>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</si>
  <si>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</si>
  <si>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</si>
  <si>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</si>
  <si>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</si>
  <si>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</si>
  <si>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</si>
  <si>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</si>
  <si>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</si>
  <si>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</si>
  <si>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</si>
  <si>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</si>
  <si>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</si>
  <si>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</si>
  <si>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</si>
  <si>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</si>
  <si>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</si>
  <si>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</si>
  <si>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</si>
  <si>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</si>
  <si>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</si>
  <si>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</si>
  <si>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</si>
  <si>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</si>
  <si>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</si>
  <si>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</si>
  <si>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</si>
  <si>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</si>
  <si>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</si>
  <si>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</si>
  <si>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</si>
  <si>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</si>
  <si>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</si>
  <si>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</si>
  <si>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</si>
  <si>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</si>
  <si>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</si>
  <si>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</si>
  <si>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</si>
  <si>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</si>
  <si>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</si>
  <si>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</si>
  <si>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</si>
  <si>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</si>
  <si>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</si>
  <si>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</si>
  <si>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</si>
  <si>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</si>
  <si>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</si>
  <si>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</si>
  <si>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</si>
  <si>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</si>
  <si>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</si>
  <si>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</si>
  <si>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</si>
  <si>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</si>
  <si>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</si>
  <si>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</si>
  <si>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</si>
  <si>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</si>
  <si>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</si>
  <si>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</si>
  <si>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</si>
  <si>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</si>
  <si>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</si>
  <si>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</si>
  <si>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</si>
  <si>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</si>
  <si>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</si>
  <si>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</si>
  <si>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</si>
  <si>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</si>
  <si>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</si>
  <si>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</si>
  <si>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</si>
  <si>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</si>
  <si>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</si>
  <si>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</si>
  <si>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</si>
  <si>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</si>
  <si>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</si>
  <si>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</si>
  <si>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</si>
  <si>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</si>
  <si>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</si>
  <si>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</si>
  <si>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</si>
  <si>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</si>
  <si>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</si>
  <si>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</si>
  <si>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</si>
  <si>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</si>
  <si>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</si>
  <si>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</si>
  <si>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</si>
  <si>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</si>
  <si>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</si>
  <si>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</si>
  <si>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</si>
  <si>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</si>
  <si>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</si>
  <si>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</si>
  <si>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</si>
  <si>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</si>
  <si>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</si>
  <si>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</si>
  <si>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</si>
  <si>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</si>
  <si>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</si>
  <si>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</si>
  <si>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</si>
  <si>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</si>
  <si>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</si>
  <si>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</si>
  <si>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</si>
  <si>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</si>
  <si>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</si>
  <si>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</si>
  <si>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</si>
  <si>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</si>
  <si>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</si>
  <si>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</si>
  <si>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</si>
  <si>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</si>
  <si>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</si>
  <si>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</si>
  <si>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</si>
  <si>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</si>
  <si>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</si>
  <si>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</si>
  <si>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</si>
  <si>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</si>
  <si>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</si>
  <si>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</si>
  <si>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</si>
  <si>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</si>
  <si>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</si>
  <si>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</si>
  <si>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</si>
  <si>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</si>
  <si>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</si>
  <si>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</si>
  <si>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</si>
  <si>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</si>
  <si>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</si>
  <si>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</si>
  <si>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</si>
  <si>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</si>
  <si>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</si>
  <si>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</si>
  <si>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</si>
  <si>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</si>
  <si>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</si>
  <si>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</si>
  <si>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</si>
  <si>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</si>
  <si>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</si>
  <si>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</si>
  <si>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</si>
  <si>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</si>
  <si>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</si>
  <si>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</si>
  <si>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</si>
  <si>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</si>
  <si>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</si>
  <si>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</si>
  <si>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</si>
  <si>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</si>
  <si>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</si>
  <si>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</si>
  <si>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</si>
  <si>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</si>
  <si>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</si>
  <si>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</si>
  <si>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</si>
  <si>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</si>
  <si>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</si>
  <si>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</si>
  <si>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</si>
  <si>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</si>
  <si>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</si>
  <si>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</si>
  <si>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</si>
  <si>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</si>
  <si>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</si>
  <si>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</si>
  <si>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</si>
  <si>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</si>
  <si>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</si>
  <si>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</si>
  <si>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</si>
  <si>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</si>
  <si>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</si>
  <si>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</si>
  <si>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</si>
  <si>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</si>
  <si>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</si>
  <si>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</si>
  <si>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</si>
  <si>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</si>
  <si>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</si>
  <si>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</si>
  <si>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</si>
  <si>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</si>
  <si>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</si>
  <si>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</si>
  <si>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</si>
  <si>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</si>
  <si>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</si>
  <si>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</si>
  <si>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</si>
  <si>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</si>
  <si>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</si>
  <si>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</si>
  <si>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</si>
  <si>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</si>
  <si>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</si>
  <si>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</si>
  <si>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</si>
  <si>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</si>
  <si>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</si>
  <si>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</si>
  <si>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</si>
  <si>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</si>
  <si>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</si>
  <si>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</si>
  <si>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</si>
  <si>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</si>
  <si>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</si>
  <si>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</si>
  <si>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</si>
  <si>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</si>
  <si>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</si>
  <si>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</si>
  <si>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</si>
  <si>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</si>
  <si>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</si>
  <si>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</si>
  <si>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</si>
  <si>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</si>
  <si>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</si>
  <si>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</si>
  <si>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</si>
  <si>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</si>
  <si>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</si>
  <si>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</si>
  <si>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</si>
  <si>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</si>
  <si>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</si>
  <si>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</si>
  <si>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</si>
  <si>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</si>
  <si>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</si>
  <si>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</si>
  <si>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</si>
  <si>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</si>
  <si>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</si>
  <si>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</si>
  <si>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</si>
  <si>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</si>
  <si>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</si>
  <si>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</si>
  <si>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</si>
  <si>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</si>
  <si>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</si>
  <si>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</si>
  <si>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</si>
  <si>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</si>
  <si>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</si>
  <si>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</si>
  <si>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</si>
  <si>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</si>
  <si>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</si>
  <si>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</si>
  <si>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</si>
  <si>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</si>
  <si>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</si>
  <si>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</si>
  <si>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</si>
  <si>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</si>
  <si>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</si>
  <si>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</si>
  <si>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</si>
  <si>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</si>
  <si>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</si>
  <si>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</si>
  <si>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</si>
  <si>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</si>
  <si>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</si>
  <si>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</si>
  <si>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</si>
  <si>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</si>
  <si>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</si>
  <si>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</si>
  <si>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</si>
  <si>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</si>
  <si>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</si>
  <si>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</si>
  <si>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</si>
  <si>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</si>
  <si>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</si>
  <si>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</si>
  <si>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</si>
  <si>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</si>
  <si>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</si>
  <si>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</si>
  <si>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</si>
  <si>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</si>
  <si>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</si>
  <si>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</si>
  <si>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</si>
  <si>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</si>
  <si>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</si>
  <si>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</si>
  <si>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</si>
  <si>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</si>
  <si>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</si>
  <si>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</si>
  <si>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</si>
  <si>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</si>
  <si>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</si>
  <si>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</si>
  <si>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</si>
  <si>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</si>
  <si>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</si>
  <si>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</si>
  <si>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</si>
  <si>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</si>
  <si>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</si>
  <si>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</si>
  <si>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</si>
  <si>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</si>
  <si>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</si>
  <si>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</si>
  <si>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</si>
  <si>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</si>
  <si>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</si>
  <si>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</si>
  <si>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</si>
  <si>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</si>
  <si>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</si>
  <si>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</si>
  <si>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</si>
  <si>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</si>
  <si>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</si>
  <si>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</si>
  <si>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</si>
  <si>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</si>
  <si>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</si>
  <si>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</si>
  <si>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</si>
  <si>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</si>
  <si>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</si>
  <si>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</si>
  <si>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</si>
  <si>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</si>
  <si>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</si>
  <si>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</si>
  <si>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</si>
  <si>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</si>
  <si>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</si>
  <si>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</si>
  <si>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</si>
  <si>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</si>
  <si>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</si>
  <si>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</si>
  <si>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</si>
  <si>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</si>
  <si>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</si>
  <si>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</si>
  <si>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</si>
  <si>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</si>
  <si>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</si>
  <si>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</si>
  <si>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</si>
  <si>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</si>
  <si>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</si>
  <si>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</si>
  <si>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</si>
  <si>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</si>
  <si>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</si>
  <si>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</si>
  <si>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</si>
  <si>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</si>
  <si>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</si>
  <si>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</si>
  <si>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</si>
  <si>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</si>
  <si>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</si>
  <si>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</si>
  <si>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</si>
  <si>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</si>
  <si>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</si>
  <si>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</si>
  <si>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</si>
  <si>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</si>
  <si>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</si>
  <si>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</si>
  <si>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</si>
  <si>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</si>
  <si>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</si>
  <si>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</si>
  <si>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</si>
  <si>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</si>
  <si>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</si>
  <si>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</si>
  <si>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</si>
  <si>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</si>
  <si>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</si>
  <si>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</si>
  <si>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</si>
  <si>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</si>
  <si>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</si>
  <si>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</si>
  <si>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</si>
  <si>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</si>
  <si>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</si>
  <si>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</si>
  <si>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</si>
  <si>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</si>
  <si>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</si>
  <si>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</si>
  <si>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</si>
  <si>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YNH NETWORK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</si>
  <si>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</si>
  <si>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</si>
  <si>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</si>
  <si>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</si>
  <si>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</si>
  <si>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</si>
  <si>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</si>
  <si>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</si>
  <si>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</si>
  <si>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</si>
  <si>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</si>
  <si>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</si>
  <si>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</si>
  <si>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</si>
  <si>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</si>
  <si>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</si>
  <si>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</si>
  <si>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</si>
  <si>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</si>
  <si>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</si>
  <si>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</si>
  <si>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</si>
  <si>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</si>
  <si>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</si>
  <si>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</si>
  <si>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</si>
  <si>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</si>
  <si>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</si>
  <si>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</si>
  <si>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</si>
  <si>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</si>
  <si>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</si>
  <si>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</si>
  <si>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</si>
  <si>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</si>
  <si>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</si>
  <si>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</si>
  <si>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</si>
  <si>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</si>
  <si>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</si>
  <si>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</si>
  <si>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</si>
  <si>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</si>
  <si>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</si>
  <si>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</si>
  <si>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</si>
  <si>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</si>
  <si>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</si>
  <si>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</si>
  <si>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</si>
  <si>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</si>
  <si>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</si>
  <si>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</si>
  <si>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</si>
  <si>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</si>
  <si>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</si>
  <si>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</si>
  <si>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</si>
  <si>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</si>
  <si>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</si>
  <si>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</si>
  <si>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</si>
  <si>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</si>
  <si>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</si>
  <si>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</si>
  <si>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</si>
  <si>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</si>
  <si>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</si>
  <si>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</si>
  <si>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</si>
  <si>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</si>
  <si>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</si>
  <si>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</si>
  <si>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</si>
  <si>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</si>
  <si>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</si>
  <si>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</si>
  <si>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</si>
  <si>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</si>
  <si>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</si>
  <si>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</si>
  <si>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</si>
  <si>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</si>
  <si>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</si>
  <si>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</si>
  <si>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</si>
  <si>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</si>
  <si>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</si>
  <si>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</si>
  <si>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</si>
  <si>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</si>
  <si>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</si>
  <si>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</si>
  <si>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</si>
  <si>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</si>
  <si>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</si>
  <si>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</si>
  <si>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</si>
  <si>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</si>
  <si>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</si>
  <si>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</si>
  <si>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</si>
  <si>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</si>
  <si>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</si>
  <si>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</si>
  <si>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</si>
  <si>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</si>
  <si>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</si>
  <si>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Temple Medical Center</t>
  </si>
  <si>
    <t>Yale New Haven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</si>
  <si>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</si>
  <si>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</si>
  <si>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</si>
  <si>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N/A</t>
  </si>
  <si>
    <t>Shoreline Medical Center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</si>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</sst>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8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66556000</v>
      </c>
      <c r="D13" s="23">
        <v>65883000</v>
      </c>
      <c r="E13" s="23">
        <f t="shared" ref="E13:E22" si="0">D13-C13</f>
        <v>-673000</v>
      </c>
      <c r="F13" s="24">
        <f t="shared" ref="F13:F22" si="1">IF(C13=0,0,E13/C13)</f>
        <v>-1.01117855640363E-2</v>
      </c>
    </row>
    <row r="14" spans="1:8" ht="24" customHeight="1" x14ac:dyDescent="0.2">
      <c r="A14" s="21">
        <v>2</v>
      </c>
      <c r="B14" s="22" t="s">
        <v>17</v>
      </c>
      <c r="C14" s="23">
        <v>342847000</v>
      </c>
      <c r="D14" s="23">
        <v>402559000</v>
      </c>
      <c r="E14" s="23">
        <f t="shared" si="0"/>
        <v>59712000</v>
      </c>
      <c r="F14" s="24">
        <f t="shared" si="1"/>
        <v>0.17416515238575808</v>
      </c>
    </row>
    <row r="15" spans="1:8" ht="32.25" customHeight="1" x14ac:dyDescent="0.2">
      <c r="A15" s="21">
        <v>3</v>
      </c>
      <c r="B15" s="22" t="s">
        <v>18</v>
      </c>
      <c r="C15" s="23">
        <v>135445000</v>
      </c>
      <c r="D15" s="23">
        <v>167383000</v>
      </c>
      <c r="E15" s="23">
        <f t="shared" si="0"/>
        <v>31938000</v>
      </c>
      <c r="F15" s="24">
        <f t="shared" si="1"/>
        <v>0.23580050943187272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18238000</v>
      </c>
      <c r="D19" s="23">
        <v>16419000</v>
      </c>
      <c r="E19" s="23">
        <f t="shared" si="0"/>
        <v>-1819000</v>
      </c>
      <c r="F19" s="24">
        <f t="shared" si="1"/>
        <v>-9.9736813247066569E-2</v>
      </c>
    </row>
    <row r="20" spans="1:11" ht="24" customHeight="1" x14ac:dyDescent="0.2">
      <c r="A20" s="21">
        <v>8</v>
      </c>
      <c r="B20" s="22" t="s">
        <v>23</v>
      </c>
      <c r="C20" s="23">
        <v>6113000</v>
      </c>
      <c r="D20" s="23">
        <v>8211000</v>
      </c>
      <c r="E20" s="23">
        <f t="shared" si="0"/>
        <v>2098000</v>
      </c>
      <c r="F20" s="24">
        <f t="shared" si="1"/>
        <v>0.34320300997873382</v>
      </c>
    </row>
    <row r="21" spans="1:11" ht="24" customHeight="1" x14ac:dyDescent="0.2">
      <c r="A21" s="21">
        <v>9</v>
      </c>
      <c r="B21" s="22" t="s">
        <v>24</v>
      </c>
      <c r="C21" s="23">
        <v>40674000</v>
      </c>
      <c r="D21" s="23">
        <v>62521000</v>
      </c>
      <c r="E21" s="23">
        <f t="shared" si="0"/>
        <v>21847000</v>
      </c>
      <c r="F21" s="24">
        <f t="shared" si="1"/>
        <v>0.53712445296749767</v>
      </c>
    </row>
    <row r="22" spans="1:11" ht="24" customHeight="1" x14ac:dyDescent="0.25">
      <c r="A22" s="25"/>
      <c r="B22" s="26" t="s">
        <v>25</v>
      </c>
      <c r="C22" s="27">
        <f>SUM(C13:C21)</f>
        <v>609873000</v>
      </c>
      <c r="D22" s="27">
        <f>SUM(D13:D21)</f>
        <v>722976000</v>
      </c>
      <c r="E22" s="27">
        <f t="shared" si="0"/>
        <v>113103000</v>
      </c>
      <c r="F22" s="28">
        <f t="shared" si="1"/>
        <v>0.18545336488088504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11639000</v>
      </c>
      <c r="D25" s="23">
        <v>10906000</v>
      </c>
      <c r="E25" s="23">
        <f>D25-C25</f>
        <v>-733000</v>
      </c>
      <c r="F25" s="24">
        <f>IF(C25=0,0,E25/C25)</f>
        <v>-6.2977919065211788E-2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54012000</v>
      </c>
      <c r="D26" s="23">
        <v>119091000</v>
      </c>
      <c r="E26" s="23">
        <f>D26-C26</f>
        <v>65079000</v>
      </c>
      <c r="F26" s="24">
        <f>IF(C26=0,0,E26/C26)</f>
        <v>1.2048989113530326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65651000</v>
      </c>
      <c r="D29" s="27">
        <f>SUM(D25:D28)</f>
        <v>129997000</v>
      </c>
      <c r="E29" s="27">
        <f>D29-C29</f>
        <v>64346000</v>
      </c>
      <c r="F29" s="28">
        <f>IF(C29=0,0,E29/C29)</f>
        <v>0.98012216112473538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153223000</v>
      </c>
      <c r="D32" s="23">
        <v>141525000</v>
      </c>
      <c r="E32" s="23">
        <f>D32-C32</f>
        <v>-11698000</v>
      </c>
      <c r="F32" s="24">
        <f>IF(C32=0,0,E32/C32)</f>
        <v>-7.6346240446930294E-2</v>
      </c>
    </row>
    <row r="33" spans="1:8" ht="24" customHeight="1" x14ac:dyDescent="0.2">
      <c r="A33" s="21">
        <v>7</v>
      </c>
      <c r="B33" s="22" t="s">
        <v>35</v>
      </c>
      <c r="C33" s="23">
        <v>77352000</v>
      </c>
      <c r="D33" s="23">
        <v>135333000</v>
      </c>
      <c r="E33" s="23">
        <f>D33-C33</f>
        <v>57981000</v>
      </c>
      <c r="F33" s="24">
        <f>IF(C33=0,0,E33/C33)</f>
        <v>0.74957337883959041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1366875000</v>
      </c>
      <c r="D36" s="23">
        <v>1391378000</v>
      </c>
      <c r="E36" s="23">
        <f>D36-C36</f>
        <v>24503000</v>
      </c>
      <c r="F36" s="24">
        <f>IF(C36=0,0,E36/C36)</f>
        <v>1.7926291723822589E-2</v>
      </c>
    </row>
    <row r="37" spans="1:8" ht="24" customHeight="1" x14ac:dyDescent="0.2">
      <c r="A37" s="21">
        <v>2</v>
      </c>
      <c r="B37" s="22" t="s">
        <v>39</v>
      </c>
      <c r="C37" s="23">
        <v>525368000</v>
      </c>
      <c r="D37" s="23">
        <v>566850000</v>
      </c>
      <c r="E37" s="23">
        <f>D37-C37</f>
        <v>41482000</v>
      </c>
      <c r="F37" s="24">
        <f>IF(C37=0,0,E37/C37)</f>
        <v>7.8957987543969183E-2</v>
      </c>
    </row>
    <row r="38" spans="1:8" ht="24" customHeight="1" x14ac:dyDescent="0.25">
      <c r="A38" s="25"/>
      <c r="B38" s="26" t="s">
        <v>40</v>
      </c>
      <c r="C38" s="27">
        <f>C36-C37</f>
        <v>841507000</v>
      </c>
      <c r="D38" s="27">
        <f>D36-D37</f>
        <v>824528000</v>
      </c>
      <c r="E38" s="27">
        <f>D38-C38</f>
        <v>-16979000</v>
      </c>
      <c r="F38" s="28">
        <f>IF(C38=0,0,E38/C38)</f>
        <v>-2.0176896924208591E-2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17563000</v>
      </c>
      <c r="D40" s="23">
        <v>43207000</v>
      </c>
      <c r="E40" s="23">
        <f>D40-C40</f>
        <v>25644000</v>
      </c>
      <c r="F40" s="24">
        <f>IF(C40=0,0,E40/C40)</f>
        <v>1.4601150145191597</v>
      </c>
    </row>
    <row r="41" spans="1:8" ht="24" customHeight="1" x14ac:dyDescent="0.25">
      <c r="A41" s="25"/>
      <c r="B41" s="26" t="s">
        <v>42</v>
      </c>
      <c r="C41" s="27">
        <f>+C38+C40</f>
        <v>859070000</v>
      </c>
      <c r="D41" s="27">
        <f>+D38+D40</f>
        <v>867735000</v>
      </c>
      <c r="E41" s="27">
        <f>D41-C41</f>
        <v>8665000</v>
      </c>
      <c r="F41" s="28">
        <f>IF(C41=0,0,E41/C41)</f>
        <v>1.0086488877507072E-2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1765169000</v>
      </c>
      <c r="D43" s="27">
        <f>D22+D29+D31+D32+D33+D41</f>
        <v>1997566000</v>
      </c>
      <c r="E43" s="27">
        <f>D43-C43</f>
        <v>232397000</v>
      </c>
      <c r="F43" s="28">
        <f>IF(C43=0,0,E43/C43)</f>
        <v>0.13165708212641397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159715000</v>
      </c>
      <c r="D49" s="23">
        <v>152239000</v>
      </c>
      <c r="E49" s="23">
        <f t="shared" ref="E49:E56" si="2">D49-C49</f>
        <v>-7476000</v>
      </c>
      <c r="F49" s="24">
        <f t="shared" ref="F49:F56" si="3">IF(C49=0,0,E49/C49)</f>
        <v>-4.6808377422283443E-2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49648000</v>
      </c>
      <c r="D50" s="23">
        <v>68101000</v>
      </c>
      <c r="E50" s="23">
        <f t="shared" si="2"/>
        <v>18453000</v>
      </c>
      <c r="F50" s="24">
        <f t="shared" si="3"/>
        <v>0.37167660328714147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13634000</v>
      </c>
      <c r="D53" s="23">
        <v>13047000</v>
      </c>
      <c r="E53" s="23">
        <f t="shared" si="2"/>
        <v>-587000</v>
      </c>
      <c r="F53" s="24">
        <f t="shared" si="3"/>
        <v>-4.3054129382426289E-2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1117000</v>
      </c>
      <c r="D55" s="23">
        <v>3848000</v>
      </c>
      <c r="E55" s="23">
        <f t="shared" si="2"/>
        <v>2731000</v>
      </c>
      <c r="F55" s="24">
        <f t="shared" si="3"/>
        <v>2.4449418084153982</v>
      </c>
    </row>
    <row r="56" spans="1:6" ht="24" customHeight="1" x14ac:dyDescent="0.25">
      <c r="A56" s="25"/>
      <c r="B56" s="26" t="s">
        <v>54</v>
      </c>
      <c r="C56" s="27">
        <f>SUM(C49:C55)</f>
        <v>224114000</v>
      </c>
      <c r="D56" s="27">
        <f>SUM(D49:D55)</f>
        <v>237235000</v>
      </c>
      <c r="E56" s="27">
        <f t="shared" si="2"/>
        <v>13121000</v>
      </c>
      <c r="F56" s="28">
        <f t="shared" si="3"/>
        <v>5.8546097075595459E-2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374932000</v>
      </c>
      <c r="D59" s="23">
        <v>469277000</v>
      </c>
      <c r="E59" s="23">
        <f>D59-C59</f>
        <v>94345000</v>
      </c>
      <c r="F59" s="24">
        <f>IF(C59=0,0,E59/C59)</f>
        <v>0.25163229598967279</v>
      </c>
    </row>
    <row r="60" spans="1:6" ht="24" customHeight="1" x14ac:dyDescent="0.2">
      <c r="A60" s="21">
        <v>2</v>
      </c>
      <c r="B60" s="22" t="s">
        <v>57</v>
      </c>
      <c r="C60" s="23">
        <v>112679000</v>
      </c>
      <c r="D60" s="23">
        <v>147274000</v>
      </c>
      <c r="E60" s="23">
        <f>D60-C60</f>
        <v>34595000</v>
      </c>
      <c r="F60" s="24">
        <f>IF(C60=0,0,E60/C60)</f>
        <v>0.30702260403446963</v>
      </c>
    </row>
    <row r="61" spans="1:6" ht="24" customHeight="1" x14ac:dyDescent="0.25">
      <c r="A61" s="25"/>
      <c r="B61" s="26" t="s">
        <v>58</v>
      </c>
      <c r="C61" s="27">
        <f>SUM(C59:C60)</f>
        <v>487611000</v>
      </c>
      <c r="D61" s="27">
        <f>SUM(D59:D60)</f>
        <v>616551000</v>
      </c>
      <c r="E61" s="27">
        <f>D61-C61</f>
        <v>128940000</v>
      </c>
      <c r="F61" s="28">
        <f>IF(C61=0,0,E61/C61)</f>
        <v>0.26443209853756378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212544000</v>
      </c>
      <c r="D63" s="23">
        <v>240901000</v>
      </c>
      <c r="E63" s="23">
        <f>D63-C63</f>
        <v>28357000</v>
      </c>
      <c r="F63" s="24">
        <f>IF(C63=0,0,E63/C63)</f>
        <v>0.13341708069858477</v>
      </c>
    </row>
    <row r="64" spans="1:6" ht="24" customHeight="1" x14ac:dyDescent="0.2">
      <c r="A64" s="21">
        <v>4</v>
      </c>
      <c r="B64" s="22" t="s">
        <v>60</v>
      </c>
      <c r="C64" s="23">
        <v>198588000</v>
      </c>
      <c r="D64" s="23">
        <v>228792000</v>
      </c>
      <c r="E64" s="23">
        <f>D64-C64</f>
        <v>30204000</v>
      </c>
      <c r="F64" s="24">
        <f>IF(C64=0,0,E64/C64)</f>
        <v>0.15209378210163757</v>
      </c>
    </row>
    <row r="65" spans="1:6" ht="24" customHeight="1" x14ac:dyDescent="0.25">
      <c r="A65" s="25"/>
      <c r="B65" s="26" t="s">
        <v>61</v>
      </c>
      <c r="C65" s="27">
        <f>SUM(C61:C64)</f>
        <v>898743000</v>
      </c>
      <c r="D65" s="27">
        <f>SUM(D61:D64)</f>
        <v>1086244000</v>
      </c>
      <c r="E65" s="27">
        <f>D65-C65</f>
        <v>187501000</v>
      </c>
      <c r="F65" s="28">
        <f>IF(C65=0,0,E65/C65)</f>
        <v>0.20862582518027956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567531000</v>
      </c>
      <c r="D70" s="23">
        <v>604617000</v>
      </c>
      <c r="E70" s="23">
        <f>D70-C70</f>
        <v>37086000</v>
      </c>
      <c r="F70" s="24">
        <f>IF(C70=0,0,E70/C70)</f>
        <v>6.5346210162969071E-2</v>
      </c>
    </row>
    <row r="71" spans="1:6" ht="24" customHeight="1" x14ac:dyDescent="0.2">
      <c r="A71" s="21">
        <v>2</v>
      </c>
      <c r="B71" s="22" t="s">
        <v>65</v>
      </c>
      <c r="C71" s="23">
        <v>48525000</v>
      </c>
      <c r="D71" s="23">
        <v>43947000</v>
      </c>
      <c r="E71" s="23">
        <f>D71-C71</f>
        <v>-4578000</v>
      </c>
      <c r="F71" s="24">
        <f>IF(C71=0,0,E71/C71)</f>
        <v>-9.4343122102009278E-2</v>
      </c>
    </row>
    <row r="72" spans="1:6" ht="24" customHeight="1" x14ac:dyDescent="0.2">
      <c r="A72" s="21">
        <v>3</v>
      </c>
      <c r="B72" s="22" t="s">
        <v>66</v>
      </c>
      <c r="C72" s="23">
        <v>26256000</v>
      </c>
      <c r="D72" s="23">
        <v>25523000</v>
      </c>
      <c r="E72" s="23">
        <f>D72-C72</f>
        <v>-733000</v>
      </c>
      <c r="F72" s="24">
        <f>IF(C72=0,0,E72/C72)</f>
        <v>-2.7917428397318707E-2</v>
      </c>
    </row>
    <row r="73" spans="1:6" ht="24" customHeight="1" x14ac:dyDescent="0.25">
      <c r="A73" s="21"/>
      <c r="B73" s="26" t="s">
        <v>67</v>
      </c>
      <c r="C73" s="27">
        <f>SUM(C70:C72)</f>
        <v>642312000</v>
      </c>
      <c r="D73" s="27">
        <f>SUM(D70:D72)</f>
        <v>674087000</v>
      </c>
      <c r="E73" s="27">
        <f>D73-C73</f>
        <v>31775000</v>
      </c>
      <c r="F73" s="28">
        <f>IF(C73=0,0,E73/C73)</f>
        <v>4.9469728107212695E-2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1765169000</v>
      </c>
      <c r="D75" s="27">
        <f>D56+D65+D67+D73</f>
        <v>1997566000</v>
      </c>
      <c r="E75" s="27">
        <f>D75-C75</f>
        <v>232397000</v>
      </c>
      <c r="F75" s="28">
        <f>IF(C75=0,0,E75/C75)</f>
        <v>0.13165708212641397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FILING&amp;RYALE-NEW HAVEN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1238934000</v>
      </c>
      <c r="D11" s="51">
        <v>1365162000</v>
      </c>
      <c r="E11" s="51">
        <v>1462366000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42656000</v>
      </c>
      <c r="D12" s="49">
        <v>50190000</v>
      </c>
      <c r="E12" s="49">
        <v>48257000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1281590000</v>
      </c>
      <c r="D13" s="51">
        <f>+D11+D12</f>
        <v>1415352000</v>
      </c>
      <c r="E13" s="51">
        <f>+E11+E12</f>
        <v>1510623000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1211988000</v>
      </c>
      <c r="D14" s="49">
        <v>1341219000</v>
      </c>
      <c r="E14" s="49">
        <v>1453315000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69602000</v>
      </c>
      <c r="D15" s="51">
        <f>+D13-D14</f>
        <v>74133000</v>
      </c>
      <c r="E15" s="51">
        <f>+E13-E14</f>
        <v>57308000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-16540000</v>
      </c>
      <c r="D16" s="49">
        <v>12380000</v>
      </c>
      <c r="E16" s="49">
        <v>13708000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53062000</v>
      </c>
      <c r="D17" s="51">
        <f>D15+D16</f>
        <v>86513000</v>
      </c>
      <c r="E17" s="51">
        <f>E15+E16</f>
        <v>71016000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5.5019169202798306E-2</v>
      </c>
      <c r="D20" s="169">
        <f>IF(+D27=0,0,+D24/+D27)</f>
        <v>5.1923610313420167E-2</v>
      </c>
      <c r="E20" s="169">
        <f>IF(+E27=0,0,+E24/+E27)</f>
        <v>3.7595509111866127E-2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-1.3074582032330738E-2</v>
      </c>
      <c r="D21" s="169">
        <f>IF(+D27=0,0,+D26/+D27)</f>
        <v>8.6710951355016205E-3</v>
      </c>
      <c r="E21" s="169">
        <f>IF(+E27=0,0,+E26/+E27)</f>
        <v>8.9927974960818877E-3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4.1944587170467569E-2</v>
      </c>
      <c r="D22" s="169">
        <f>IF(+D27=0,0,+D28/+D27)</f>
        <v>6.0594705448921787E-2</v>
      </c>
      <c r="E22" s="169">
        <f>IF(+E27=0,0,+E28/+E27)</f>
        <v>4.6588306607948014E-2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69602000</v>
      </c>
      <c r="D24" s="51">
        <f>+D15</f>
        <v>74133000</v>
      </c>
      <c r="E24" s="51">
        <f>+E15</f>
        <v>57308000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1281590000</v>
      </c>
      <c r="D25" s="51">
        <f>+D13</f>
        <v>1415352000</v>
      </c>
      <c r="E25" s="51">
        <f>+E13</f>
        <v>1510623000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-16540000</v>
      </c>
      <c r="D26" s="51">
        <f>+D16</f>
        <v>12380000</v>
      </c>
      <c r="E26" s="51">
        <f>+E16</f>
        <v>13708000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1265050000</v>
      </c>
      <c r="D27" s="51">
        <f>SUM(D25:D26)</f>
        <v>1427732000</v>
      </c>
      <c r="E27" s="51">
        <f>SUM(E25:E26)</f>
        <v>1524331000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53062000</v>
      </c>
      <c r="D28" s="51">
        <f>+D17</f>
        <v>86513000</v>
      </c>
      <c r="E28" s="51">
        <f>+E17</f>
        <v>71016000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526740000</v>
      </c>
      <c r="D31" s="51">
        <v>580733000</v>
      </c>
      <c r="E31" s="52">
        <v>615732000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599967000</v>
      </c>
      <c r="D32" s="51">
        <v>655514000</v>
      </c>
      <c r="E32" s="51">
        <v>685202000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-32779000</v>
      </c>
      <c r="D33" s="51">
        <f>+D32-C32</f>
        <v>55547000</v>
      </c>
      <c r="E33" s="51">
        <f>+E32-D32</f>
        <v>29688000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0.94810000000000005</v>
      </c>
      <c r="D34" s="171">
        <f>IF(C32=0,0,+D33/C32)</f>
        <v>9.2583425421731522E-2</v>
      </c>
      <c r="E34" s="171">
        <f>IF(D32=0,0,+E33/D32)</f>
        <v>4.5289650564290004E-2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3.2882262567215634</v>
      </c>
      <c r="D38" s="269">
        <f>IF(+D40=0,0,+D39/+D40)</f>
        <v>2.709918454637132</v>
      </c>
      <c r="E38" s="269">
        <f>IF(+E40=0,0,+E39/+E40)</f>
        <v>3.0315633706174614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702010000</v>
      </c>
      <c r="D39" s="270">
        <v>623433000</v>
      </c>
      <c r="E39" s="270">
        <v>733414000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213492000</v>
      </c>
      <c r="D40" s="270">
        <v>230056000</v>
      </c>
      <c r="E40" s="270">
        <v>241926000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161.59835900581004</v>
      </c>
      <c r="D42" s="271">
        <f>IF((D48/365)=0,0,+D45/(D48/365))</f>
        <v>118.13711081193972</v>
      </c>
      <c r="E42" s="271">
        <f>IF((E48/365)=0,0,+E45/(E48/365))</f>
        <v>125.71186299835614</v>
      </c>
    </row>
    <row r="43" spans="1:14" ht="24" customHeight="1" x14ac:dyDescent="0.2">
      <c r="A43" s="17">
        <v>5</v>
      </c>
      <c r="B43" s="188" t="s">
        <v>16</v>
      </c>
      <c r="C43" s="272">
        <v>60217000</v>
      </c>
      <c r="D43" s="272">
        <v>74032000</v>
      </c>
      <c r="E43" s="272">
        <v>74087000</v>
      </c>
    </row>
    <row r="44" spans="1:14" ht="24" customHeight="1" x14ac:dyDescent="0.2">
      <c r="A44" s="17">
        <v>6</v>
      </c>
      <c r="B44" s="273" t="s">
        <v>17</v>
      </c>
      <c r="C44" s="274">
        <v>456660000</v>
      </c>
      <c r="D44" s="274">
        <v>342847000</v>
      </c>
      <c r="E44" s="274">
        <v>402559000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516877000</v>
      </c>
      <c r="D45" s="270">
        <f>+D43+D44</f>
        <v>416879000</v>
      </c>
      <c r="E45" s="270">
        <f>+E43+E44</f>
        <v>476646000</v>
      </c>
    </row>
    <row r="46" spans="1:14" ht="24" customHeight="1" x14ac:dyDescent="0.2">
      <c r="A46" s="17">
        <v>8</v>
      </c>
      <c r="B46" s="45" t="s">
        <v>324</v>
      </c>
      <c r="C46" s="270">
        <f>+C14</f>
        <v>1211988000</v>
      </c>
      <c r="D46" s="270">
        <f>+D14</f>
        <v>1341219000</v>
      </c>
      <c r="E46" s="270">
        <f>+E14</f>
        <v>1453315000</v>
      </c>
    </row>
    <row r="47" spans="1:14" ht="24" customHeight="1" x14ac:dyDescent="0.2">
      <c r="A47" s="17">
        <v>9</v>
      </c>
      <c r="B47" s="45" t="s">
        <v>347</v>
      </c>
      <c r="C47" s="270">
        <v>44525000</v>
      </c>
      <c r="D47" s="270">
        <v>53217000</v>
      </c>
      <c r="E47" s="270">
        <v>69390000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1167463000</v>
      </c>
      <c r="D48" s="270">
        <f>+D46-D47</f>
        <v>1288002000</v>
      </c>
      <c r="E48" s="270">
        <f>+E46-E47</f>
        <v>1383925000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37.832394623119548</v>
      </c>
      <c r="D50" s="278">
        <f>IF((D55/365)=0,0,+D54/(D55/365))</f>
        <v>37.113287653772957</v>
      </c>
      <c r="E50" s="278">
        <f>IF((E55/365)=0,0,+E54/(E55/365))</f>
        <v>42.295458182151393</v>
      </c>
    </row>
    <row r="51" spans="1:5" ht="24" customHeight="1" x14ac:dyDescent="0.2">
      <c r="A51" s="17">
        <v>12</v>
      </c>
      <c r="B51" s="188" t="s">
        <v>350</v>
      </c>
      <c r="C51" s="279">
        <v>128416000</v>
      </c>
      <c r="D51" s="279">
        <v>138810000</v>
      </c>
      <c r="E51" s="279">
        <v>169456000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128416000</v>
      </c>
      <c r="D54" s="280">
        <f>+D51+D52-D53</f>
        <v>138810000</v>
      </c>
      <c r="E54" s="280">
        <f>+E51+E52-E53</f>
        <v>169456000</v>
      </c>
    </row>
    <row r="55" spans="1:5" ht="24" customHeight="1" x14ac:dyDescent="0.2">
      <c r="A55" s="17">
        <v>16</v>
      </c>
      <c r="B55" s="45" t="s">
        <v>75</v>
      </c>
      <c r="C55" s="270">
        <f>+C11</f>
        <v>1238934000</v>
      </c>
      <c r="D55" s="270">
        <f>+D11</f>
        <v>1365162000</v>
      </c>
      <c r="E55" s="270">
        <f>+E11</f>
        <v>1462366000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66.746937590313351</v>
      </c>
      <c r="D57" s="283">
        <f>IF((D61/365)=0,0,+D58/(D61/365))</f>
        <v>65.19433976034199</v>
      </c>
      <c r="E57" s="283">
        <f>IF((E61/365)=0,0,+E58/(E61/365))</f>
        <v>63.806196145022312</v>
      </c>
    </row>
    <row r="58" spans="1:5" ht="24" customHeight="1" x14ac:dyDescent="0.2">
      <c r="A58" s="17">
        <v>18</v>
      </c>
      <c r="B58" s="45" t="s">
        <v>54</v>
      </c>
      <c r="C58" s="281">
        <f>+C40</f>
        <v>213492000</v>
      </c>
      <c r="D58" s="281">
        <f>+D40</f>
        <v>230056000</v>
      </c>
      <c r="E58" s="281">
        <f>+E40</f>
        <v>241926000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1211988000</v>
      </c>
      <c r="D59" s="281">
        <f t="shared" si="0"/>
        <v>1341219000</v>
      </c>
      <c r="E59" s="281">
        <f t="shared" si="0"/>
        <v>1453315000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44525000</v>
      </c>
      <c r="D60" s="176">
        <f t="shared" si="0"/>
        <v>53217000</v>
      </c>
      <c r="E60" s="176">
        <f t="shared" si="0"/>
        <v>69390000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1167463000</v>
      </c>
      <c r="D61" s="281">
        <f>+D59-D60</f>
        <v>1288002000</v>
      </c>
      <c r="E61" s="281">
        <f>+E59-E60</f>
        <v>1383925000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37.483834207379473</v>
      </c>
      <c r="D65" s="284">
        <f>IF(D67=0,0,(D66/D67)*100)</f>
        <v>36.597177248263698</v>
      </c>
      <c r="E65" s="284">
        <f>IF(E67=0,0,(E66/E67)*100)</f>
        <v>33.934095147913993</v>
      </c>
    </row>
    <row r="66" spans="1:5" ht="24" customHeight="1" x14ac:dyDescent="0.2">
      <c r="A66" s="17">
        <v>2</v>
      </c>
      <c r="B66" s="45" t="s">
        <v>67</v>
      </c>
      <c r="C66" s="281">
        <f>+C32</f>
        <v>599967000</v>
      </c>
      <c r="D66" s="281">
        <f>+D32</f>
        <v>655514000</v>
      </c>
      <c r="E66" s="281">
        <f>+E32</f>
        <v>685202000</v>
      </c>
    </row>
    <row r="67" spans="1:5" ht="24" customHeight="1" x14ac:dyDescent="0.2">
      <c r="A67" s="17">
        <v>3</v>
      </c>
      <c r="B67" s="45" t="s">
        <v>43</v>
      </c>
      <c r="C67" s="281">
        <v>1600602000</v>
      </c>
      <c r="D67" s="281">
        <v>1791160000</v>
      </c>
      <c r="E67" s="281">
        <v>2019214000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15.997318125113727</v>
      </c>
      <c r="D69" s="284">
        <f>IF(D75=0,0,(D72/D75)*100)</f>
        <v>19.294393813863572</v>
      </c>
      <c r="E69" s="284">
        <f>IF(E75=0,0,(E72/E75)*100)</f>
        <v>16.254024261914768</v>
      </c>
    </row>
    <row r="70" spans="1:5" ht="24" customHeight="1" x14ac:dyDescent="0.2">
      <c r="A70" s="17">
        <v>5</v>
      </c>
      <c r="B70" s="45" t="s">
        <v>358</v>
      </c>
      <c r="C70" s="281">
        <f>+C28</f>
        <v>53062000</v>
      </c>
      <c r="D70" s="281">
        <f>+D28</f>
        <v>86513000</v>
      </c>
      <c r="E70" s="281">
        <f>+E28</f>
        <v>71016000</v>
      </c>
    </row>
    <row r="71" spans="1:5" ht="24" customHeight="1" x14ac:dyDescent="0.2">
      <c r="A71" s="17">
        <v>6</v>
      </c>
      <c r="B71" s="45" t="s">
        <v>347</v>
      </c>
      <c r="C71" s="176">
        <f>+C47</f>
        <v>44525000</v>
      </c>
      <c r="D71" s="176">
        <f>+D47</f>
        <v>53217000</v>
      </c>
      <c r="E71" s="176">
        <f>+E47</f>
        <v>69390000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97587000</v>
      </c>
      <c r="D72" s="281">
        <f>+D70+D71</f>
        <v>139730000</v>
      </c>
      <c r="E72" s="281">
        <f>+E70+E71</f>
        <v>140406000</v>
      </c>
    </row>
    <row r="73" spans="1:5" ht="24" customHeight="1" x14ac:dyDescent="0.2">
      <c r="A73" s="17">
        <v>8</v>
      </c>
      <c r="B73" s="45" t="s">
        <v>54</v>
      </c>
      <c r="C73" s="270">
        <f>+C40</f>
        <v>213492000</v>
      </c>
      <c r="D73" s="270">
        <f>+D40</f>
        <v>230056000</v>
      </c>
      <c r="E73" s="270">
        <f>+E40</f>
        <v>241926000</v>
      </c>
    </row>
    <row r="74" spans="1:5" ht="24" customHeight="1" x14ac:dyDescent="0.2">
      <c r="A74" s="17">
        <v>9</v>
      </c>
      <c r="B74" s="45" t="s">
        <v>58</v>
      </c>
      <c r="C74" s="281">
        <v>396529000</v>
      </c>
      <c r="D74" s="281">
        <v>494144000</v>
      </c>
      <c r="E74" s="281">
        <v>621897000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610021000</v>
      </c>
      <c r="D75" s="270">
        <f>+D73+D74</f>
        <v>724200000</v>
      </c>
      <c r="E75" s="270">
        <f>+E73+E74</f>
        <v>863823000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39.792332332493061</v>
      </c>
      <c r="D77" s="286">
        <f>IF(D80=0,0,(D78/D80)*100)</f>
        <v>42.981825899528381</v>
      </c>
      <c r="E77" s="286">
        <f>IF(E80=0,0,(E78/E80)*100)</f>
        <v>47.57841601898555</v>
      </c>
    </row>
    <row r="78" spans="1:5" ht="24" customHeight="1" x14ac:dyDescent="0.2">
      <c r="A78" s="17">
        <v>12</v>
      </c>
      <c r="B78" s="45" t="s">
        <v>58</v>
      </c>
      <c r="C78" s="270">
        <f>+C74</f>
        <v>396529000</v>
      </c>
      <c r="D78" s="270">
        <f>+D74</f>
        <v>494144000</v>
      </c>
      <c r="E78" s="270">
        <f>+E74</f>
        <v>621897000</v>
      </c>
    </row>
    <row r="79" spans="1:5" ht="24" customHeight="1" x14ac:dyDescent="0.2">
      <c r="A79" s="17">
        <v>13</v>
      </c>
      <c r="B79" s="45" t="s">
        <v>67</v>
      </c>
      <c r="C79" s="270">
        <f>+C32</f>
        <v>599967000</v>
      </c>
      <c r="D79" s="270">
        <f>+D32</f>
        <v>655514000</v>
      </c>
      <c r="E79" s="270">
        <f>+E32</f>
        <v>685202000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996496000</v>
      </c>
      <c r="D80" s="270">
        <f>+D78+D79</f>
        <v>1149658000</v>
      </c>
      <c r="E80" s="270">
        <f>+E78+E79</f>
        <v>1307099000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FILING&amp;R&amp;8YNH NETWORK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177270</v>
      </c>
      <c r="D11" s="296">
        <v>38903</v>
      </c>
      <c r="E11" s="296">
        <v>38188</v>
      </c>
      <c r="F11" s="297">
        <v>486</v>
      </c>
      <c r="G11" s="297">
        <v>494</v>
      </c>
      <c r="H11" s="298">
        <f>IF(F11=0,0,$C11/(F11*365))</f>
        <v>0.99932352443767969</v>
      </c>
      <c r="I11" s="298">
        <f>IF(G11=0,0,$C11/(G11*365))</f>
        <v>0.98314014752370915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30619</v>
      </c>
      <c r="D13" s="296">
        <v>6731</v>
      </c>
      <c r="E13" s="296">
        <v>0</v>
      </c>
      <c r="F13" s="297">
        <v>84</v>
      </c>
      <c r="G13" s="297">
        <v>125</v>
      </c>
      <c r="H13" s="298">
        <f>IF(F13=0,0,$C13/(F13*365))</f>
        <v>0.99866275277234184</v>
      </c>
      <c r="I13" s="298">
        <f>IF(G13=0,0,$C13/(G13*365))</f>
        <v>0.67110136986301372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4284</v>
      </c>
      <c r="D15" s="296">
        <v>306</v>
      </c>
      <c r="E15" s="296">
        <v>288</v>
      </c>
      <c r="F15" s="297">
        <v>12</v>
      </c>
      <c r="G15" s="297">
        <v>15</v>
      </c>
      <c r="H15" s="298">
        <f t="shared" ref="H15:I17" si="0">IF(F15=0,0,$C15/(F15*365))</f>
        <v>0.9780821917808219</v>
      </c>
      <c r="I15" s="298">
        <f t="shared" si="0"/>
        <v>0.78246575342465752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26515</v>
      </c>
      <c r="D16" s="296">
        <v>2668</v>
      </c>
      <c r="E16" s="296">
        <v>2569</v>
      </c>
      <c r="F16" s="297">
        <v>73</v>
      </c>
      <c r="G16" s="297">
        <v>73</v>
      </c>
      <c r="H16" s="298">
        <f t="shared" si="0"/>
        <v>0.99512103584162137</v>
      </c>
      <c r="I16" s="298">
        <f t="shared" si="0"/>
        <v>0.99512103584162137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30799</v>
      </c>
      <c r="D17" s="300">
        <f>SUM(D15:D16)</f>
        <v>2974</v>
      </c>
      <c r="E17" s="300">
        <f>SUM(E15:E16)</f>
        <v>2857</v>
      </c>
      <c r="F17" s="300">
        <f>SUM(F15:F16)</f>
        <v>85</v>
      </c>
      <c r="G17" s="300">
        <f>SUM(G15:G16)</f>
        <v>88</v>
      </c>
      <c r="H17" s="301">
        <f t="shared" si="0"/>
        <v>0.99271555197421435</v>
      </c>
      <c r="I17" s="301">
        <f t="shared" si="0"/>
        <v>0.95887297633872981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16036</v>
      </c>
      <c r="D21" s="296">
        <v>4969</v>
      </c>
      <c r="E21" s="296">
        <v>3644</v>
      </c>
      <c r="F21" s="297">
        <v>44</v>
      </c>
      <c r="G21" s="297">
        <v>55</v>
      </c>
      <c r="H21" s="298">
        <f>IF(F21=0,0,$C21/(F21*365))</f>
        <v>0.99850560398505606</v>
      </c>
      <c r="I21" s="298">
        <f>IF(G21=0,0,$C21/(G21*365))</f>
        <v>0.79880448318804487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9527</v>
      </c>
      <c r="D23" s="296">
        <v>4419</v>
      </c>
      <c r="E23" s="296">
        <v>3695</v>
      </c>
      <c r="F23" s="297">
        <v>27</v>
      </c>
      <c r="G23" s="297">
        <v>40</v>
      </c>
      <c r="H23" s="298">
        <f>IF(F23=0,0,$C23/(F23*365))</f>
        <v>0.96671740233384074</v>
      </c>
      <c r="I23" s="298">
        <f>IF(G23=0,0,$C23/(G23*365))</f>
        <v>0.65253424657534242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17049</v>
      </c>
      <c r="D25" s="296">
        <v>917</v>
      </c>
      <c r="E25" s="296">
        <v>0</v>
      </c>
      <c r="F25" s="297">
        <v>47</v>
      </c>
      <c r="G25" s="297">
        <v>52</v>
      </c>
      <c r="H25" s="298">
        <f>IF(F25=0,0,$C25/(F25*365))</f>
        <v>0.99382104342757216</v>
      </c>
      <c r="I25" s="298">
        <f>IF(G25=0,0,$C25/(G25*365))</f>
        <v>0.89826132771338252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19689</v>
      </c>
      <c r="D27" s="296">
        <v>5269</v>
      </c>
      <c r="E27" s="296">
        <v>2461</v>
      </c>
      <c r="F27" s="297">
        <v>54</v>
      </c>
      <c r="G27" s="297">
        <v>64</v>
      </c>
      <c r="H27" s="298">
        <f>IF(F27=0,0,$C27/(F27*365))</f>
        <v>0.99893455098934547</v>
      </c>
      <c r="I27" s="298">
        <f>IF(G27=0,0,$C27/(G27*365))</f>
        <v>0.84285102739726026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291462</v>
      </c>
      <c r="D31" s="300">
        <f>SUM(D10:D29)-D13-D17-D23</f>
        <v>53032</v>
      </c>
      <c r="E31" s="300">
        <f>SUM(E10:E29)-E17-E23</f>
        <v>47150</v>
      </c>
      <c r="F31" s="300">
        <f>SUM(F10:F29)-F17-F23</f>
        <v>800</v>
      </c>
      <c r="G31" s="300">
        <f>SUM(G10:G29)-G17-G23</f>
        <v>878</v>
      </c>
      <c r="H31" s="301">
        <f>IF(F31=0,0,$C31/(F31*365))</f>
        <v>0.99815753424657538</v>
      </c>
      <c r="I31" s="301">
        <f>IF(G31=0,0,$C31/(G31*365))</f>
        <v>0.90948294692170872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300989</v>
      </c>
      <c r="D33" s="300">
        <f>SUM(D10:D29)-D13-D17</f>
        <v>57451</v>
      </c>
      <c r="E33" s="300">
        <f>SUM(E10:E29)-E17</f>
        <v>50845</v>
      </c>
      <c r="F33" s="300">
        <f>SUM(F10:F29)-F17</f>
        <v>827</v>
      </c>
      <c r="G33" s="300">
        <f>SUM(G10:G29)-G17</f>
        <v>918</v>
      </c>
      <c r="H33" s="301">
        <f>IF(F33=0,0,$C33/(F33*365))</f>
        <v>0.99713107286611125</v>
      </c>
      <c r="I33" s="301">
        <f>IF(G33=0,0,$C33/(G33*365))</f>
        <v>0.8982869251201242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300989</v>
      </c>
      <c r="D36" s="300">
        <f t="shared" si="1"/>
        <v>57451</v>
      </c>
      <c r="E36" s="300">
        <f t="shared" si="1"/>
        <v>50845</v>
      </c>
      <c r="F36" s="300">
        <f t="shared" si="1"/>
        <v>827</v>
      </c>
      <c r="G36" s="300">
        <f t="shared" si="1"/>
        <v>918</v>
      </c>
      <c r="H36" s="301">
        <f t="shared" si="1"/>
        <v>0.99713107286611125</v>
      </c>
      <c r="I36" s="301">
        <f t="shared" si="1"/>
        <v>0.8982869251201242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284705</v>
      </c>
      <c r="D37" s="300">
        <v>0</v>
      </c>
      <c r="E37" s="300">
        <v>0</v>
      </c>
      <c r="F37" s="302">
        <v>871</v>
      </c>
      <c r="G37" s="302">
        <v>919</v>
      </c>
      <c r="H37" s="301">
        <f>IF(F37=0,0,$C37/(F37*365))</f>
        <v>0.8955381155340264</v>
      </c>
      <c r="I37" s="301">
        <f>IF(G37=0,0,$C37/(G37*365))</f>
        <v>0.84876354584345703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16284</v>
      </c>
      <c r="D38" s="300">
        <f t="shared" si="2"/>
        <v>57451</v>
      </c>
      <c r="E38" s="300">
        <f t="shared" si="2"/>
        <v>50845</v>
      </c>
      <c r="F38" s="300">
        <f t="shared" si="2"/>
        <v>-44</v>
      </c>
      <c r="G38" s="300">
        <f t="shared" si="2"/>
        <v>-1</v>
      </c>
      <c r="H38" s="301">
        <f t="shared" si="2"/>
        <v>0.10159295733208484</v>
      </c>
      <c r="I38" s="301">
        <f t="shared" si="2"/>
        <v>4.9523379276667168E-2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5.7196045029065175E-2</v>
      </c>
      <c r="D40" s="148">
        <f t="shared" si="3"/>
        <v>0</v>
      </c>
      <c r="E40" s="148">
        <f t="shared" si="3"/>
        <v>0</v>
      </c>
      <c r="F40" s="148">
        <f t="shared" si="3"/>
        <v>-5.0516647531572902E-2</v>
      </c>
      <c r="G40" s="148">
        <f t="shared" si="3"/>
        <v>-1.088139281828074E-3</v>
      </c>
      <c r="H40" s="148">
        <f t="shared" si="3"/>
        <v>0.11344347668720167</v>
      </c>
      <c r="I40" s="148">
        <f t="shared" si="3"/>
        <v>5.8347674707746093E-2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944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FILING&amp;RYALE-NEW HAVEN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36398</v>
      </c>
      <c r="D12" s="296">
        <v>36194</v>
      </c>
      <c r="E12" s="296">
        <f>+D12-C12</f>
        <v>-204</v>
      </c>
      <c r="F12" s="316">
        <f>IF(C12=0,0,+E12/C12)</f>
        <v>-5.6047035551403919E-3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39332</v>
      </c>
      <c r="D13" s="296">
        <v>37368</v>
      </c>
      <c r="E13" s="296">
        <f>+D13-C13</f>
        <v>-1964</v>
      </c>
      <c r="F13" s="316">
        <f>IF(C13=0,0,+E13/C13)</f>
        <v>-4.9933896064273363E-2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16065</v>
      </c>
      <c r="D14" s="296">
        <v>15263</v>
      </c>
      <c r="E14" s="296">
        <f>+D14-C14</f>
        <v>-802</v>
      </c>
      <c r="F14" s="316">
        <f>IF(C14=0,0,+E14/C14)</f>
        <v>-4.9922191098661688E-2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91795</v>
      </c>
      <c r="D16" s="300">
        <f>SUM(D12:D15)</f>
        <v>88825</v>
      </c>
      <c r="E16" s="300">
        <f>+D16-C16</f>
        <v>-2970</v>
      </c>
      <c r="F16" s="309">
        <f>IF(C16=0,0,+E16/C16)</f>
        <v>-3.2354703415218691E-2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7535</v>
      </c>
      <c r="D19" s="296">
        <v>8468</v>
      </c>
      <c r="E19" s="296">
        <f>+D19-C19</f>
        <v>933</v>
      </c>
      <c r="F19" s="316">
        <f>IF(C19=0,0,+E19/C19)</f>
        <v>0.12382216323822164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24535</v>
      </c>
      <c r="D20" s="296">
        <v>24491</v>
      </c>
      <c r="E20" s="296">
        <f>+D20-C20</f>
        <v>-44</v>
      </c>
      <c r="F20" s="316">
        <f>IF(C20=0,0,+E20/C20)</f>
        <v>-1.7933564295903811E-3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9948</v>
      </c>
      <c r="D21" s="296">
        <v>10004</v>
      </c>
      <c r="E21" s="296">
        <f>+D21-C21</f>
        <v>56</v>
      </c>
      <c r="F21" s="316">
        <f>IF(C21=0,0,+E21/C21)</f>
        <v>5.6292722155207075E-3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42018</v>
      </c>
      <c r="D23" s="300">
        <f>SUM(D19:D22)</f>
        <v>42963</v>
      </c>
      <c r="E23" s="300">
        <f>+D23-C23</f>
        <v>945</v>
      </c>
      <c r="F23" s="309">
        <f>IF(C23=0,0,+E23/C23)</f>
        <v>2.2490361273739826E-2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356</v>
      </c>
      <c r="D26" s="296">
        <v>466</v>
      </c>
      <c r="E26" s="296">
        <f>+D26-C26</f>
        <v>110</v>
      </c>
      <c r="F26" s="316">
        <f>IF(C26=0,0,+E26/C26)</f>
        <v>0.3089887640449438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1819</v>
      </c>
      <c r="D27" s="296">
        <v>1828</v>
      </c>
      <c r="E27" s="296">
        <f>+D27-C27</f>
        <v>9</v>
      </c>
      <c r="F27" s="316">
        <f>IF(C27=0,0,+E27/C27)</f>
        <v>4.9477735019241341E-3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743</v>
      </c>
      <c r="D28" s="296">
        <v>746</v>
      </c>
      <c r="E28" s="296">
        <f>+D28-C28</f>
        <v>3</v>
      </c>
      <c r="F28" s="316">
        <f>IF(C28=0,0,+E28/C28)</f>
        <v>4.0376850605652759E-3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2918</v>
      </c>
      <c r="D30" s="300">
        <f>SUM(D26:D29)</f>
        <v>3040</v>
      </c>
      <c r="E30" s="300">
        <f>+D30-C30</f>
        <v>122</v>
      </c>
      <c r="F30" s="309">
        <f>IF(C30=0,0,+E30/C30)</f>
        <v>4.1809458533241944E-2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192</v>
      </c>
      <c r="D33" s="296">
        <v>199</v>
      </c>
      <c r="E33" s="296">
        <f>+D33-C33</f>
        <v>7</v>
      </c>
      <c r="F33" s="316">
        <f>IF(C33=0,0,+E33/C33)</f>
        <v>3.6458333333333336E-2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1321</v>
      </c>
      <c r="D34" s="296">
        <v>1407</v>
      </c>
      <c r="E34" s="296">
        <f>+D34-C34</f>
        <v>86</v>
      </c>
      <c r="F34" s="316">
        <f>IF(C34=0,0,+E34/C34)</f>
        <v>6.5102195306585925E-2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539</v>
      </c>
      <c r="D35" s="296">
        <v>574</v>
      </c>
      <c r="E35" s="296">
        <f>+D35-C35</f>
        <v>35</v>
      </c>
      <c r="F35" s="316">
        <f>IF(C35=0,0,+E35/C35)</f>
        <v>6.4935064935064929E-2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2052</v>
      </c>
      <c r="D37" s="300">
        <f>SUM(D33:D36)</f>
        <v>2180</v>
      </c>
      <c r="E37" s="300">
        <f>+D37-C37</f>
        <v>128</v>
      </c>
      <c r="F37" s="309">
        <f>IF(C37=0,0,+E37/C37)</f>
        <v>6.2378167641325533E-2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1257</v>
      </c>
      <c r="D43" s="296">
        <v>1369</v>
      </c>
      <c r="E43" s="296">
        <f>+D43-C43</f>
        <v>112</v>
      </c>
      <c r="F43" s="316">
        <f>IF(C43=0,0,+E43/C43)</f>
        <v>8.9101034208432781E-2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25702</v>
      </c>
      <c r="D44" s="296">
        <v>27038</v>
      </c>
      <c r="E44" s="296">
        <f>+D44-C44</f>
        <v>1336</v>
      </c>
      <c r="F44" s="316">
        <f>IF(C44=0,0,+E44/C44)</f>
        <v>5.1980390631079294E-2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26959</v>
      </c>
      <c r="D45" s="300">
        <f>SUM(D43:D44)</f>
        <v>28407</v>
      </c>
      <c r="E45" s="300">
        <f>+D45-C45</f>
        <v>1448</v>
      </c>
      <c r="F45" s="309">
        <f>IF(C45=0,0,+E45/C45)</f>
        <v>5.3711191067917947E-2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3173</v>
      </c>
      <c r="D48" s="296">
        <v>3397</v>
      </c>
      <c r="E48" s="296">
        <f>+D48-C48</f>
        <v>224</v>
      </c>
      <c r="F48" s="316">
        <f>IF(C48=0,0,+E48/C48)</f>
        <v>7.0595650803655846E-2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1242</v>
      </c>
      <c r="D49" s="296">
        <v>631</v>
      </c>
      <c r="E49" s="296">
        <f>+D49-C49</f>
        <v>-611</v>
      </c>
      <c r="F49" s="316">
        <f>IF(C49=0,0,+E49/C49)</f>
        <v>-0.49194847020933979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4415</v>
      </c>
      <c r="D50" s="300">
        <f>SUM(D48:D49)</f>
        <v>4028</v>
      </c>
      <c r="E50" s="300">
        <f>+D50-C50</f>
        <v>-387</v>
      </c>
      <c r="F50" s="309">
        <f>IF(C50=0,0,+E50/C50)</f>
        <v>-8.7655719139297844E-2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10</v>
      </c>
      <c r="D53" s="296">
        <v>158</v>
      </c>
      <c r="E53" s="296">
        <f>+D53-C53</f>
        <v>148</v>
      </c>
      <c r="F53" s="316">
        <f>IF(C53=0,0,+E53/C53)</f>
        <v>14.8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1347</v>
      </c>
      <c r="D54" s="296">
        <v>1305</v>
      </c>
      <c r="E54" s="296">
        <f>+D54-C54</f>
        <v>-42</v>
      </c>
      <c r="F54" s="316">
        <f>IF(C54=0,0,+E54/C54)</f>
        <v>-3.1180400890868598E-2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1357</v>
      </c>
      <c r="D55" s="300">
        <f>SUM(D53:D54)</f>
        <v>1463</v>
      </c>
      <c r="E55" s="300">
        <f>+D55-C55</f>
        <v>106</v>
      </c>
      <c r="F55" s="309">
        <f>IF(C55=0,0,+E55/C55)</f>
        <v>7.8113485630066329E-2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689</v>
      </c>
      <c r="D58" s="296">
        <v>1377</v>
      </c>
      <c r="E58" s="296">
        <f>+D58-C58</f>
        <v>688</v>
      </c>
      <c r="F58" s="316">
        <f>IF(C58=0,0,+E58/C58)</f>
        <v>0.99854862119013066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104</v>
      </c>
      <c r="D59" s="296">
        <v>198</v>
      </c>
      <c r="E59" s="296">
        <f>+D59-C59</f>
        <v>94</v>
      </c>
      <c r="F59" s="316">
        <f>IF(C59=0,0,+E59/C59)</f>
        <v>0.90384615384615385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793</v>
      </c>
      <c r="D60" s="300">
        <f>SUM(D58:D59)</f>
        <v>1575</v>
      </c>
      <c r="E60" s="300">
        <f>SUM(E58:E59)</f>
        <v>782</v>
      </c>
      <c r="F60" s="309">
        <f>IF(C60=0,0,+E60/C60)</f>
        <v>0.98612862547288782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15239</v>
      </c>
      <c r="D63" s="296">
        <v>15564</v>
      </c>
      <c r="E63" s="296">
        <f>+D63-C63</f>
        <v>325</v>
      </c>
      <c r="F63" s="316">
        <f>IF(C63=0,0,+E63/C63)</f>
        <v>2.1326858717763634E-2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21676</v>
      </c>
      <c r="D64" s="296">
        <v>21474</v>
      </c>
      <c r="E64" s="296">
        <f>+D64-C64</f>
        <v>-202</v>
      </c>
      <c r="F64" s="316">
        <f>IF(C64=0,0,+E64/C64)</f>
        <v>-9.3190625576674655E-3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36915</v>
      </c>
      <c r="D65" s="300">
        <f>SUM(D63:D64)</f>
        <v>37038</v>
      </c>
      <c r="E65" s="300">
        <f>+D65-C65</f>
        <v>123</v>
      </c>
      <c r="F65" s="309">
        <f>IF(C65=0,0,+E65/C65)</f>
        <v>3.331978870377895E-3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212</v>
      </c>
      <c r="D68" s="296">
        <v>222</v>
      </c>
      <c r="E68" s="296">
        <f>+D68-C68</f>
        <v>10</v>
      </c>
      <c r="F68" s="316">
        <f>IF(C68=0,0,+E68/C68)</f>
        <v>4.716981132075472E-2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11433</v>
      </c>
      <c r="D69" s="296">
        <v>10739</v>
      </c>
      <c r="E69" s="296">
        <f>+D69-C69</f>
        <v>-694</v>
      </c>
      <c r="F69" s="318">
        <f>IF(C69=0,0,+E69/C69)</f>
        <v>-6.0701478177206329E-2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11645</v>
      </c>
      <c r="D70" s="300">
        <f>SUM(D68:D69)</f>
        <v>10961</v>
      </c>
      <c r="E70" s="300">
        <f>+D70-C70</f>
        <v>-684</v>
      </c>
      <c r="F70" s="309">
        <f>IF(C70=0,0,+E70/C70)</f>
        <v>-5.8737655646200086E-2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28571</v>
      </c>
      <c r="D73" s="319">
        <v>28351</v>
      </c>
      <c r="E73" s="296">
        <f>+D73-C73</f>
        <v>-220</v>
      </c>
      <c r="F73" s="316">
        <f>IF(C73=0,0,+E73/C73)</f>
        <v>-7.7001155017325257E-3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93579</v>
      </c>
      <c r="D74" s="319">
        <v>92128</v>
      </c>
      <c r="E74" s="296">
        <f>+D74-C74</f>
        <v>-1451</v>
      </c>
      <c r="F74" s="316">
        <f>IF(C74=0,0,+E74/C74)</f>
        <v>-1.5505615576144221E-2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122150</v>
      </c>
      <c r="D75" s="300">
        <f>SUM(D73:D74)</f>
        <v>120479</v>
      </c>
      <c r="E75" s="300">
        <f>SUM(E73:E74)</f>
        <v>-1671</v>
      </c>
      <c r="F75" s="309">
        <f>IF(C75=0,0,+E75/C75)</f>
        <v>-1.3679901760130987E-2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1417</v>
      </c>
      <c r="D81" s="319">
        <v>1357</v>
      </c>
      <c r="E81" s="296">
        <f t="shared" si="0"/>
        <v>-60</v>
      </c>
      <c r="F81" s="316">
        <f t="shared" si="1"/>
        <v>-4.2342978122794639E-2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120453</v>
      </c>
      <c r="D83" s="319">
        <v>130653</v>
      </c>
      <c r="E83" s="296">
        <f t="shared" si="0"/>
        <v>10200</v>
      </c>
      <c r="F83" s="316">
        <f t="shared" si="1"/>
        <v>8.4680331747652618E-2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121870</v>
      </c>
      <c r="D84" s="320">
        <f>SUM(D79:D83)</f>
        <v>132010</v>
      </c>
      <c r="E84" s="300">
        <f t="shared" si="0"/>
        <v>10140</v>
      </c>
      <c r="F84" s="309">
        <f t="shared" si="1"/>
        <v>8.3203413473373261E-2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0</v>
      </c>
      <c r="D87" s="322">
        <v>0</v>
      </c>
      <c r="E87" s="323">
        <f t="shared" ref="E87:E92" si="2">+D87-C87</f>
        <v>0</v>
      </c>
      <c r="F87" s="318">
        <f t="shared" ref="F87:F92" si="3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0</v>
      </c>
      <c r="D88" s="322">
        <v>0</v>
      </c>
      <c r="E88" s="296">
        <f t="shared" si="2"/>
        <v>0</v>
      </c>
      <c r="F88" s="316">
        <f t="shared" si="3"/>
        <v>0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28217</v>
      </c>
      <c r="D89" s="322">
        <v>30194</v>
      </c>
      <c r="E89" s="296">
        <f t="shared" si="2"/>
        <v>1977</v>
      </c>
      <c r="F89" s="316">
        <f t="shared" si="3"/>
        <v>7.0064145727752769E-2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15540</v>
      </c>
      <c r="D90" s="322">
        <v>15450</v>
      </c>
      <c r="E90" s="296">
        <f t="shared" si="2"/>
        <v>-90</v>
      </c>
      <c r="F90" s="316">
        <f t="shared" si="3"/>
        <v>-5.7915057915057912E-3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556388</v>
      </c>
      <c r="D91" s="322">
        <v>589151</v>
      </c>
      <c r="E91" s="296">
        <f t="shared" si="2"/>
        <v>32763</v>
      </c>
      <c r="F91" s="316">
        <f t="shared" si="3"/>
        <v>5.8885166466566496E-2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600145</v>
      </c>
      <c r="D92" s="320">
        <f>SUM(D87:D91)</f>
        <v>634795</v>
      </c>
      <c r="E92" s="300">
        <f t="shared" si="2"/>
        <v>34650</v>
      </c>
      <c r="F92" s="309">
        <f t="shared" si="3"/>
        <v>5.7736047121945529E-2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2371.6999999999998</v>
      </c>
      <c r="D96" s="325">
        <v>2746.5</v>
      </c>
      <c r="E96" s="326">
        <f>+D96-C96</f>
        <v>374.80000000000018</v>
      </c>
      <c r="F96" s="316">
        <f>IF(C96=0,0,+E96/C96)</f>
        <v>0.15803010498798339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738.4</v>
      </c>
      <c r="D97" s="325">
        <v>751.8</v>
      </c>
      <c r="E97" s="326">
        <f>+D97-C97</f>
        <v>13.399999999999977</v>
      </c>
      <c r="F97" s="316">
        <f>IF(C97=0,0,+E97/C97)</f>
        <v>1.8147345612134314E-2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3968.7</v>
      </c>
      <c r="D98" s="325">
        <v>4112.8</v>
      </c>
      <c r="E98" s="326">
        <f>+D98-C98</f>
        <v>144.10000000000036</v>
      </c>
      <c r="F98" s="316">
        <f>IF(C98=0,0,+E98/C98)</f>
        <v>3.630911885504079E-2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7078.7999999999993</v>
      </c>
      <c r="D99" s="327">
        <f>SUM(D96:D98)</f>
        <v>7611.1</v>
      </c>
      <c r="E99" s="327">
        <f>+D99-C99</f>
        <v>532.30000000000109</v>
      </c>
      <c r="F99" s="309">
        <f>IF(C99=0,0,+E99/C99)</f>
        <v>7.5196360965135489E-2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FILING&amp;RYALE-NEW HAVEN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2955</v>
      </c>
      <c r="D12" s="296">
        <v>6398</v>
      </c>
      <c r="E12" s="296">
        <f>+D12-C12</f>
        <v>3443</v>
      </c>
      <c r="F12" s="316">
        <f>IF(C12=0,0,+E12/C12)</f>
        <v>1.1651438240270728</v>
      </c>
    </row>
    <row r="13" spans="1:16" ht="15.75" customHeight="1" x14ac:dyDescent="0.2">
      <c r="A13" s="294">
        <v>2</v>
      </c>
      <c r="B13" s="295" t="s">
        <v>589</v>
      </c>
      <c r="C13" s="296">
        <v>18721</v>
      </c>
      <c r="D13" s="296">
        <v>15076</v>
      </c>
      <c r="E13" s="296">
        <f>+D13-C13</f>
        <v>-3645</v>
      </c>
      <c r="F13" s="316">
        <f>IF(C13=0,0,+E13/C13)</f>
        <v>-0.19470113775973505</v>
      </c>
    </row>
    <row r="14" spans="1:16" ht="15.75" customHeight="1" x14ac:dyDescent="0.25">
      <c r="A14" s="294"/>
      <c r="B14" s="135" t="s">
        <v>590</v>
      </c>
      <c r="C14" s="300">
        <f>SUM(C11:C13)</f>
        <v>21676</v>
      </c>
      <c r="D14" s="300">
        <f>SUM(D11:D13)</f>
        <v>21474</v>
      </c>
      <c r="E14" s="300">
        <f>+D14-C14</f>
        <v>-202</v>
      </c>
      <c r="F14" s="309">
        <f>IF(C14=0,0,+E14/C14)</f>
        <v>-9.3190625576674655E-3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563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588</v>
      </c>
      <c r="C17" s="296">
        <v>6223</v>
      </c>
      <c r="D17" s="296">
        <v>5747</v>
      </c>
      <c r="E17" s="296">
        <f>+D17-C17</f>
        <v>-476</v>
      </c>
      <c r="F17" s="316">
        <f>IF(C17=0,0,+E17/C17)</f>
        <v>-7.6490438695163102E-2</v>
      </c>
    </row>
    <row r="18" spans="1:6" ht="15.75" customHeight="1" x14ac:dyDescent="0.2">
      <c r="A18" s="294">
        <v>2</v>
      </c>
      <c r="B18" s="295" t="s">
        <v>589</v>
      </c>
      <c r="C18" s="296">
        <v>5210</v>
      </c>
      <c r="D18" s="296">
        <v>4992</v>
      </c>
      <c r="E18" s="296">
        <f>+D18-C18</f>
        <v>-218</v>
      </c>
      <c r="F18" s="316">
        <f>IF(C18=0,0,+E18/C18)</f>
        <v>-4.18426103646833E-2</v>
      </c>
    </row>
    <row r="19" spans="1:6" ht="15.75" customHeight="1" x14ac:dyDescent="0.25">
      <c r="A19" s="294"/>
      <c r="B19" s="135" t="s">
        <v>591</v>
      </c>
      <c r="C19" s="300">
        <f>SUM(C16:C18)</f>
        <v>11433</v>
      </c>
      <c r="D19" s="300">
        <f>SUM(D16:D18)</f>
        <v>10739</v>
      </c>
      <c r="E19" s="300">
        <f>+D19-C19</f>
        <v>-694</v>
      </c>
      <c r="F19" s="309">
        <f>IF(C19=0,0,+E19/C19)</f>
        <v>-6.0701478177206329E-2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592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593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</row>
    <row r="23" spans="1:6" ht="15.75" customHeight="1" x14ac:dyDescent="0.2">
      <c r="A23" s="294">
        <v>2</v>
      </c>
      <c r="B23" s="295" t="s">
        <v>594</v>
      </c>
      <c r="C23" s="296">
        <v>20100</v>
      </c>
      <c r="D23" s="296">
        <v>19788</v>
      </c>
      <c r="E23" s="296">
        <f>+D23-C23</f>
        <v>-312</v>
      </c>
      <c r="F23" s="316">
        <f>IF(C23=0,0,+E23/C23)</f>
        <v>-1.5522388059701492E-2</v>
      </c>
    </row>
    <row r="24" spans="1:6" ht="15.75" customHeight="1" x14ac:dyDescent="0.2">
      <c r="A24" s="294">
        <v>3</v>
      </c>
      <c r="B24" s="295" t="s">
        <v>589</v>
      </c>
      <c r="C24" s="296">
        <v>73479</v>
      </c>
      <c r="D24" s="296">
        <v>72340</v>
      </c>
      <c r="E24" s="296">
        <f>+D24-C24</f>
        <v>-1139</v>
      </c>
      <c r="F24" s="316">
        <f>IF(C24=0,0,+E24/C24)</f>
        <v>-1.5501027504457057E-2</v>
      </c>
    </row>
    <row r="25" spans="1:6" ht="15.75" customHeight="1" x14ac:dyDescent="0.25">
      <c r="A25" s="294"/>
      <c r="B25" s="135" t="s">
        <v>595</v>
      </c>
      <c r="C25" s="300">
        <f>SUM(C21:C24)</f>
        <v>93579</v>
      </c>
      <c r="D25" s="300">
        <f>SUM(D21:D24)</f>
        <v>92128</v>
      </c>
      <c r="E25" s="300">
        <f>+D25-C25</f>
        <v>-1451</v>
      </c>
      <c r="F25" s="309">
        <f>IF(C25=0,0,+E25/C25)</f>
        <v>-1.5505615576144221E-2</v>
      </c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596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597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  <row r="31" spans="1:6" ht="15.75" customHeight="1" x14ac:dyDescent="0.25">
      <c r="B31" s="699" t="s">
        <v>598</v>
      </c>
      <c r="C31" s="700"/>
      <c r="D31" s="700"/>
      <c r="E31" s="700"/>
      <c r="F31" s="701"/>
    </row>
    <row r="32" spans="1:6" ht="15.75" customHeight="1" x14ac:dyDescent="0.25">
      <c r="A32" s="293"/>
      <c r="B32" s="135"/>
      <c r="C32" s="300"/>
      <c r="D32" s="300"/>
      <c r="E32" s="300"/>
      <c r="F32" s="309"/>
    </row>
  </sheetData>
  <mergeCells count="7">
    <mergeCell ref="B31:F31"/>
    <mergeCell ref="A1:F1"/>
    <mergeCell ref="A2:F2"/>
    <mergeCell ref="A3:F3"/>
    <mergeCell ref="A4:F4"/>
    <mergeCell ref="B27:F27"/>
    <mergeCell ref="B29:F29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FILING&amp;RYALE-NEW HAVEN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599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600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601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602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603</v>
      </c>
      <c r="D7" s="341" t="s">
        <v>603</v>
      </c>
      <c r="E7" s="341" t="s">
        <v>604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605</v>
      </c>
      <c r="D8" s="344" t="s">
        <v>606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607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608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609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610</v>
      </c>
      <c r="C15" s="361">
        <v>925659420</v>
      </c>
      <c r="D15" s="361">
        <v>1108821251</v>
      </c>
      <c r="E15" s="361">
        <f t="shared" ref="E15:E24" si="0">D15-C15</f>
        <v>183161831</v>
      </c>
      <c r="F15" s="362">
        <f t="shared" ref="F15:F24" si="1">IF(C15=0,0,E15/C15)</f>
        <v>0.19787173018776172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611</v>
      </c>
      <c r="C16" s="361">
        <v>323184765</v>
      </c>
      <c r="D16" s="361">
        <v>348345397</v>
      </c>
      <c r="E16" s="361">
        <f t="shared" si="0"/>
        <v>25160632</v>
      </c>
      <c r="F16" s="362">
        <f t="shared" si="1"/>
        <v>7.785215989373756E-2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612</v>
      </c>
      <c r="C17" s="366">
        <f>IF(C15=0,0,C16/C15)</f>
        <v>0.34914003792021042</v>
      </c>
      <c r="D17" s="366">
        <f>IF(LN_IA1=0,0,LN_IA2/LN_IA1)</f>
        <v>0.31415829799964756</v>
      </c>
      <c r="E17" s="367">
        <f t="shared" si="0"/>
        <v>-3.498173992056286E-2</v>
      </c>
      <c r="F17" s="362">
        <f t="shared" si="1"/>
        <v>-0.10019400848136843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17357</v>
      </c>
      <c r="D18" s="369">
        <v>17747</v>
      </c>
      <c r="E18" s="369">
        <f t="shared" si="0"/>
        <v>390</v>
      </c>
      <c r="F18" s="362">
        <f t="shared" si="1"/>
        <v>2.2469320735150084E-2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613</v>
      </c>
      <c r="C19" s="372">
        <v>1.6712</v>
      </c>
      <c r="D19" s="372">
        <v>1.7807999999999999</v>
      </c>
      <c r="E19" s="373">
        <f t="shared" si="0"/>
        <v>0.10959999999999992</v>
      </c>
      <c r="F19" s="362">
        <f t="shared" si="1"/>
        <v>6.5581617999042552E-2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614</v>
      </c>
      <c r="C20" s="376">
        <f>C18*C19</f>
        <v>29007.018400000001</v>
      </c>
      <c r="D20" s="376">
        <f>LN_IA4*LN_IA5</f>
        <v>31603.857599999999</v>
      </c>
      <c r="E20" s="376">
        <f t="shared" si="0"/>
        <v>2596.8391999999985</v>
      </c>
      <c r="F20" s="362">
        <f t="shared" si="1"/>
        <v>8.9524513143343212E-2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615</v>
      </c>
      <c r="C21" s="378">
        <f>IF(C20=0,0,C16/C20)</f>
        <v>11141.605819093767</v>
      </c>
      <c r="D21" s="378">
        <f>IF(LN_IA6=0,0,LN_IA2/LN_IA6)</f>
        <v>11022.242961884502</v>
      </c>
      <c r="E21" s="378">
        <f t="shared" si="0"/>
        <v>-119.36285720926571</v>
      </c>
      <c r="F21" s="362">
        <f t="shared" si="1"/>
        <v>-1.071325436811894E-2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98192</v>
      </c>
      <c r="D22" s="369">
        <v>109506</v>
      </c>
      <c r="E22" s="369">
        <f t="shared" si="0"/>
        <v>11314</v>
      </c>
      <c r="F22" s="362">
        <f t="shared" si="1"/>
        <v>0.11522323610884797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616</v>
      </c>
      <c r="C23" s="378">
        <f>IF(C22=0,0,C16/C22)</f>
        <v>3291.3553548150562</v>
      </c>
      <c r="D23" s="378">
        <f>IF(LN_IA8=0,0,LN_IA2/LN_IA8)</f>
        <v>3181.0621975051595</v>
      </c>
      <c r="E23" s="378">
        <f t="shared" si="0"/>
        <v>-110.29315730989674</v>
      </c>
      <c r="F23" s="362">
        <f t="shared" si="1"/>
        <v>-3.3509951196410454E-2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617</v>
      </c>
      <c r="C24" s="379">
        <f>IF(C18=0,0,C22/C18)</f>
        <v>5.6571988246816849</v>
      </c>
      <c r="D24" s="379">
        <f>IF(LN_IA4=0,0,LN_IA8/LN_IA4)</f>
        <v>6.170394996337409</v>
      </c>
      <c r="E24" s="379">
        <f t="shared" si="0"/>
        <v>0.51319617165572406</v>
      </c>
      <c r="F24" s="362">
        <f t="shared" si="1"/>
        <v>9.0715597517398591E-2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618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619</v>
      </c>
      <c r="C27" s="361">
        <v>328954688</v>
      </c>
      <c r="D27" s="361">
        <v>393054480</v>
      </c>
      <c r="E27" s="361">
        <f t="shared" ref="E27:E32" si="2">D27-C27</f>
        <v>64099792</v>
      </c>
      <c r="F27" s="362">
        <f t="shared" ref="F27:F32" si="3">IF(C27=0,0,E27/C27)</f>
        <v>0.19485903177035738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620</v>
      </c>
      <c r="C28" s="361">
        <v>73407846</v>
      </c>
      <c r="D28" s="361">
        <v>85804236</v>
      </c>
      <c r="E28" s="361">
        <f t="shared" si="2"/>
        <v>12396390</v>
      </c>
      <c r="F28" s="362">
        <f t="shared" si="3"/>
        <v>0.16887009598401784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621</v>
      </c>
      <c r="C29" s="366">
        <f>IF(C27=0,0,C28/C27)</f>
        <v>0.2231548863045843</v>
      </c>
      <c r="D29" s="366">
        <f>IF(LN_IA11=0,0,LN_IA12/LN_IA11)</f>
        <v>0.21830112711092875</v>
      </c>
      <c r="E29" s="367">
        <f t="shared" si="2"/>
        <v>-4.8537591936555491E-3</v>
      </c>
      <c r="F29" s="362">
        <f t="shared" si="3"/>
        <v>-2.1750629233503089E-2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622</v>
      </c>
      <c r="C30" s="366">
        <f>IF(C15=0,0,C27/C15)</f>
        <v>0.35537334887166167</v>
      </c>
      <c r="D30" s="366">
        <f>IF(LN_IA1=0,0,LN_IA11/LN_IA1)</f>
        <v>0.35447956976430639</v>
      </c>
      <c r="E30" s="367">
        <f t="shared" si="2"/>
        <v>-8.9377910735527477E-4</v>
      </c>
      <c r="F30" s="362">
        <f t="shared" si="3"/>
        <v>-2.5150425888522416E-3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623</v>
      </c>
      <c r="C31" s="376">
        <f>C30*C18</f>
        <v>6168.2152163654318</v>
      </c>
      <c r="D31" s="376">
        <f>LN_IA14*LN_IA4</f>
        <v>6290.9489246071453</v>
      </c>
      <c r="E31" s="376">
        <f t="shared" si="2"/>
        <v>122.73370824171343</v>
      </c>
      <c r="F31" s="362">
        <f t="shared" si="3"/>
        <v>1.9897766847706267E-2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624</v>
      </c>
      <c r="C32" s="378">
        <f>IF(C31=0,0,C28/C31)</f>
        <v>11900.986496910033</v>
      </c>
      <c r="D32" s="378">
        <f>IF(LN_IA15=0,0,LN_IA12/LN_IA15)</f>
        <v>13639.315312889505</v>
      </c>
      <c r="E32" s="378">
        <f t="shared" si="2"/>
        <v>1738.328815979472</v>
      </c>
      <c r="F32" s="362">
        <f t="shared" si="3"/>
        <v>0.14606594305697354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625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626</v>
      </c>
      <c r="C35" s="361">
        <f>C15+C27</f>
        <v>1254614108</v>
      </c>
      <c r="D35" s="361">
        <f>LN_IA1+LN_IA11</f>
        <v>1501875731</v>
      </c>
      <c r="E35" s="361">
        <f>D35-C35</f>
        <v>247261623</v>
      </c>
      <c r="F35" s="362">
        <f>IF(C35=0,0,E35/C35)</f>
        <v>0.19708181298404465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627</v>
      </c>
      <c r="C36" s="361">
        <f>C16+C28</f>
        <v>396592611</v>
      </c>
      <c r="D36" s="361">
        <f>LN_IA2+LN_IA12</f>
        <v>434149633</v>
      </c>
      <c r="E36" s="361">
        <f>D36-C36</f>
        <v>37557022</v>
      </c>
      <c r="F36" s="362">
        <f>IF(C36=0,0,E36/C36)</f>
        <v>9.4699247939341966E-2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628</v>
      </c>
      <c r="C37" s="361">
        <f>C35-C36</f>
        <v>858021497</v>
      </c>
      <c r="D37" s="361">
        <f>LN_IA17-LN_IA18</f>
        <v>1067726098</v>
      </c>
      <c r="E37" s="361">
        <f>D37-C37</f>
        <v>209704601</v>
      </c>
      <c r="F37" s="362">
        <f>IF(C37=0,0,E37/C37)</f>
        <v>0.24440483336747915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629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630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610</v>
      </c>
      <c r="C42" s="361">
        <v>996775285</v>
      </c>
      <c r="D42" s="361">
        <v>1068171813</v>
      </c>
      <c r="E42" s="361">
        <f t="shared" ref="E42:E53" si="4">D42-C42</f>
        <v>71396528</v>
      </c>
      <c r="F42" s="362">
        <f t="shared" ref="F42:F53" si="5">IF(C42=0,0,E42/C42)</f>
        <v>7.1627506293958726E-2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611</v>
      </c>
      <c r="C43" s="361">
        <v>371533140</v>
      </c>
      <c r="D43" s="361">
        <v>393449462</v>
      </c>
      <c r="E43" s="361">
        <f t="shared" si="4"/>
        <v>21916322</v>
      </c>
      <c r="F43" s="362">
        <f t="shared" si="5"/>
        <v>5.8988875124302502E-2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612</v>
      </c>
      <c r="C44" s="366">
        <f>IF(C42=0,0,C43/C42)</f>
        <v>0.37273510448245112</v>
      </c>
      <c r="D44" s="366">
        <f>IF(LN_IB1=0,0,LN_IB2/LN_IB1)</f>
        <v>0.36833911662111984</v>
      </c>
      <c r="E44" s="367">
        <f t="shared" si="4"/>
        <v>-4.3959878613312742E-3</v>
      </c>
      <c r="F44" s="362">
        <f t="shared" si="5"/>
        <v>-1.1793865961284157E-2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23401</v>
      </c>
      <c r="D45" s="369">
        <v>23108</v>
      </c>
      <c r="E45" s="369">
        <f t="shared" si="4"/>
        <v>-293</v>
      </c>
      <c r="F45" s="362">
        <f t="shared" si="5"/>
        <v>-1.2520832443057989E-2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613</v>
      </c>
      <c r="C46" s="372">
        <v>1.2417</v>
      </c>
      <c r="D46" s="372">
        <v>1.3619000000000001</v>
      </c>
      <c r="E46" s="373">
        <f t="shared" si="4"/>
        <v>0.12020000000000008</v>
      </c>
      <c r="F46" s="362">
        <f t="shared" si="5"/>
        <v>9.6802770395425689E-2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614</v>
      </c>
      <c r="C47" s="376">
        <f>C45*C46</f>
        <v>29057.021700000001</v>
      </c>
      <c r="D47" s="376">
        <f>LN_IB4*LN_IB5</f>
        <v>31470.785200000002</v>
      </c>
      <c r="E47" s="376">
        <f t="shared" si="4"/>
        <v>2413.7635000000009</v>
      </c>
      <c r="F47" s="362">
        <f t="shared" si="5"/>
        <v>8.306988668422273E-2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615</v>
      </c>
      <c r="C48" s="378">
        <f>IF(C47=0,0,C43/C47)</f>
        <v>12786.346234514462</v>
      </c>
      <c r="D48" s="378">
        <f>IF(LN_IB6=0,0,LN_IB2/LN_IB6)</f>
        <v>12502.05419088177</v>
      </c>
      <c r="E48" s="378">
        <f t="shared" si="4"/>
        <v>-284.29204363269127</v>
      </c>
      <c r="F48" s="362">
        <f t="shared" si="5"/>
        <v>-2.2234032961292383E-2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631</v>
      </c>
      <c r="C49" s="378">
        <f>C21-C48</f>
        <v>-1644.7404154206943</v>
      </c>
      <c r="D49" s="378">
        <f>LN_IA7-LN_IB7</f>
        <v>-1479.8112289972687</v>
      </c>
      <c r="E49" s="378">
        <f t="shared" si="4"/>
        <v>164.92918642342556</v>
      </c>
      <c r="F49" s="362">
        <f t="shared" si="5"/>
        <v>-0.10027672748665309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632</v>
      </c>
      <c r="C50" s="391">
        <f>C49*C47</f>
        <v>-47791257.941746131</v>
      </c>
      <c r="D50" s="391">
        <f>LN_IB8*LN_IB6</f>
        <v>-46570821.324321061</v>
      </c>
      <c r="E50" s="391">
        <f t="shared" si="4"/>
        <v>1220436.6174250692</v>
      </c>
      <c r="F50" s="362">
        <f t="shared" si="5"/>
        <v>-2.5536817191811265E-2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97851</v>
      </c>
      <c r="D51" s="369">
        <v>97665</v>
      </c>
      <c r="E51" s="369">
        <f t="shared" si="4"/>
        <v>-186</v>
      </c>
      <c r="F51" s="362">
        <f t="shared" si="5"/>
        <v>-1.9008492503909005E-3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616</v>
      </c>
      <c r="C52" s="378">
        <f>IF(C51=0,0,C43/C51)</f>
        <v>3796.9273691633198</v>
      </c>
      <c r="D52" s="378">
        <f>IF(LN_IB10=0,0,LN_IB2/LN_IB10)</f>
        <v>4028.5615317667539</v>
      </c>
      <c r="E52" s="378">
        <f t="shared" si="4"/>
        <v>231.63416260343411</v>
      </c>
      <c r="F52" s="362">
        <f t="shared" si="5"/>
        <v>6.1005686989076213E-2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617</v>
      </c>
      <c r="C53" s="379">
        <f>IF(C45=0,0,C51/C45)</f>
        <v>4.1814879705995471</v>
      </c>
      <c r="D53" s="379">
        <f>IF(LN_IB4=0,0,LN_IB10/LN_IB4)</f>
        <v>4.2264583693958802</v>
      </c>
      <c r="E53" s="379">
        <f t="shared" si="4"/>
        <v>4.4970398796333022E-2</v>
      </c>
      <c r="F53" s="362">
        <f t="shared" si="5"/>
        <v>1.0754640241111373E-2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633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619</v>
      </c>
      <c r="C56" s="361">
        <v>695687882</v>
      </c>
      <c r="D56" s="361">
        <v>762357176</v>
      </c>
      <c r="E56" s="361">
        <f t="shared" ref="E56:E63" si="6">D56-C56</f>
        <v>66669294</v>
      </c>
      <c r="F56" s="362">
        <f t="shared" ref="F56:F63" si="7">IF(C56=0,0,E56/C56)</f>
        <v>9.583219102269773E-2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620</v>
      </c>
      <c r="C57" s="361">
        <v>314887575</v>
      </c>
      <c r="D57" s="361">
        <v>339695948</v>
      </c>
      <c r="E57" s="361">
        <f t="shared" si="6"/>
        <v>24808373</v>
      </c>
      <c r="F57" s="362">
        <f t="shared" si="7"/>
        <v>7.8784858373659228E-2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621</v>
      </c>
      <c r="C58" s="366">
        <f>IF(C56=0,0,C57/C56)</f>
        <v>0.45262765551520706</v>
      </c>
      <c r="D58" s="366">
        <f>IF(LN_IB13=0,0,LN_IB14/LN_IB13)</f>
        <v>0.44558634547436854</v>
      </c>
      <c r="E58" s="367">
        <f t="shared" si="6"/>
        <v>-7.0413100408385221E-3</v>
      </c>
      <c r="F58" s="362">
        <f t="shared" si="7"/>
        <v>-1.5556517493001382E-2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622</v>
      </c>
      <c r="C59" s="366">
        <f>IF(C42=0,0,C56/C42)</f>
        <v>0.69793853486244894</v>
      </c>
      <c r="D59" s="366">
        <f>IF(LN_IB1=0,0,LN_IB13/LN_IB1)</f>
        <v>0.71370276459448201</v>
      </c>
      <c r="E59" s="367">
        <f t="shared" si="6"/>
        <v>1.5764229732033064E-2</v>
      </c>
      <c r="F59" s="362">
        <f t="shared" si="7"/>
        <v>2.2586845323191544E-2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623</v>
      </c>
      <c r="C60" s="376">
        <f>C59*C45</f>
        <v>16332.459654316168</v>
      </c>
      <c r="D60" s="376">
        <f>LN_IB16*LN_IB4</f>
        <v>16492.243484249291</v>
      </c>
      <c r="E60" s="376">
        <f t="shared" si="6"/>
        <v>159.78382993312334</v>
      </c>
      <c r="F60" s="362">
        <f t="shared" si="7"/>
        <v>9.7832067744246572E-3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624</v>
      </c>
      <c r="C61" s="378">
        <f>IF(C60=0,0,C57/C60)</f>
        <v>19279.862412933307</v>
      </c>
      <c r="D61" s="378">
        <f>IF(LN_IB17=0,0,LN_IB14/LN_IB17)</f>
        <v>20597.315842712505</v>
      </c>
      <c r="E61" s="378">
        <f t="shared" si="6"/>
        <v>1317.4534297791979</v>
      </c>
      <c r="F61" s="362">
        <f t="shared" si="7"/>
        <v>6.8333134415701255E-2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634</v>
      </c>
      <c r="C62" s="378">
        <f>C32-C61</f>
        <v>-7378.8759160232748</v>
      </c>
      <c r="D62" s="378">
        <f>LN_IA16-LN_IB18</f>
        <v>-6958.0005298230008</v>
      </c>
      <c r="E62" s="378">
        <f t="shared" si="6"/>
        <v>420.87538620027408</v>
      </c>
      <c r="F62" s="362">
        <f t="shared" si="7"/>
        <v>-5.7037872840000003E-2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635</v>
      </c>
      <c r="C63" s="361">
        <f>C62*C60</f>
        <v>-120515193.19265538</v>
      </c>
      <c r="D63" s="361">
        <f>LN_IB19*LN_IB17</f>
        <v>-114753038.9013765</v>
      </c>
      <c r="E63" s="361">
        <f t="shared" si="6"/>
        <v>5762154.2912788838</v>
      </c>
      <c r="F63" s="362">
        <f t="shared" si="7"/>
        <v>-4.7812679369542345E-2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636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626</v>
      </c>
      <c r="C66" s="361">
        <f>C42+C56</f>
        <v>1692463167</v>
      </c>
      <c r="D66" s="361">
        <f>LN_IB1+LN_IB13</f>
        <v>1830528989</v>
      </c>
      <c r="E66" s="361">
        <f>D66-C66</f>
        <v>138065822</v>
      </c>
      <c r="F66" s="362">
        <f>IF(C66=0,0,E66/C66)</f>
        <v>8.1576854783038236E-2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627</v>
      </c>
      <c r="C67" s="361">
        <f>C43+C57</f>
        <v>686420715</v>
      </c>
      <c r="D67" s="361">
        <f>LN_IB2+LN_IB14</f>
        <v>733145410</v>
      </c>
      <c r="E67" s="361">
        <f>D67-C67</f>
        <v>46724695</v>
      </c>
      <c r="F67" s="362">
        <f>IF(C67=0,0,E67/C67)</f>
        <v>6.807005380075104E-2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628</v>
      </c>
      <c r="C68" s="361">
        <f>C66-C67</f>
        <v>1006042452</v>
      </c>
      <c r="D68" s="361">
        <f>LN_IB21-LN_IB22</f>
        <v>1097383579</v>
      </c>
      <c r="E68" s="361">
        <f>D68-C68</f>
        <v>91341127</v>
      </c>
      <c r="F68" s="362">
        <f>IF(C68=0,0,E68/C68)</f>
        <v>9.0792517570620374E-2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637</v>
      </c>
      <c r="C70" s="353">
        <f>C50+C63</f>
        <v>-168306451.1344015</v>
      </c>
      <c r="D70" s="353">
        <f>LN_IB9+LN_IB20</f>
        <v>-161323860.22569758</v>
      </c>
      <c r="E70" s="361">
        <f>D70-C70</f>
        <v>6982590.9087039232</v>
      </c>
      <c r="F70" s="362">
        <f>IF(C70=0,0,E70/C70)</f>
        <v>-4.1487363447096623E-2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638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639</v>
      </c>
      <c r="C73" s="400">
        <v>1566246297</v>
      </c>
      <c r="D73" s="400">
        <v>1736523939</v>
      </c>
      <c r="E73" s="400">
        <f>D73-C73</f>
        <v>170277642</v>
      </c>
      <c r="F73" s="401">
        <f>IF(C73=0,0,E73/C73)</f>
        <v>0.10871702766426397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640</v>
      </c>
      <c r="C74" s="400">
        <v>714995462</v>
      </c>
      <c r="D74" s="400">
        <v>770806705</v>
      </c>
      <c r="E74" s="400">
        <f>D74-C74</f>
        <v>55811243</v>
      </c>
      <c r="F74" s="401">
        <f>IF(C74=0,0,E74/C74)</f>
        <v>7.8058177941274828E-2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641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642</v>
      </c>
      <c r="C76" s="353">
        <f>C73-C74</f>
        <v>851250835</v>
      </c>
      <c r="D76" s="353">
        <f>LN_IB32-LN_IB33</f>
        <v>965717234</v>
      </c>
      <c r="E76" s="400">
        <f>D76-C76</f>
        <v>114466399</v>
      </c>
      <c r="F76" s="401">
        <f>IF(C76=0,0,E76/C76)</f>
        <v>0.13446847191638878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643</v>
      </c>
      <c r="C77" s="366">
        <f>IF(C73=0,0,C76/C73)</f>
        <v>0.54349742861674588</v>
      </c>
      <c r="D77" s="366">
        <f>IF(LN_IB1=0,0,LN_IB34/LN_IB32)</f>
        <v>0.55612088742993138</v>
      </c>
      <c r="E77" s="405">
        <f>D77-C77</f>
        <v>1.2623458813185495E-2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644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645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610</v>
      </c>
      <c r="C83" s="361">
        <v>51128104</v>
      </c>
      <c r="D83" s="361">
        <v>32517553</v>
      </c>
      <c r="E83" s="361">
        <f t="shared" ref="E83:E95" si="8">D83-C83</f>
        <v>-18610551</v>
      </c>
      <c r="F83" s="362">
        <f t="shared" ref="F83:F95" si="9">IF(C83=0,0,E83/C83)</f>
        <v>-0.36399845767799249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611</v>
      </c>
      <c r="C84" s="361">
        <v>2292001</v>
      </c>
      <c r="D84" s="361">
        <v>8949293</v>
      </c>
      <c r="E84" s="361">
        <f t="shared" si="8"/>
        <v>6657292</v>
      </c>
      <c r="F84" s="362">
        <f t="shared" si="9"/>
        <v>2.9045763941638767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612</v>
      </c>
      <c r="C85" s="366">
        <f>IF(C83=0,0,C84/C83)</f>
        <v>4.482859368303585E-2</v>
      </c>
      <c r="D85" s="366">
        <f>IF(LN_IC1=0,0,LN_IC2/LN_IC1)</f>
        <v>0.27521422045502625</v>
      </c>
      <c r="E85" s="367">
        <f t="shared" si="8"/>
        <v>0.2303856267719904</v>
      </c>
      <c r="F85" s="362">
        <f t="shared" si="9"/>
        <v>5.1392561720974426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1436</v>
      </c>
      <c r="D86" s="369">
        <v>939</v>
      </c>
      <c r="E86" s="369">
        <f t="shared" si="8"/>
        <v>-497</v>
      </c>
      <c r="F86" s="362">
        <f t="shared" si="9"/>
        <v>-0.34610027855153203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613</v>
      </c>
      <c r="C87" s="372">
        <v>1.3184</v>
      </c>
      <c r="D87" s="372">
        <v>1.5919000000000001</v>
      </c>
      <c r="E87" s="373">
        <f t="shared" si="8"/>
        <v>0.27350000000000008</v>
      </c>
      <c r="F87" s="362">
        <f t="shared" si="9"/>
        <v>0.20744842233009714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614</v>
      </c>
      <c r="C88" s="376">
        <f>C86*C87</f>
        <v>1893.2224000000001</v>
      </c>
      <c r="D88" s="376">
        <f>LN_IC4*LN_IC5</f>
        <v>1494.7941000000001</v>
      </c>
      <c r="E88" s="376">
        <f t="shared" si="8"/>
        <v>-398.42830000000004</v>
      </c>
      <c r="F88" s="362">
        <f t="shared" si="9"/>
        <v>-0.21044981297495741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615</v>
      </c>
      <c r="C89" s="378">
        <f>IF(C88=0,0,C84/C88)</f>
        <v>1210.6348414216945</v>
      </c>
      <c r="D89" s="378">
        <f>IF(LN_IC6=0,0,LN_IC2/LN_IC6)</f>
        <v>5986.9737243410309</v>
      </c>
      <c r="E89" s="378">
        <f t="shared" si="8"/>
        <v>4776.3388829193364</v>
      </c>
      <c r="F89" s="362">
        <f t="shared" si="9"/>
        <v>3.9453175470402786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646</v>
      </c>
      <c r="C90" s="378">
        <f>C48-C89</f>
        <v>11575.711393092766</v>
      </c>
      <c r="D90" s="378">
        <f>LN_IB7-LN_IC7</f>
        <v>6515.0804665407395</v>
      </c>
      <c r="E90" s="378">
        <f t="shared" si="8"/>
        <v>-5060.6309265520267</v>
      </c>
      <c r="F90" s="362">
        <f t="shared" si="9"/>
        <v>-0.43717666713526637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647</v>
      </c>
      <c r="C91" s="378">
        <f>C21-C89</f>
        <v>9930.9709776720738</v>
      </c>
      <c r="D91" s="378">
        <f>LN_IA7-LN_IC7</f>
        <v>5035.2692375434708</v>
      </c>
      <c r="E91" s="378">
        <f t="shared" si="8"/>
        <v>-4895.701740128603</v>
      </c>
      <c r="F91" s="362">
        <f t="shared" si="9"/>
        <v>-0.49297311925849652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632</v>
      </c>
      <c r="C92" s="353">
        <f>C91*C88</f>
        <v>18801536.70867867</v>
      </c>
      <c r="D92" s="353">
        <f>LN_IC9*LN_IC6</f>
        <v>7526690.7481914787</v>
      </c>
      <c r="E92" s="353">
        <f t="shared" si="8"/>
        <v>-11274845.960487191</v>
      </c>
      <c r="F92" s="362">
        <f t="shared" si="9"/>
        <v>-0.59967683148382189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5967</v>
      </c>
      <c r="D93" s="369">
        <v>3050</v>
      </c>
      <c r="E93" s="369">
        <f t="shared" si="8"/>
        <v>-2917</v>
      </c>
      <c r="F93" s="362">
        <f t="shared" si="9"/>
        <v>-0.48885537120831241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616</v>
      </c>
      <c r="C94" s="411">
        <f>IF(C93=0,0,C84/C93)</f>
        <v>384.11278699513991</v>
      </c>
      <c r="D94" s="411">
        <f>IF(LN_IC11=0,0,LN_IC2/LN_IC11)</f>
        <v>2934.1944262295083</v>
      </c>
      <c r="E94" s="411">
        <f t="shared" si="8"/>
        <v>2550.0816392343686</v>
      </c>
      <c r="F94" s="362">
        <f t="shared" si="9"/>
        <v>6.6388876537625761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617</v>
      </c>
      <c r="C95" s="379">
        <f>IF(C86=0,0,C93/C86)</f>
        <v>4.1552924791086348</v>
      </c>
      <c r="D95" s="379">
        <f>IF(LN_IC4=0,0,LN_IC11/LN_IC4)</f>
        <v>3.2481363152289671</v>
      </c>
      <c r="E95" s="379">
        <f t="shared" si="8"/>
        <v>-0.90715616387966769</v>
      </c>
      <c r="F95" s="362">
        <f t="shared" si="9"/>
        <v>-0.2183134324335852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648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619</v>
      </c>
      <c r="C98" s="361">
        <v>54157729</v>
      </c>
      <c r="D98" s="361">
        <v>61487497</v>
      </c>
      <c r="E98" s="361">
        <f t="shared" ref="E98:E106" si="10">D98-C98</f>
        <v>7329768</v>
      </c>
      <c r="F98" s="362">
        <f t="shared" ref="F98:F106" si="11">IF(C98=0,0,E98/C98)</f>
        <v>0.13534112554830355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620</v>
      </c>
      <c r="C99" s="361">
        <v>17830957</v>
      </c>
      <c r="D99" s="361">
        <v>7969346</v>
      </c>
      <c r="E99" s="361">
        <f t="shared" si="10"/>
        <v>-9861611</v>
      </c>
      <c r="F99" s="362">
        <f t="shared" si="11"/>
        <v>-0.55306122941129854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621</v>
      </c>
      <c r="C100" s="366">
        <f>IF(C98=0,0,C99/C98)</f>
        <v>0.32924122427659402</v>
      </c>
      <c r="D100" s="366">
        <f>IF(LN_IC14=0,0,LN_IC15/LN_IC14)</f>
        <v>0.12960921144667834</v>
      </c>
      <c r="E100" s="367">
        <f t="shared" si="10"/>
        <v>-0.19963201282991569</v>
      </c>
      <c r="F100" s="362">
        <f t="shared" si="11"/>
        <v>-0.60633966256365812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622</v>
      </c>
      <c r="C101" s="366">
        <f>IF(C83=0,0,C98/C83)</f>
        <v>1.0592555710651816</v>
      </c>
      <c r="D101" s="366">
        <f>IF(LN_IC1=0,0,LN_IC14/LN_IC1)</f>
        <v>1.8909017231401144</v>
      </c>
      <c r="E101" s="367">
        <f t="shared" si="10"/>
        <v>0.83164615207493275</v>
      </c>
      <c r="F101" s="362">
        <f t="shared" si="11"/>
        <v>0.78512322690796321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623</v>
      </c>
      <c r="C102" s="376">
        <f>C101*C86</f>
        <v>1521.0910000496008</v>
      </c>
      <c r="D102" s="376">
        <f>LN_IC17*LN_IC4</f>
        <v>1775.5567180285675</v>
      </c>
      <c r="E102" s="376">
        <f t="shared" si="10"/>
        <v>254.46571797896672</v>
      </c>
      <c r="F102" s="362">
        <f t="shared" si="11"/>
        <v>0.16729158082630752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624</v>
      </c>
      <c r="C103" s="378">
        <f>IF(C102=0,0,C99/C102)</f>
        <v>11722.478799373974</v>
      </c>
      <c r="D103" s="378">
        <f>IF(LN_IC18=0,0,LN_IC15/LN_IC18)</f>
        <v>4488.3646459058245</v>
      </c>
      <c r="E103" s="378">
        <f t="shared" si="10"/>
        <v>-7234.1141534681492</v>
      </c>
      <c r="F103" s="362">
        <f t="shared" si="11"/>
        <v>-0.61711471415537811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649</v>
      </c>
      <c r="C104" s="378">
        <f>C61-C103</f>
        <v>7557.3836135593338</v>
      </c>
      <c r="D104" s="378">
        <f>LN_IB18-LN_IC19</f>
        <v>16108.95119680668</v>
      </c>
      <c r="E104" s="378">
        <f t="shared" si="10"/>
        <v>8551.5675832473462</v>
      </c>
      <c r="F104" s="362">
        <f t="shared" si="11"/>
        <v>1.1315513437619156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650</v>
      </c>
      <c r="C105" s="378">
        <f>C32-C103</f>
        <v>178.50769753605891</v>
      </c>
      <c r="D105" s="378">
        <f>LN_IA16-LN_IC19</f>
        <v>9150.950666983681</v>
      </c>
      <c r="E105" s="378">
        <f t="shared" si="10"/>
        <v>8972.4429694476221</v>
      </c>
      <c r="F105" s="362">
        <f t="shared" si="11"/>
        <v>50.263619402940151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635</v>
      </c>
      <c r="C106" s="361">
        <f>C105*C102</f>
        <v>271526.45216167549</v>
      </c>
      <c r="D106" s="361">
        <f>LN_IC21*LN_IC18</f>
        <v>16248031.933110876</v>
      </c>
      <c r="E106" s="361">
        <f t="shared" si="10"/>
        <v>15976505.480949201</v>
      </c>
      <c r="F106" s="362">
        <f t="shared" si="11"/>
        <v>58.83959133173618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651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626</v>
      </c>
      <c r="C109" s="361">
        <f>C83+C98</f>
        <v>105285833</v>
      </c>
      <c r="D109" s="361">
        <f>LN_IC1+LN_IC14</f>
        <v>94005050</v>
      </c>
      <c r="E109" s="361">
        <f>D109-C109</f>
        <v>-11280783</v>
      </c>
      <c r="F109" s="362">
        <f>IF(C109=0,0,E109/C109)</f>
        <v>-0.10714435815880376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627</v>
      </c>
      <c r="C110" s="361">
        <f>C84+C99</f>
        <v>20122958</v>
      </c>
      <c r="D110" s="361">
        <f>LN_IC2+LN_IC15</f>
        <v>16918639</v>
      </c>
      <c r="E110" s="361">
        <f>D110-C110</f>
        <v>-3204319</v>
      </c>
      <c r="F110" s="362">
        <f>IF(C110=0,0,E110/C110)</f>
        <v>-0.15923697698916831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628</v>
      </c>
      <c r="C111" s="361">
        <f>C109-C110</f>
        <v>85162875</v>
      </c>
      <c r="D111" s="361">
        <f>LN_IC23-LN_IC24</f>
        <v>77086411</v>
      </c>
      <c r="E111" s="361">
        <f>D111-C111</f>
        <v>-8076464</v>
      </c>
      <c r="F111" s="362">
        <f>IF(C111=0,0,E111/C111)</f>
        <v>-9.4835501971956671E-2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637</v>
      </c>
      <c r="C113" s="361">
        <f>C92+C106</f>
        <v>19073063.160840347</v>
      </c>
      <c r="D113" s="361">
        <f>LN_IC10+LN_IC22</f>
        <v>23774722.681302354</v>
      </c>
      <c r="E113" s="361">
        <f>D113-C113</f>
        <v>4701659.5204620063</v>
      </c>
      <c r="F113" s="362">
        <f>IF(C113=0,0,E113/C113)</f>
        <v>0.24650783572694121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652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653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610</v>
      </c>
      <c r="C118" s="361">
        <v>553272849</v>
      </c>
      <c r="D118" s="361">
        <v>787961706</v>
      </c>
      <c r="E118" s="361">
        <f t="shared" ref="E118:E130" si="12">D118-C118</f>
        <v>234688857</v>
      </c>
      <c r="F118" s="362">
        <f t="shared" ref="F118:F130" si="13">IF(C118=0,0,E118/C118)</f>
        <v>0.42418285557330865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611</v>
      </c>
      <c r="C119" s="361">
        <v>96997730</v>
      </c>
      <c r="D119" s="361">
        <v>137609515</v>
      </c>
      <c r="E119" s="361">
        <f t="shared" si="12"/>
        <v>40611785</v>
      </c>
      <c r="F119" s="362">
        <f t="shared" si="13"/>
        <v>0.41868799403862339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612</v>
      </c>
      <c r="C120" s="366">
        <f>IF(C118=0,0,C119/C118)</f>
        <v>0.17531626606170223</v>
      </c>
      <c r="D120" s="366">
        <f>IF(LN_ID1=0,0,LN_1D2/LN_ID1)</f>
        <v>0.17463985108941321</v>
      </c>
      <c r="E120" s="367">
        <f t="shared" si="12"/>
        <v>-6.7641497228901337E-4</v>
      </c>
      <c r="F120" s="362">
        <f t="shared" si="13"/>
        <v>-3.8582556398443395E-3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12396</v>
      </c>
      <c r="D121" s="369">
        <v>16249</v>
      </c>
      <c r="E121" s="369">
        <f t="shared" si="12"/>
        <v>3853</v>
      </c>
      <c r="F121" s="362">
        <f t="shared" si="13"/>
        <v>0.31082607292675057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613</v>
      </c>
      <c r="C122" s="372">
        <v>1.1359999999999999</v>
      </c>
      <c r="D122" s="372">
        <v>1.2388999999999999</v>
      </c>
      <c r="E122" s="373">
        <f t="shared" si="12"/>
        <v>0.10289999999999999</v>
      </c>
      <c r="F122" s="362">
        <f t="shared" si="13"/>
        <v>9.0580985915492962E-2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614</v>
      </c>
      <c r="C123" s="376">
        <f>C121*C122</f>
        <v>14081.855999999998</v>
      </c>
      <c r="D123" s="376">
        <f>LN_ID4*LN_ID5</f>
        <v>20130.8861</v>
      </c>
      <c r="E123" s="376">
        <f t="shared" si="12"/>
        <v>6049.0301000000018</v>
      </c>
      <c r="F123" s="362">
        <f t="shared" si="13"/>
        <v>0.42956199097618969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615</v>
      </c>
      <c r="C124" s="378">
        <f>IF(C123=0,0,C119/C123)</f>
        <v>6888.1353423866867</v>
      </c>
      <c r="D124" s="378">
        <f>IF(LN_ID6=0,0,LN_1D2/LN_ID6)</f>
        <v>6835.7405787517719</v>
      </c>
      <c r="E124" s="378">
        <f t="shared" si="12"/>
        <v>-52.394763634914852</v>
      </c>
      <c r="F124" s="362">
        <f t="shared" si="13"/>
        <v>-7.6065235409210853E-3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654</v>
      </c>
      <c r="C125" s="378">
        <f>C48-C124</f>
        <v>5898.210892127775</v>
      </c>
      <c r="D125" s="378">
        <f>LN_IB7-LN_ID7</f>
        <v>5666.3136121299985</v>
      </c>
      <c r="E125" s="378">
        <f t="shared" si="12"/>
        <v>-231.89727999777642</v>
      </c>
      <c r="F125" s="362">
        <f t="shared" si="13"/>
        <v>-3.9316546023690863E-2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655</v>
      </c>
      <c r="C126" s="378">
        <f>C21-C124</f>
        <v>4253.4704767070807</v>
      </c>
      <c r="D126" s="378">
        <f>LN_IA7-LN_ID7</f>
        <v>4186.5023831327298</v>
      </c>
      <c r="E126" s="378">
        <f t="shared" si="12"/>
        <v>-66.96809357435086</v>
      </c>
      <c r="F126" s="362">
        <f t="shared" si="13"/>
        <v>-1.5744341929979894E-2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632</v>
      </c>
      <c r="C127" s="391">
        <f>C126*C123</f>
        <v>59896758.753240459</v>
      </c>
      <c r="D127" s="391">
        <f>LN_ID9*LN_ID6</f>
        <v>84278002.632223547</v>
      </c>
      <c r="E127" s="391">
        <f t="shared" si="12"/>
        <v>24381243.878983088</v>
      </c>
      <c r="F127" s="362">
        <f t="shared" si="13"/>
        <v>0.40705447818015772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70465</v>
      </c>
      <c r="D128" s="369">
        <v>92087</v>
      </c>
      <c r="E128" s="369">
        <f t="shared" si="12"/>
        <v>21622</v>
      </c>
      <c r="F128" s="362">
        <f t="shared" si="13"/>
        <v>0.30684737103526571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616</v>
      </c>
      <c r="C129" s="378">
        <f>IF(C128=0,0,C119/C128)</f>
        <v>1376.5377137586036</v>
      </c>
      <c r="D129" s="378">
        <f>IF(LN_ID11=0,0,LN_1D2/LN_ID11)</f>
        <v>1494.3424696211191</v>
      </c>
      <c r="E129" s="378">
        <f t="shared" si="12"/>
        <v>117.80475586251555</v>
      </c>
      <c r="F129" s="362">
        <f t="shared" si="13"/>
        <v>8.558047824265741E-2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617</v>
      </c>
      <c r="C130" s="379">
        <f>IF(C121=0,0,C128/C121)</f>
        <v>5.684494998386576</v>
      </c>
      <c r="D130" s="379">
        <f>IF(LN_ID4=0,0,LN_ID11/LN_ID4)</f>
        <v>5.6672410609883688</v>
      </c>
      <c r="E130" s="379">
        <f t="shared" si="12"/>
        <v>-1.7253937398207242E-2</v>
      </c>
      <c r="F130" s="362">
        <f t="shared" si="13"/>
        <v>-3.0352630098371813E-3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656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619</v>
      </c>
      <c r="C133" s="361">
        <v>201168572</v>
      </c>
      <c r="D133" s="361">
        <v>295984179</v>
      </c>
      <c r="E133" s="361">
        <f t="shared" ref="E133:E141" si="14">D133-C133</f>
        <v>94815607</v>
      </c>
      <c r="F133" s="362">
        <f t="shared" ref="F133:F141" si="15">IF(C133=0,0,E133/C133)</f>
        <v>0.47132415395382932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620</v>
      </c>
      <c r="C134" s="361">
        <v>54137060</v>
      </c>
      <c r="D134" s="361">
        <v>76318653</v>
      </c>
      <c r="E134" s="361">
        <f t="shared" si="14"/>
        <v>22181593</v>
      </c>
      <c r="F134" s="362">
        <f t="shared" si="15"/>
        <v>0.40973028457769967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621</v>
      </c>
      <c r="C135" s="366">
        <f>IF(C133=0,0,C134/C133)</f>
        <v>0.26911291093720147</v>
      </c>
      <c r="D135" s="366">
        <f>IF(LN_ID14=0,0,LN_ID15/LN_ID14)</f>
        <v>0.25784706891377462</v>
      </c>
      <c r="E135" s="367">
        <f t="shared" si="14"/>
        <v>-1.1265842023426842E-2</v>
      </c>
      <c r="F135" s="362">
        <f t="shared" si="15"/>
        <v>-4.1862881956101203E-2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622</v>
      </c>
      <c r="C136" s="366">
        <f>IF(C118=0,0,C133/C118)</f>
        <v>0.36359740472281876</v>
      </c>
      <c r="D136" s="366">
        <f>IF(LN_ID1=0,0,LN_ID14/LN_ID1)</f>
        <v>0.37563269476956029</v>
      </c>
      <c r="E136" s="367">
        <f t="shared" si="14"/>
        <v>1.2035290046741531E-2</v>
      </c>
      <c r="F136" s="362">
        <f t="shared" si="15"/>
        <v>3.3100593927276226E-2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623</v>
      </c>
      <c r="C137" s="376">
        <f>C136*C121</f>
        <v>4507.1534289440615</v>
      </c>
      <c r="D137" s="376">
        <f>LN_ID17*LN_ID4</f>
        <v>6103.6556573105854</v>
      </c>
      <c r="E137" s="376">
        <f t="shared" si="14"/>
        <v>1596.5022283665239</v>
      </c>
      <c r="F137" s="362">
        <f t="shared" si="15"/>
        <v>0.3542151944759851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624</v>
      </c>
      <c r="C138" s="378">
        <f>IF(C137=0,0,C134/C137)</f>
        <v>12011.363902622517</v>
      </c>
      <c r="D138" s="378">
        <f>IF(LN_ID18=0,0,LN_ID15/LN_ID18)</f>
        <v>12503.761235054304</v>
      </c>
      <c r="E138" s="378">
        <f t="shared" si="14"/>
        <v>492.39733243178671</v>
      </c>
      <c r="F138" s="362">
        <f t="shared" si="15"/>
        <v>4.0994289776224206E-2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657</v>
      </c>
      <c r="C139" s="378">
        <f>C61-C138</f>
        <v>7268.4985103107902</v>
      </c>
      <c r="D139" s="378">
        <f>LN_IB18-LN_ID19</f>
        <v>8093.5546076582013</v>
      </c>
      <c r="E139" s="378">
        <f t="shared" si="14"/>
        <v>825.0560973474112</v>
      </c>
      <c r="F139" s="362">
        <f t="shared" si="15"/>
        <v>0.11351121502976452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658</v>
      </c>
      <c r="C140" s="378">
        <f>C32-C138</f>
        <v>-110.37740571248469</v>
      </c>
      <c r="D140" s="378">
        <f>LN_IA16-LN_ID19</f>
        <v>1135.5540778352006</v>
      </c>
      <c r="E140" s="378">
        <f t="shared" si="14"/>
        <v>1245.9314835476853</v>
      </c>
      <c r="F140" s="362">
        <f t="shared" si="15"/>
        <v>-11.287921431974363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635</v>
      </c>
      <c r="C141" s="353">
        <f>C140*C137</f>
        <v>-497487.90263497521</v>
      </c>
      <c r="D141" s="353">
        <f>LN_ID21*LN_ID18</f>
        <v>6931031.0713609271</v>
      </c>
      <c r="E141" s="353">
        <f t="shared" si="14"/>
        <v>7428518.9739959026</v>
      </c>
      <c r="F141" s="362">
        <f t="shared" si="15"/>
        <v>-14.932059522754816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659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626</v>
      </c>
      <c r="C144" s="361">
        <f>C118+C133</f>
        <v>754441421</v>
      </c>
      <c r="D144" s="361">
        <f>LN_ID1+LN_ID14</f>
        <v>1083945885</v>
      </c>
      <c r="E144" s="361">
        <f>D144-C144</f>
        <v>329504464</v>
      </c>
      <c r="F144" s="362">
        <f>IF(C144=0,0,E144/C144)</f>
        <v>0.43675288077800278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627</v>
      </c>
      <c r="C145" s="361">
        <f>C119+C134</f>
        <v>151134790</v>
      </c>
      <c r="D145" s="361">
        <f>LN_1D2+LN_ID15</f>
        <v>213928168</v>
      </c>
      <c r="E145" s="361">
        <f>D145-C145</f>
        <v>62793378</v>
      </c>
      <c r="F145" s="362">
        <f>IF(C145=0,0,E145/C145)</f>
        <v>0.41547930823869211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628</v>
      </c>
      <c r="C146" s="361">
        <f>C144-C145</f>
        <v>603306631</v>
      </c>
      <c r="D146" s="361">
        <f>LN_ID23-LN_ID24</f>
        <v>870017717</v>
      </c>
      <c r="E146" s="361">
        <f>D146-C146</f>
        <v>266711086</v>
      </c>
      <c r="F146" s="362">
        <f>IF(C146=0,0,E146/C146)</f>
        <v>0.44208213915686267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637</v>
      </c>
      <c r="C148" s="361">
        <f>C127+C141</f>
        <v>59399270.85060548</v>
      </c>
      <c r="D148" s="361">
        <f>LN_ID10+LN_ID22</f>
        <v>91209033.703584477</v>
      </c>
      <c r="E148" s="361">
        <f>D148-C148</f>
        <v>31809762.852978997</v>
      </c>
      <c r="F148" s="415">
        <f>IF(C148=0,0,E148/C148)</f>
        <v>0.53552446684039978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660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661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610</v>
      </c>
      <c r="C153" s="361">
        <v>134657674</v>
      </c>
      <c r="D153" s="361">
        <v>0</v>
      </c>
      <c r="E153" s="361">
        <f t="shared" ref="E153:E165" si="16">D153-C153</f>
        <v>-134657674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611</v>
      </c>
      <c r="C154" s="361">
        <v>21404615</v>
      </c>
      <c r="D154" s="361">
        <v>0</v>
      </c>
      <c r="E154" s="361">
        <f t="shared" si="16"/>
        <v>-21404615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612</v>
      </c>
      <c r="C155" s="366">
        <f>IF(C153=0,0,C154/C153)</f>
        <v>0.15895577551710866</v>
      </c>
      <c r="D155" s="366">
        <f>IF(LN_IE1=0,0,LN_IE2/LN_IE1)</f>
        <v>0</v>
      </c>
      <c r="E155" s="367">
        <f t="shared" si="16"/>
        <v>-0.15895577551710866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3125</v>
      </c>
      <c r="D156" s="419">
        <v>0</v>
      </c>
      <c r="E156" s="419">
        <f t="shared" si="16"/>
        <v>-3125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613</v>
      </c>
      <c r="C157" s="372">
        <v>1.1940999999999999</v>
      </c>
      <c r="D157" s="372">
        <v>0</v>
      </c>
      <c r="E157" s="373">
        <f t="shared" si="16"/>
        <v>-1.1940999999999999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614</v>
      </c>
      <c r="C158" s="376">
        <f>C156*C157</f>
        <v>3731.5625</v>
      </c>
      <c r="D158" s="376">
        <f>LN_IE4*LN_IE5</f>
        <v>0</v>
      </c>
      <c r="E158" s="376">
        <f t="shared" si="16"/>
        <v>-3731.5625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615</v>
      </c>
      <c r="C159" s="378">
        <f>IF(C158=0,0,C154/C158)</f>
        <v>5736.0998241353318</v>
      </c>
      <c r="D159" s="378">
        <f>IF(LN_IE6=0,0,LN_IE2/LN_IE6)</f>
        <v>0</v>
      </c>
      <c r="E159" s="378">
        <f t="shared" si="16"/>
        <v>-5736.0998241353318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662</v>
      </c>
      <c r="C160" s="378">
        <f>C48-C159</f>
        <v>7050.2464103791299</v>
      </c>
      <c r="D160" s="378">
        <f>LN_IB7-LN_IE7</f>
        <v>12502.05419088177</v>
      </c>
      <c r="E160" s="378">
        <f t="shared" si="16"/>
        <v>5451.8077805026405</v>
      </c>
      <c r="F160" s="362">
        <f t="shared" si="17"/>
        <v>0.7732790406412855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663</v>
      </c>
      <c r="C161" s="378">
        <f>C21-C159</f>
        <v>5405.5059949584356</v>
      </c>
      <c r="D161" s="378">
        <f>LN_IA7-LN_IE7</f>
        <v>11022.242961884502</v>
      </c>
      <c r="E161" s="378">
        <f t="shared" si="16"/>
        <v>5616.7369669260661</v>
      </c>
      <c r="F161" s="362">
        <f t="shared" si="17"/>
        <v>1.0390770026274394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632</v>
      </c>
      <c r="C162" s="391">
        <f>C161*C158</f>
        <v>20170983.464312088</v>
      </c>
      <c r="D162" s="391">
        <f>LN_IE9*LN_IE6</f>
        <v>0</v>
      </c>
      <c r="E162" s="391">
        <f t="shared" si="16"/>
        <v>-20170983.464312088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16469</v>
      </c>
      <c r="D163" s="369">
        <v>0</v>
      </c>
      <c r="E163" s="419">
        <f t="shared" si="16"/>
        <v>-16469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616</v>
      </c>
      <c r="C164" s="378">
        <f>IF(C163=0,0,C154/C163)</f>
        <v>1299.6912380836723</v>
      </c>
      <c r="D164" s="378">
        <f>IF(LN_IE11=0,0,LN_IE2/LN_IE11)</f>
        <v>0</v>
      </c>
      <c r="E164" s="378">
        <f t="shared" si="16"/>
        <v>-1299.6912380836723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617</v>
      </c>
      <c r="C165" s="379">
        <f>IF(C156=0,0,C163/C156)</f>
        <v>5.2700800000000001</v>
      </c>
      <c r="D165" s="379">
        <f>IF(LN_IE4=0,0,LN_IE11/LN_IE4)</f>
        <v>0</v>
      </c>
      <c r="E165" s="379">
        <f t="shared" si="16"/>
        <v>-5.2700800000000001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664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619</v>
      </c>
      <c r="C168" s="424">
        <v>42816317</v>
      </c>
      <c r="D168" s="424">
        <v>0</v>
      </c>
      <c r="E168" s="424">
        <f t="shared" ref="E168:E176" si="18">D168-C168</f>
        <v>-42816317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620</v>
      </c>
      <c r="C169" s="424">
        <v>8339594</v>
      </c>
      <c r="D169" s="424">
        <v>0</v>
      </c>
      <c r="E169" s="424">
        <f t="shared" si="18"/>
        <v>-8339594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621</v>
      </c>
      <c r="C170" s="366">
        <f>IF(C168=0,0,C169/C168)</f>
        <v>0.19477607100115593</v>
      </c>
      <c r="D170" s="366">
        <f>IF(LN_IE14=0,0,LN_IE15/LN_IE14)</f>
        <v>0</v>
      </c>
      <c r="E170" s="367">
        <f t="shared" si="18"/>
        <v>-0.19477607100115593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622</v>
      </c>
      <c r="C171" s="366">
        <f>IF(C153=0,0,C168/C153)</f>
        <v>0.31796418078631006</v>
      </c>
      <c r="D171" s="366">
        <f>IF(LN_IE1=0,0,LN_IE14/LN_IE1)</f>
        <v>0</v>
      </c>
      <c r="E171" s="367">
        <f t="shared" si="18"/>
        <v>-0.31796418078631006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623</v>
      </c>
      <c r="C172" s="376">
        <f>C171*C156</f>
        <v>993.63806495721894</v>
      </c>
      <c r="D172" s="376">
        <f>LN_IE17*LN_IE4</f>
        <v>0</v>
      </c>
      <c r="E172" s="376">
        <f t="shared" si="18"/>
        <v>-993.63806495721894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624</v>
      </c>
      <c r="C173" s="378">
        <f>IF(C172=0,0,C169/C172)</f>
        <v>8392.989654999843</v>
      </c>
      <c r="D173" s="378">
        <f>IF(LN_IE18=0,0,LN_IE15/LN_IE18)</f>
        <v>0</v>
      </c>
      <c r="E173" s="378">
        <f t="shared" si="18"/>
        <v>-8392.989654999843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665</v>
      </c>
      <c r="C174" s="378">
        <f>C61-C173</f>
        <v>10886.872757933465</v>
      </c>
      <c r="D174" s="378">
        <f>LN_IB18-LN_IE19</f>
        <v>20597.315842712505</v>
      </c>
      <c r="E174" s="378">
        <f t="shared" si="18"/>
        <v>9710.4430847790409</v>
      </c>
      <c r="F174" s="362">
        <f t="shared" si="19"/>
        <v>0.89194053248237537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666</v>
      </c>
      <c r="C175" s="378">
        <f>C32-C173</f>
        <v>3507.9968419101897</v>
      </c>
      <c r="D175" s="378">
        <f>LN_IA16-LN_IE19</f>
        <v>13639.315312889505</v>
      </c>
      <c r="E175" s="378">
        <f t="shared" si="18"/>
        <v>10131.318470979315</v>
      </c>
      <c r="F175" s="362">
        <f t="shared" si="19"/>
        <v>2.8880637376693206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635</v>
      </c>
      <c r="C176" s="353">
        <f>C175*C172</f>
        <v>3485679.193871676</v>
      </c>
      <c r="D176" s="353">
        <f>LN_IE21*LN_IE18</f>
        <v>0</v>
      </c>
      <c r="E176" s="353">
        <f t="shared" si="18"/>
        <v>-3485679.193871676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667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626</v>
      </c>
      <c r="C179" s="361">
        <f>C153+C168</f>
        <v>177473991</v>
      </c>
      <c r="D179" s="361">
        <f>LN_IE1+LN_IE14</f>
        <v>0</v>
      </c>
      <c r="E179" s="361">
        <f>D179-C179</f>
        <v>-177473991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627</v>
      </c>
      <c r="C180" s="361">
        <f>C154+C169</f>
        <v>29744209</v>
      </c>
      <c r="D180" s="361">
        <f>LN_IE15+LN_IE2</f>
        <v>0</v>
      </c>
      <c r="E180" s="361">
        <f>D180-C180</f>
        <v>-29744209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628</v>
      </c>
      <c r="C181" s="361">
        <f>C179-C180</f>
        <v>147729782</v>
      </c>
      <c r="D181" s="361">
        <f>LN_IE23-LN_IE24</f>
        <v>0</v>
      </c>
      <c r="E181" s="361">
        <f>D181-C181</f>
        <v>-147729782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668</v>
      </c>
      <c r="C183" s="361">
        <f>C162+C176</f>
        <v>23656662.658183765</v>
      </c>
      <c r="D183" s="361">
        <f>LN_IE10+LN_IE22</f>
        <v>0</v>
      </c>
      <c r="E183" s="353">
        <f>D183-C183</f>
        <v>-23656662.658183765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669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670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610</v>
      </c>
      <c r="C188" s="361">
        <f>C118+C153</f>
        <v>687930523</v>
      </c>
      <c r="D188" s="361">
        <f>LN_ID1+LN_IE1</f>
        <v>787961706</v>
      </c>
      <c r="E188" s="361">
        <f t="shared" ref="E188:E200" si="20">D188-C188</f>
        <v>100031183</v>
      </c>
      <c r="F188" s="362">
        <f t="shared" ref="F188:F200" si="21">IF(C188=0,0,E188/C188)</f>
        <v>0.14540884530573445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611</v>
      </c>
      <c r="C189" s="361">
        <f>C119+C154</f>
        <v>118402345</v>
      </c>
      <c r="D189" s="361">
        <f>LN_1D2+LN_IE2</f>
        <v>137609515</v>
      </c>
      <c r="E189" s="361">
        <f t="shared" si="20"/>
        <v>19207170</v>
      </c>
      <c r="F189" s="362">
        <f t="shared" si="21"/>
        <v>0.16221950671669552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612</v>
      </c>
      <c r="C190" s="366">
        <f>IF(C188=0,0,C189/C188)</f>
        <v>0.1721138124292822</v>
      </c>
      <c r="D190" s="366">
        <f>IF(LN_IF1=0,0,LN_IF2/LN_IF1)</f>
        <v>0.17463985108941321</v>
      </c>
      <c r="E190" s="367">
        <f t="shared" si="20"/>
        <v>2.5260386601310136E-3</v>
      </c>
      <c r="F190" s="362">
        <f t="shared" si="21"/>
        <v>1.4676559797714711E-2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15521</v>
      </c>
      <c r="D191" s="369">
        <f>LN_ID4+LN_IE4</f>
        <v>16249</v>
      </c>
      <c r="E191" s="369">
        <f t="shared" si="20"/>
        <v>728</v>
      </c>
      <c r="F191" s="362">
        <f t="shared" si="21"/>
        <v>4.6904194317376455E-2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613</v>
      </c>
      <c r="C192" s="372">
        <f>IF((C121+C156)=0,0,(C123+C158)/(C121+C156))</f>
        <v>1.1476978609625668</v>
      </c>
      <c r="D192" s="372">
        <f>IF((LN_ID4+LN_IE4)=0,0,(LN_ID6+LN_IE6)/(LN_ID4+LN_IE4))</f>
        <v>1.2388999999999999</v>
      </c>
      <c r="E192" s="373">
        <f t="shared" si="20"/>
        <v>9.1202139037433128E-2</v>
      </c>
      <c r="F192" s="362">
        <f t="shared" si="21"/>
        <v>7.9465286239134819E-2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614</v>
      </c>
      <c r="C193" s="376">
        <f>C123+C158</f>
        <v>17813.4185</v>
      </c>
      <c r="D193" s="376">
        <f>LN_IF4*LN_IF5</f>
        <v>20130.8861</v>
      </c>
      <c r="E193" s="376">
        <f t="shared" si="20"/>
        <v>2317.4675999999999</v>
      </c>
      <c r="F193" s="362">
        <f t="shared" si="21"/>
        <v>0.13009673578375763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615</v>
      </c>
      <c r="C194" s="378">
        <f>IF(C193=0,0,C189/C193)</f>
        <v>6646.8064509908645</v>
      </c>
      <c r="D194" s="378">
        <f>IF(LN_IF6=0,0,LN_IF2/LN_IF6)</f>
        <v>6835.7405787517719</v>
      </c>
      <c r="E194" s="378">
        <f t="shared" si="20"/>
        <v>188.93412776090736</v>
      </c>
      <c r="F194" s="362">
        <f t="shared" si="21"/>
        <v>2.8424797555635494E-2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671</v>
      </c>
      <c r="C195" s="378">
        <f>C48-C194</f>
        <v>6139.5397835235972</v>
      </c>
      <c r="D195" s="378">
        <f>LN_IB7-LN_IF7</f>
        <v>5666.3136121299985</v>
      </c>
      <c r="E195" s="378">
        <f t="shared" si="20"/>
        <v>-473.22617139359863</v>
      </c>
      <c r="F195" s="362">
        <f t="shared" si="21"/>
        <v>-7.707844367481323E-2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672</v>
      </c>
      <c r="C196" s="378">
        <f>C21-C194</f>
        <v>4494.7993681029029</v>
      </c>
      <c r="D196" s="378">
        <f>LN_IA7-LN_IF7</f>
        <v>4186.5023831327298</v>
      </c>
      <c r="E196" s="378">
        <f t="shared" si="20"/>
        <v>-308.29698497017307</v>
      </c>
      <c r="F196" s="362">
        <f t="shared" si="21"/>
        <v>-6.8589709956352163E-2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632</v>
      </c>
      <c r="C197" s="391">
        <f>C127+C162</f>
        <v>80067742.217552543</v>
      </c>
      <c r="D197" s="391">
        <f>LN_IF9*LN_IF6</f>
        <v>84278002.632223547</v>
      </c>
      <c r="E197" s="391">
        <f t="shared" si="20"/>
        <v>4210260.4146710038</v>
      </c>
      <c r="F197" s="362">
        <f t="shared" si="21"/>
        <v>5.2583728453729592E-2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86934</v>
      </c>
      <c r="D198" s="369">
        <f>LN_ID11+LN_IE11</f>
        <v>92087</v>
      </c>
      <c r="E198" s="369">
        <f t="shared" si="20"/>
        <v>5153</v>
      </c>
      <c r="F198" s="362">
        <f t="shared" si="21"/>
        <v>5.9274852186716361E-2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616</v>
      </c>
      <c r="C199" s="432">
        <f>IF(C198=0,0,C189/C198)</f>
        <v>1361.979720247544</v>
      </c>
      <c r="D199" s="432">
        <f>IF(LN_IF11=0,0,LN_IF2/LN_IF11)</f>
        <v>1494.3424696211191</v>
      </c>
      <c r="E199" s="432">
        <f t="shared" si="20"/>
        <v>132.36274937357507</v>
      </c>
      <c r="F199" s="362">
        <f t="shared" si="21"/>
        <v>9.7184082410212189E-2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617</v>
      </c>
      <c r="C200" s="379">
        <f>IF(C191=0,0,C198/C191)</f>
        <v>5.6010566329489082</v>
      </c>
      <c r="D200" s="379">
        <f>IF(LN_IF4=0,0,LN_IF11/LN_IF4)</f>
        <v>5.6672410609883688</v>
      </c>
      <c r="E200" s="379">
        <f t="shared" si="20"/>
        <v>6.6184428039460563E-2</v>
      </c>
      <c r="F200" s="362">
        <f t="shared" si="21"/>
        <v>1.1816418289742418E-2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673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619</v>
      </c>
      <c r="C203" s="361">
        <f>C133+C168</f>
        <v>243984889</v>
      </c>
      <c r="D203" s="361">
        <f>LN_ID14+LN_IE14</f>
        <v>295984179</v>
      </c>
      <c r="E203" s="361">
        <f t="shared" ref="E203:E211" si="22">D203-C203</f>
        <v>51999290</v>
      </c>
      <c r="F203" s="362">
        <f t="shared" ref="F203:F211" si="23">IF(C203=0,0,E203/C203)</f>
        <v>0.21312504316609543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620</v>
      </c>
      <c r="C204" s="361">
        <f>C134+C169</f>
        <v>62476654</v>
      </c>
      <c r="D204" s="361">
        <f>LN_ID15+LN_IE15</f>
        <v>76318653</v>
      </c>
      <c r="E204" s="361">
        <f t="shared" si="22"/>
        <v>13841999</v>
      </c>
      <c r="F204" s="362">
        <f t="shared" si="23"/>
        <v>0.22155474267235886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621</v>
      </c>
      <c r="C205" s="366">
        <f>IF(C203=0,0,C204/C203)</f>
        <v>0.25606771901353287</v>
      </c>
      <c r="D205" s="366">
        <f>IF(LN_IF14=0,0,LN_IF15/LN_IF14)</f>
        <v>0.25784706891377462</v>
      </c>
      <c r="E205" s="367">
        <f t="shared" si="22"/>
        <v>1.7793499002417557E-3</v>
      </c>
      <c r="F205" s="362">
        <f t="shared" si="23"/>
        <v>6.9487474137562774E-3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622</v>
      </c>
      <c r="C206" s="366">
        <f>IF(C188=0,0,C203/C188)</f>
        <v>0.35466501462386779</v>
      </c>
      <c r="D206" s="366">
        <f>IF(LN_IF1=0,0,LN_IF14/LN_IF1)</f>
        <v>0.37563269476956029</v>
      </c>
      <c r="E206" s="367">
        <f t="shared" si="22"/>
        <v>2.0967680145692502E-2</v>
      </c>
      <c r="F206" s="362">
        <f t="shared" si="23"/>
        <v>5.9119674287381616E-2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623</v>
      </c>
      <c r="C207" s="376">
        <f>C137+C172</f>
        <v>5500.7914939012808</v>
      </c>
      <c r="D207" s="376">
        <f>LN_ID18+LN_IE18</f>
        <v>6103.6556573105854</v>
      </c>
      <c r="E207" s="376">
        <f t="shared" si="22"/>
        <v>602.86416340930464</v>
      </c>
      <c r="F207" s="362">
        <f t="shared" si="23"/>
        <v>0.10959589435042198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624</v>
      </c>
      <c r="C208" s="378">
        <f>IF(C207=0,0,C204/C207)</f>
        <v>11357.757164449475</v>
      </c>
      <c r="D208" s="378">
        <f>IF(LN_IF18=0,0,LN_IF15/LN_IF18)</f>
        <v>12503.761235054304</v>
      </c>
      <c r="E208" s="378">
        <f t="shared" si="22"/>
        <v>1146.0040706048294</v>
      </c>
      <c r="F208" s="362">
        <f t="shared" si="23"/>
        <v>0.10090056108893553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674</v>
      </c>
      <c r="C209" s="378">
        <f>C61-C208</f>
        <v>7922.1052484838328</v>
      </c>
      <c r="D209" s="378">
        <f>LN_IB18-LN_IF19</f>
        <v>8093.5546076582013</v>
      </c>
      <c r="E209" s="378">
        <f t="shared" si="22"/>
        <v>171.44935917436851</v>
      </c>
      <c r="F209" s="362">
        <f t="shared" si="23"/>
        <v>2.1641893637702077E-2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675</v>
      </c>
      <c r="C210" s="378">
        <f>C32-C208</f>
        <v>543.229332460558</v>
      </c>
      <c r="D210" s="378">
        <f>LN_IA16-LN_IF19</f>
        <v>1135.5540778352006</v>
      </c>
      <c r="E210" s="378">
        <f t="shared" si="22"/>
        <v>592.32474537464259</v>
      </c>
      <c r="F210" s="362">
        <f t="shared" si="23"/>
        <v>1.0903769549624776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635</v>
      </c>
      <c r="C211" s="391">
        <f>C141+C176</f>
        <v>2988191.291236701</v>
      </c>
      <c r="D211" s="353">
        <f>LN_IF21*LN_IF18</f>
        <v>6931031.0713609271</v>
      </c>
      <c r="E211" s="353">
        <f t="shared" si="22"/>
        <v>3942839.7801242261</v>
      </c>
      <c r="F211" s="362">
        <f t="shared" si="23"/>
        <v>1.3194736868711079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676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626</v>
      </c>
      <c r="C214" s="361">
        <f>C188+C203</f>
        <v>931915412</v>
      </c>
      <c r="D214" s="361">
        <f>LN_IF1+LN_IF14</f>
        <v>1083945885</v>
      </c>
      <c r="E214" s="361">
        <f>D214-C214</f>
        <v>152030473</v>
      </c>
      <c r="F214" s="362">
        <f>IF(C214=0,0,E214/C214)</f>
        <v>0.16313763142271115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627</v>
      </c>
      <c r="C215" s="361">
        <f>C189+C204</f>
        <v>180878999</v>
      </c>
      <c r="D215" s="361">
        <f>LN_IF2+LN_IF15</f>
        <v>213928168</v>
      </c>
      <c r="E215" s="361">
        <f>D215-C215</f>
        <v>33049169</v>
      </c>
      <c r="F215" s="362">
        <f>IF(C215=0,0,E215/C215)</f>
        <v>0.18271424091638189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628</v>
      </c>
      <c r="C216" s="361">
        <f>C214-C215</f>
        <v>751036413</v>
      </c>
      <c r="D216" s="361">
        <f>LN_IF23-LN_IF24</f>
        <v>870017717</v>
      </c>
      <c r="E216" s="361">
        <f>D216-C216</f>
        <v>118981304</v>
      </c>
      <c r="F216" s="362">
        <f>IF(C216=0,0,E216/C216)</f>
        <v>0.15842281671101877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677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678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610</v>
      </c>
      <c r="C221" s="361">
        <v>16820452</v>
      </c>
      <c r="D221" s="361">
        <v>19854188</v>
      </c>
      <c r="E221" s="361">
        <f t="shared" ref="E221:E230" si="24">D221-C221</f>
        <v>3033736</v>
      </c>
      <c r="F221" s="362">
        <f t="shared" ref="F221:F230" si="25">IF(C221=0,0,E221/C221)</f>
        <v>0.18035995703325927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611</v>
      </c>
      <c r="C222" s="361">
        <v>3524787</v>
      </c>
      <c r="D222" s="361">
        <v>4756382</v>
      </c>
      <c r="E222" s="361">
        <f t="shared" si="24"/>
        <v>1231595</v>
      </c>
      <c r="F222" s="362">
        <f t="shared" si="25"/>
        <v>0.34940976575322141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612</v>
      </c>
      <c r="C223" s="366">
        <f>IF(C221=0,0,C222/C221)</f>
        <v>0.2095536433860398</v>
      </c>
      <c r="D223" s="366">
        <f>IF(LN_IG1=0,0,LN_IG2/LN_IG1)</f>
        <v>0.23956567752858993</v>
      </c>
      <c r="E223" s="367">
        <f t="shared" si="24"/>
        <v>3.0012034142550131E-2</v>
      </c>
      <c r="F223" s="362">
        <f t="shared" si="25"/>
        <v>0.14321886108781201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323</v>
      </c>
      <c r="D224" s="369">
        <v>347</v>
      </c>
      <c r="E224" s="369">
        <f t="shared" si="24"/>
        <v>24</v>
      </c>
      <c r="F224" s="362">
        <f t="shared" si="25"/>
        <v>7.4303405572755415E-2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613</v>
      </c>
      <c r="C225" s="372">
        <v>1.2423</v>
      </c>
      <c r="D225" s="372">
        <v>1.425</v>
      </c>
      <c r="E225" s="373">
        <f t="shared" si="24"/>
        <v>0.18270000000000008</v>
      </c>
      <c r="F225" s="362">
        <f t="shared" si="25"/>
        <v>0.14706592610480568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614</v>
      </c>
      <c r="C226" s="376">
        <f>C224*C225</f>
        <v>401.2629</v>
      </c>
      <c r="D226" s="376">
        <f>LN_IG3*LN_IG4</f>
        <v>494.47500000000002</v>
      </c>
      <c r="E226" s="376">
        <f t="shared" si="24"/>
        <v>93.212100000000021</v>
      </c>
      <c r="F226" s="362">
        <f t="shared" si="25"/>
        <v>0.23229683083085931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615</v>
      </c>
      <c r="C227" s="378">
        <f>IF(C226=0,0,C222/C226)</f>
        <v>8784.2334788489043</v>
      </c>
      <c r="D227" s="378">
        <f>IF(LN_IG5=0,0,LN_IG2/LN_IG5)</f>
        <v>9619.0545528085331</v>
      </c>
      <c r="E227" s="378">
        <f t="shared" si="24"/>
        <v>834.82107395962885</v>
      </c>
      <c r="F227" s="362">
        <f t="shared" si="25"/>
        <v>9.5036302936363296E-2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1728</v>
      </c>
      <c r="D228" s="369">
        <v>1731</v>
      </c>
      <c r="E228" s="369">
        <f t="shared" si="24"/>
        <v>3</v>
      </c>
      <c r="F228" s="362">
        <f t="shared" si="25"/>
        <v>1.736111111111111E-3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616</v>
      </c>
      <c r="C229" s="378">
        <f>IF(C228=0,0,C222/C228)</f>
        <v>2039.8072916666667</v>
      </c>
      <c r="D229" s="378">
        <f>IF(LN_IG6=0,0,LN_IG2/LN_IG6)</f>
        <v>2747.7654534950893</v>
      </c>
      <c r="E229" s="378">
        <f t="shared" si="24"/>
        <v>707.95816182842259</v>
      </c>
      <c r="F229" s="362">
        <f t="shared" si="25"/>
        <v>0.34707110064792968</v>
      </c>
      <c r="Q229" s="330"/>
      <c r="U229" s="375"/>
    </row>
    <row r="230" spans="1:21" ht="11.25" customHeight="1" x14ac:dyDescent="0.2">
      <c r="A230" s="364">
        <v>10</v>
      </c>
      <c r="B230" s="360" t="s">
        <v>617</v>
      </c>
      <c r="C230" s="379">
        <f>IF(C224=0,0,C228/C224)</f>
        <v>5.3498452012383897</v>
      </c>
      <c r="D230" s="379">
        <f>IF(LN_IG3=0,0,LN_IG6/LN_IG3)</f>
        <v>4.988472622478386</v>
      </c>
      <c r="E230" s="379">
        <f t="shared" si="24"/>
        <v>-0.36137257876000373</v>
      </c>
      <c r="F230" s="362">
        <f t="shared" si="25"/>
        <v>-6.7548230867755327E-2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679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619</v>
      </c>
      <c r="C233" s="361">
        <v>6247026</v>
      </c>
      <c r="D233" s="361">
        <v>7091654</v>
      </c>
      <c r="E233" s="361">
        <f>D233-C233</f>
        <v>844628</v>
      </c>
      <c r="F233" s="362">
        <f>IF(C233=0,0,E233/C233)</f>
        <v>0.13520481585957861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620</v>
      </c>
      <c r="C234" s="361">
        <v>2463260</v>
      </c>
      <c r="D234" s="361">
        <v>1497774</v>
      </c>
      <c r="E234" s="361">
        <f>D234-C234</f>
        <v>-965486</v>
      </c>
      <c r="F234" s="362">
        <f>IF(C234=0,0,E234/C234)</f>
        <v>-0.39195456427660907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680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626</v>
      </c>
      <c r="C237" s="361">
        <f>C221+C233</f>
        <v>23067478</v>
      </c>
      <c r="D237" s="361">
        <f>LN_IG1+LN_IG9</f>
        <v>26945842</v>
      </c>
      <c r="E237" s="361">
        <f>D237-C237</f>
        <v>3878364</v>
      </c>
      <c r="F237" s="362">
        <f>IF(C237=0,0,E237/C237)</f>
        <v>0.16813125388046321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627</v>
      </c>
      <c r="C238" s="361">
        <f>C222+C234</f>
        <v>5988047</v>
      </c>
      <c r="D238" s="361">
        <f>LN_IG2+LN_IG10</f>
        <v>6254156</v>
      </c>
      <c r="E238" s="361">
        <f>D238-C238</f>
        <v>266109</v>
      </c>
      <c r="F238" s="362">
        <f>IF(C238=0,0,E238/C238)</f>
        <v>4.4440031950317024E-2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628</v>
      </c>
      <c r="C239" s="361">
        <f>C237-C238</f>
        <v>17079431</v>
      </c>
      <c r="D239" s="361">
        <f>LN_IG13-LN_IG14</f>
        <v>20691686</v>
      </c>
      <c r="E239" s="361">
        <f>D239-C239</f>
        <v>3612255</v>
      </c>
      <c r="F239" s="362">
        <f>IF(C239=0,0,E239/C239)</f>
        <v>0.21149738536371615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681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682</v>
      </c>
      <c r="C243" s="361">
        <v>11389417</v>
      </c>
      <c r="D243" s="361">
        <v>9434287</v>
      </c>
      <c r="E243" s="353">
        <f>D243-C243</f>
        <v>-1955130</v>
      </c>
      <c r="F243" s="415">
        <f>IF(C243=0,0,E243/C243)</f>
        <v>-0.17166199112737729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683</v>
      </c>
      <c r="C244" s="361">
        <v>1297936000</v>
      </c>
      <c r="D244" s="361">
        <v>1435807000</v>
      </c>
      <c r="E244" s="353">
        <f>D244-C244</f>
        <v>137871000</v>
      </c>
      <c r="F244" s="415">
        <f>IF(C244=0,0,E244/C244)</f>
        <v>0.10622326524574401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684</v>
      </c>
      <c r="C245" s="400">
        <v>11001260</v>
      </c>
      <c r="D245" s="400">
        <v>0</v>
      </c>
      <c r="E245" s="400">
        <f>D245-C245</f>
        <v>-11001260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685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686</v>
      </c>
      <c r="C248" s="353">
        <v>28159845</v>
      </c>
      <c r="D248" s="353">
        <v>31059911</v>
      </c>
      <c r="E248" s="353">
        <f>D248-C248</f>
        <v>2900066</v>
      </c>
      <c r="F248" s="362">
        <f>IF(C248=0,0,E248/C248)</f>
        <v>0.10298586515657313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687</v>
      </c>
      <c r="C249" s="353">
        <v>61051690</v>
      </c>
      <c r="D249" s="353">
        <v>55846721</v>
      </c>
      <c r="E249" s="353">
        <f>D249-C249</f>
        <v>-5204969</v>
      </c>
      <c r="F249" s="362">
        <f>IF(C249=0,0,E249/C249)</f>
        <v>-8.5255117425905816E-2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688</v>
      </c>
      <c r="C250" s="353">
        <f>C248+C249</f>
        <v>89211535</v>
      </c>
      <c r="D250" s="353">
        <f>LN_IH4+LN_IH5</f>
        <v>86906632</v>
      </c>
      <c r="E250" s="353">
        <f>D250-C250</f>
        <v>-2304903</v>
      </c>
      <c r="F250" s="362">
        <f>IF(C250=0,0,E250/C250)</f>
        <v>-2.583637867009014E-2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689</v>
      </c>
      <c r="C251" s="353">
        <f>C250*C313</f>
        <v>30783717.12514868</v>
      </c>
      <c r="D251" s="353">
        <f>LN_IH6*LN_III10</f>
        <v>28013188.481347926</v>
      </c>
      <c r="E251" s="353">
        <f>D251-C251</f>
        <v>-2770528.6438007541</v>
      </c>
      <c r="F251" s="362">
        <f>IF(C251=0,0,E251/C251)</f>
        <v>-8.9999808422660491E-2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690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626</v>
      </c>
      <c r="C254" s="353">
        <f>C188+C203</f>
        <v>931915412</v>
      </c>
      <c r="D254" s="353">
        <f>LN_IF23</f>
        <v>1083945885</v>
      </c>
      <c r="E254" s="353">
        <f>D254-C254</f>
        <v>152030473</v>
      </c>
      <c r="F254" s="362">
        <f>IF(C254=0,0,E254/C254)</f>
        <v>0.16313763142271115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627</v>
      </c>
      <c r="C255" s="353">
        <f>C189+C204</f>
        <v>180878999</v>
      </c>
      <c r="D255" s="353">
        <f>LN_IF24</f>
        <v>213928168</v>
      </c>
      <c r="E255" s="353">
        <f>D255-C255</f>
        <v>33049169</v>
      </c>
      <c r="F255" s="362">
        <f>IF(C255=0,0,E255/C255)</f>
        <v>0.18271424091638189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691</v>
      </c>
      <c r="C256" s="353">
        <f>C254*C313</f>
        <v>321570752.34244525</v>
      </c>
      <c r="D256" s="353">
        <f>LN_IH8*LN_III10</f>
        <v>349395433.71196902</v>
      </c>
      <c r="E256" s="353">
        <f>D256-C256</f>
        <v>27824681.369523764</v>
      </c>
      <c r="F256" s="362">
        <f>IF(C256=0,0,E256/C256)</f>
        <v>8.6527400787658901E-2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692</v>
      </c>
      <c r="C257" s="353">
        <f>C256-C255</f>
        <v>140691753.34244525</v>
      </c>
      <c r="D257" s="353">
        <f>LN_IH10-LN_IH9</f>
        <v>135467265.71196902</v>
      </c>
      <c r="E257" s="353">
        <f>D257-C257</f>
        <v>-5224487.6304762363</v>
      </c>
      <c r="F257" s="362">
        <f>IF(C257=0,0,E257/C257)</f>
        <v>-3.7134284749154964E-2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693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694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695</v>
      </c>
      <c r="C261" s="361">
        <f>C15+C42+C188+C221</f>
        <v>2627185680</v>
      </c>
      <c r="D261" s="361">
        <f>LN_IA1+LN_IB1+LN_IF1+LN_IG1</f>
        <v>2984808958</v>
      </c>
      <c r="E261" s="361">
        <f t="shared" ref="E261:E274" si="26">D261-C261</f>
        <v>357623278</v>
      </c>
      <c r="F261" s="415">
        <f t="shared" ref="F261:F274" si="27">IF(C261=0,0,E261/C261)</f>
        <v>0.13612409687007734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696</v>
      </c>
      <c r="C262" s="361">
        <f>C16+C43+C189+C222</f>
        <v>816645037</v>
      </c>
      <c r="D262" s="361">
        <f>+LN_IA2+LN_IB2+LN_IF2+LN_IG2</f>
        <v>884160756</v>
      </c>
      <c r="E262" s="361">
        <f t="shared" si="26"/>
        <v>67515719</v>
      </c>
      <c r="F262" s="415">
        <f t="shared" si="27"/>
        <v>8.2674498638996813E-2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697</v>
      </c>
      <c r="C263" s="366">
        <f>IF(C261=0,0,C262/C261)</f>
        <v>0.31084405004826304</v>
      </c>
      <c r="D263" s="366">
        <f>IF(LN_IIA1=0,0,LN_IIA2/LN_IIA1)</f>
        <v>0.29622021658379116</v>
      </c>
      <c r="E263" s="367">
        <f t="shared" si="26"/>
        <v>-1.462383346447188E-2</v>
      </c>
      <c r="F263" s="371">
        <f t="shared" si="27"/>
        <v>-4.7045563401330405E-2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698</v>
      </c>
      <c r="C264" s="369">
        <f>C18+C45+C191+C224</f>
        <v>56602</v>
      </c>
      <c r="D264" s="369">
        <f>LN_IA4+LN_IB4+LN_IF4+LN_IG3</f>
        <v>57451</v>
      </c>
      <c r="E264" s="369">
        <f t="shared" si="26"/>
        <v>849</v>
      </c>
      <c r="F264" s="415">
        <f t="shared" si="27"/>
        <v>1.4999469983392813E-2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699</v>
      </c>
      <c r="C265" s="439">
        <f>IF(C264=0,0,C266/C264)</f>
        <v>1.3476329723331331</v>
      </c>
      <c r="D265" s="439">
        <f>IF(LN_IIA4=0,0,LN_IIA6/LN_IIA4)</f>
        <v>1.4568937686028096</v>
      </c>
      <c r="E265" s="439">
        <f t="shared" si="26"/>
        <v>0.10926079626967655</v>
      </c>
      <c r="F265" s="415">
        <f t="shared" si="27"/>
        <v>8.1076078214764424E-2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700</v>
      </c>
      <c r="C266" s="376">
        <f>C20+C47+C193+C226</f>
        <v>76278.7215</v>
      </c>
      <c r="D266" s="376">
        <f>LN_IA6+LN_IB6+LN_IF6+LN_IG5</f>
        <v>83700.003900000011</v>
      </c>
      <c r="E266" s="376">
        <f t="shared" si="26"/>
        <v>7421.282400000011</v>
      </c>
      <c r="F266" s="415">
        <f t="shared" si="27"/>
        <v>9.7291646399710704E-2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701</v>
      </c>
      <c r="C267" s="361">
        <f>C27+C56+C203+C233</f>
        <v>1274874485</v>
      </c>
      <c r="D267" s="361">
        <f>LN_IA11+LN_IB13+LN_IF14+LN_IG9</f>
        <v>1458487489</v>
      </c>
      <c r="E267" s="361">
        <f t="shared" si="26"/>
        <v>183613004</v>
      </c>
      <c r="F267" s="415">
        <f t="shared" si="27"/>
        <v>0.14402437742724139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622</v>
      </c>
      <c r="C268" s="366">
        <f>IF(C261=0,0,C267/C261)</f>
        <v>0.48526242157349153</v>
      </c>
      <c r="D268" s="366">
        <f>IF(LN_IIA1=0,0,LN_IIA7/LN_IIA1)</f>
        <v>0.48863679703550394</v>
      </c>
      <c r="E268" s="367">
        <f t="shared" si="26"/>
        <v>3.3743754620124133E-3</v>
      </c>
      <c r="F268" s="371">
        <f t="shared" si="27"/>
        <v>6.953712696463916E-3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702</v>
      </c>
      <c r="C269" s="361">
        <f>C28+C57+C204+C234</f>
        <v>453235335</v>
      </c>
      <c r="D269" s="361">
        <f>LN_IA12+LN_IB14+LN_IF15+LN_IG10</f>
        <v>503316611</v>
      </c>
      <c r="E269" s="361">
        <f t="shared" si="26"/>
        <v>50081276</v>
      </c>
      <c r="F269" s="415">
        <f t="shared" si="27"/>
        <v>0.11049728944897909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621</v>
      </c>
      <c r="C270" s="366">
        <f>IF(C267=0,0,C269/C267)</f>
        <v>0.35551369200082467</v>
      </c>
      <c r="D270" s="366">
        <f>IF(LN_IIA7=0,0,LN_IIA9/LN_IIA7)</f>
        <v>0.34509491154092442</v>
      </c>
      <c r="E270" s="367">
        <f t="shared" si="26"/>
        <v>-1.0418780459900245E-2</v>
      </c>
      <c r="F270" s="371">
        <f t="shared" si="27"/>
        <v>-2.9306270600334791E-2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703</v>
      </c>
      <c r="C271" s="353">
        <f>C261+C267</f>
        <v>3902060165</v>
      </c>
      <c r="D271" s="353">
        <f>LN_IIA1+LN_IIA7</f>
        <v>4443296447</v>
      </c>
      <c r="E271" s="353">
        <f t="shared" si="26"/>
        <v>541236282</v>
      </c>
      <c r="F271" s="415">
        <f t="shared" si="27"/>
        <v>0.13870526314655121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704</v>
      </c>
      <c r="C272" s="353">
        <f>C262+C269</f>
        <v>1269880372</v>
      </c>
      <c r="D272" s="353">
        <f>LN_IIA2+LN_IIA9</f>
        <v>1387477367</v>
      </c>
      <c r="E272" s="353">
        <f t="shared" si="26"/>
        <v>117596995</v>
      </c>
      <c r="F272" s="415">
        <f t="shared" si="27"/>
        <v>9.2604781988078477E-2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705</v>
      </c>
      <c r="C273" s="366">
        <f>IF(C271=0,0,C272/C271)</f>
        <v>0.32543843977351899</v>
      </c>
      <c r="D273" s="366">
        <f>IF(LN_IIA11=0,0,LN_IIA12/LN_IIA11)</f>
        <v>0.31226306494512407</v>
      </c>
      <c r="E273" s="367">
        <f t="shared" si="26"/>
        <v>-1.3175374828394926E-2</v>
      </c>
      <c r="F273" s="371">
        <f t="shared" si="27"/>
        <v>-4.0484998752956192E-2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284705</v>
      </c>
      <c r="D274" s="421">
        <f>LN_IA8+LN_IB10+LN_IF11+LN_IG6</f>
        <v>300989</v>
      </c>
      <c r="E274" s="442">
        <f t="shared" si="26"/>
        <v>16284</v>
      </c>
      <c r="F274" s="371">
        <f t="shared" si="27"/>
        <v>5.7196045029065175E-2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706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707</v>
      </c>
      <c r="C277" s="361">
        <f>C15+C188+C221</f>
        <v>1630410395</v>
      </c>
      <c r="D277" s="361">
        <f>LN_IA1+LN_IF1+LN_IG1</f>
        <v>1916637145</v>
      </c>
      <c r="E277" s="361">
        <f t="shared" ref="E277:E291" si="28">D277-C277</f>
        <v>286226750</v>
      </c>
      <c r="F277" s="415">
        <f t="shared" ref="F277:F291" si="29">IF(C277=0,0,E277/C277)</f>
        <v>0.1755550325720292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708</v>
      </c>
      <c r="C278" s="361">
        <f>C16+C189+C222</f>
        <v>445111897</v>
      </c>
      <c r="D278" s="361">
        <f>LN_IA2+LN_IF2+LN_IG2</f>
        <v>490711294</v>
      </c>
      <c r="E278" s="361">
        <f t="shared" si="28"/>
        <v>45599397</v>
      </c>
      <c r="F278" s="415">
        <f t="shared" si="29"/>
        <v>0.10244479490962696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709</v>
      </c>
      <c r="C279" s="366">
        <f>IF(C277=0,0,C278/C277)</f>
        <v>0.27300604704498344</v>
      </c>
      <c r="D279" s="366">
        <f>IF(D277=0,0,LN_IIB2/D277)</f>
        <v>0.2560272273132847</v>
      </c>
      <c r="E279" s="367">
        <f t="shared" si="28"/>
        <v>-1.6978819731698735E-2</v>
      </c>
      <c r="F279" s="371">
        <f t="shared" si="29"/>
        <v>-6.2192101294009511E-2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710</v>
      </c>
      <c r="C280" s="369">
        <f>C18+C191+C224</f>
        <v>33201</v>
      </c>
      <c r="D280" s="369">
        <f>LN_IA4+LN_IF4+LN_IG3</f>
        <v>34343</v>
      </c>
      <c r="E280" s="369">
        <f t="shared" si="28"/>
        <v>1142</v>
      </c>
      <c r="F280" s="415">
        <f t="shared" si="29"/>
        <v>3.4396554320652993E-2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711</v>
      </c>
      <c r="C281" s="439">
        <f>IF(C280=0,0,C282/C280)</f>
        <v>1.4222975151350863</v>
      </c>
      <c r="D281" s="439">
        <f>IF(LN_IIB4=0,0,LN_IIB6/LN_IIB4)</f>
        <v>1.5208111900532859</v>
      </c>
      <c r="E281" s="439">
        <f t="shared" si="28"/>
        <v>9.8513674918199623E-2</v>
      </c>
      <c r="F281" s="415">
        <f t="shared" si="29"/>
        <v>6.9263760830548193E-2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712</v>
      </c>
      <c r="C282" s="376">
        <f>C20+C193+C226</f>
        <v>47221.699800000002</v>
      </c>
      <c r="D282" s="376">
        <f>LN_IA6+LN_IF6+LN_IG5</f>
        <v>52229.218699999998</v>
      </c>
      <c r="E282" s="376">
        <f t="shared" si="28"/>
        <v>5007.5188999999955</v>
      </c>
      <c r="F282" s="415">
        <f t="shared" si="29"/>
        <v>0.10604274986306179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713</v>
      </c>
      <c r="C283" s="361">
        <f>C27+C203+C233</f>
        <v>579186603</v>
      </c>
      <c r="D283" s="361">
        <f>LN_IA11+LN_IF14+LN_IG9</f>
        <v>696130313</v>
      </c>
      <c r="E283" s="361">
        <f t="shared" si="28"/>
        <v>116943710</v>
      </c>
      <c r="F283" s="415">
        <f t="shared" si="29"/>
        <v>0.20191024687772344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714</v>
      </c>
      <c r="C284" s="366">
        <f>IF(C277=0,0,C283/C277)</f>
        <v>0.35523976342165065</v>
      </c>
      <c r="D284" s="366">
        <f>IF(D277=0,0,LN_IIB7/D277)</f>
        <v>0.36320401846328615</v>
      </c>
      <c r="E284" s="367">
        <f t="shared" si="28"/>
        <v>7.964255041635504E-3</v>
      </c>
      <c r="F284" s="371">
        <f t="shared" si="29"/>
        <v>2.2419379421166764E-2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715</v>
      </c>
      <c r="C285" s="361">
        <f>C28+C204+C234</f>
        <v>138347760</v>
      </c>
      <c r="D285" s="361">
        <f>LN_IA12+LN_IF15+LN_IG10</f>
        <v>163620663</v>
      </c>
      <c r="E285" s="361">
        <f t="shared" si="28"/>
        <v>25272903</v>
      </c>
      <c r="F285" s="415">
        <f t="shared" si="29"/>
        <v>0.1826766331453433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716</v>
      </c>
      <c r="C286" s="366">
        <f>IF(C283=0,0,C285/C283)</f>
        <v>0.23886560787732861</v>
      </c>
      <c r="D286" s="366">
        <f>IF(LN_IIB7=0,0,LN_IIB9/LN_IIB7)</f>
        <v>0.23504315204271245</v>
      </c>
      <c r="E286" s="367">
        <f t="shared" si="28"/>
        <v>-3.8224558346161563E-3</v>
      </c>
      <c r="F286" s="371">
        <f t="shared" si="29"/>
        <v>-1.6002537445990173E-2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717</v>
      </c>
      <c r="C287" s="353">
        <f>C277+C283</f>
        <v>2209596998</v>
      </c>
      <c r="D287" s="353">
        <f>D277+LN_IIB7</f>
        <v>2612767458</v>
      </c>
      <c r="E287" s="353">
        <f t="shared" si="28"/>
        <v>403170460</v>
      </c>
      <c r="F287" s="415">
        <f t="shared" si="29"/>
        <v>0.18246334529098596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718</v>
      </c>
      <c r="C288" s="353">
        <f>C278+C285</f>
        <v>583459657</v>
      </c>
      <c r="D288" s="353">
        <f>LN_IIB2+LN_IIB9</f>
        <v>654331957</v>
      </c>
      <c r="E288" s="353">
        <f t="shared" si="28"/>
        <v>70872300</v>
      </c>
      <c r="F288" s="415">
        <f t="shared" si="29"/>
        <v>0.1214690667121823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719</v>
      </c>
      <c r="C289" s="366">
        <f>IF(C287=0,0,C288/C287)</f>
        <v>0.26405704638814864</v>
      </c>
      <c r="D289" s="366">
        <f>IF(LN_IIB11=0,0,LN_IIB12/LN_IIB11)</f>
        <v>0.25043635437073025</v>
      </c>
      <c r="E289" s="367">
        <f t="shared" si="28"/>
        <v>-1.362069201741839E-2</v>
      </c>
      <c r="F289" s="371">
        <f t="shared" si="29"/>
        <v>-5.1582384199650395E-2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186854</v>
      </c>
      <c r="D290" s="421">
        <f>LN_IA8+LN_IF11+LN_IG6</f>
        <v>203324</v>
      </c>
      <c r="E290" s="442">
        <f t="shared" si="28"/>
        <v>16470</v>
      </c>
      <c r="F290" s="371">
        <f t="shared" si="29"/>
        <v>8.8143684373896192E-2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720</v>
      </c>
      <c r="C291" s="361">
        <f>C287-C288</f>
        <v>1626137341</v>
      </c>
      <c r="D291" s="429">
        <f>LN_IIB11-LN_IIB12</f>
        <v>1958435501</v>
      </c>
      <c r="E291" s="353">
        <f t="shared" si="28"/>
        <v>332298160</v>
      </c>
      <c r="F291" s="415">
        <f t="shared" si="29"/>
        <v>0.20434815167312489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617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608</v>
      </c>
      <c r="C294" s="379">
        <f>IF(C18=0,0,C22/C18)</f>
        <v>5.6571988246816849</v>
      </c>
      <c r="D294" s="379">
        <f>IF(LN_IA4=0,0,LN_IA8/LN_IA4)</f>
        <v>6.170394996337409</v>
      </c>
      <c r="E294" s="379">
        <f t="shared" ref="E294:E300" si="30">D294-C294</f>
        <v>0.51319617165572406</v>
      </c>
      <c r="F294" s="415">
        <f t="shared" ref="F294:F300" si="31">IF(C294=0,0,E294/C294)</f>
        <v>9.0715597517398591E-2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629</v>
      </c>
      <c r="C295" s="379">
        <f>IF(C45=0,0,C51/C45)</f>
        <v>4.1814879705995471</v>
      </c>
      <c r="D295" s="379">
        <f>IF(LN_IB4=0,0,(LN_IB10)/(LN_IB4))</f>
        <v>4.2264583693958802</v>
      </c>
      <c r="E295" s="379">
        <f t="shared" si="30"/>
        <v>4.4970398796333022E-2</v>
      </c>
      <c r="F295" s="415">
        <f t="shared" si="31"/>
        <v>1.0754640241111373E-2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644</v>
      </c>
      <c r="C296" s="379">
        <f>IF(C86=0,0,C93/C86)</f>
        <v>4.1552924791086348</v>
      </c>
      <c r="D296" s="379">
        <f>IF(LN_IC4=0,0,LN_IC11/LN_IC4)</f>
        <v>3.2481363152289671</v>
      </c>
      <c r="E296" s="379">
        <f t="shared" si="30"/>
        <v>-0.90715616387966769</v>
      </c>
      <c r="F296" s="415">
        <f t="shared" si="31"/>
        <v>-0.2183134324335852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5.684494998386576</v>
      </c>
      <c r="D297" s="379">
        <f>IF(LN_ID4=0,0,LN_ID11/LN_ID4)</f>
        <v>5.6672410609883688</v>
      </c>
      <c r="E297" s="379">
        <f t="shared" si="30"/>
        <v>-1.7253937398207242E-2</v>
      </c>
      <c r="F297" s="415">
        <f t="shared" si="31"/>
        <v>-3.0352630098371813E-3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721</v>
      </c>
      <c r="C298" s="379">
        <f>IF(C156=0,0,C163/C156)</f>
        <v>5.2700800000000001</v>
      </c>
      <c r="D298" s="379">
        <f>IF(LN_IE4=0,0,LN_IE11/LN_IE4)</f>
        <v>0</v>
      </c>
      <c r="E298" s="379">
        <f t="shared" si="30"/>
        <v>-5.2700800000000001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5.3498452012383897</v>
      </c>
      <c r="D299" s="379">
        <f>IF(LN_IG3=0,0,LN_IG6/LN_IG3)</f>
        <v>4.988472622478386</v>
      </c>
      <c r="E299" s="379">
        <f t="shared" si="30"/>
        <v>-0.36137257876000373</v>
      </c>
      <c r="F299" s="415">
        <f t="shared" si="31"/>
        <v>-6.7548230867755327E-2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722</v>
      </c>
      <c r="C300" s="379">
        <f>IF(C264=0,0,C274/C264)</f>
        <v>5.0299459383060672</v>
      </c>
      <c r="D300" s="379">
        <f>IF(LN_IIA4=0,0,LN_IIA14/LN_IIA4)</f>
        <v>5.2390558911072045</v>
      </c>
      <c r="E300" s="379">
        <f t="shared" si="30"/>
        <v>0.20910995280113731</v>
      </c>
      <c r="F300" s="415">
        <f t="shared" si="31"/>
        <v>4.1573002049314106E-2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723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717</v>
      </c>
      <c r="C304" s="353">
        <f>C35+C66+C214+C221+C233</f>
        <v>3902060165</v>
      </c>
      <c r="D304" s="353">
        <f>LN_IIA11</f>
        <v>4443296447</v>
      </c>
      <c r="E304" s="353">
        <f t="shared" ref="E304:E316" si="32">D304-C304</f>
        <v>541236282</v>
      </c>
      <c r="F304" s="362">
        <f>IF(C304=0,0,E304/C304)</f>
        <v>0.13870526314655121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720</v>
      </c>
      <c r="C305" s="353">
        <f>C291</f>
        <v>1626137341</v>
      </c>
      <c r="D305" s="353">
        <f>LN_IIB14</f>
        <v>1958435501</v>
      </c>
      <c r="E305" s="353">
        <f t="shared" si="32"/>
        <v>332298160</v>
      </c>
      <c r="F305" s="362">
        <f>IF(C305=0,0,E305/C305)</f>
        <v>0.20434815167312489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724</v>
      </c>
      <c r="C306" s="353">
        <f>C250</f>
        <v>89211535</v>
      </c>
      <c r="D306" s="353">
        <f>LN_IH6</f>
        <v>86906632</v>
      </c>
      <c r="E306" s="353">
        <f t="shared" si="32"/>
        <v>-2304903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725</v>
      </c>
      <c r="C307" s="353">
        <f>C73-C74</f>
        <v>851250835</v>
      </c>
      <c r="D307" s="353">
        <f>LN_IB32-LN_IB33</f>
        <v>965717234</v>
      </c>
      <c r="E307" s="353">
        <f t="shared" si="32"/>
        <v>114466399</v>
      </c>
      <c r="F307" s="362">
        <f t="shared" ref="F307:F316" si="33">IF(C307=0,0,E307/C307)</f>
        <v>0.13446847191638878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726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727</v>
      </c>
      <c r="C309" s="353">
        <f>C305+C307+C308+C306</f>
        <v>2566599711</v>
      </c>
      <c r="D309" s="353">
        <f>LN_III2+LN_III3+LN_III4+LN_III5</f>
        <v>3011059367</v>
      </c>
      <c r="E309" s="353">
        <f t="shared" si="32"/>
        <v>444459656</v>
      </c>
      <c r="F309" s="362">
        <f t="shared" si="33"/>
        <v>0.17317061717692994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728</v>
      </c>
      <c r="C310" s="353">
        <f>C304-C309</f>
        <v>1335460454</v>
      </c>
      <c r="D310" s="353">
        <f>LN_III1-LN_III6</f>
        <v>1432237080</v>
      </c>
      <c r="E310" s="353">
        <f t="shared" si="32"/>
        <v>96776626</v>
      </c>
      <c r="F310" s="362">
        <f t="shared" si="33"/>
        <v>7.2466860183042159E-2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729</v>
      </c>
      <c r="C311" s="353">
        <f>C245</f>
        <v>11001260</v>
      </c>
      <c r="D311" s="353">
        <f>LN_IH3</f>
        <v>0</v>
      </c>
      <c r="E311" s="353">
        <f t="shared" si="32"/>
        <v>-11001260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730</v>
      </c>
      <c r="C312" s="353">
        <f>C310+C311</f>
        <v>1346461714</v>
      </c>
      <c r="D312" s="353">
        <f>LN_III7+LN_III8</f>
        <v>1432237080</v>
      </c>
      <c r="E312" s="353">
        <f t="shared" si="32"/>
        <v>85775366</v>
      </c>
      <c r="F312" s="362">
        <f t="shared" si="33"/>
        <v>6.3704274030327163E-2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731</v>
      </c>
      <c r="C313" s="448">
        <f>IF(C304=0,0,C312/C304)</f>
        <v>0.34506431399424614</v>
      </c>
      <c r="D313" s="448">
        <f>IF(LN_III1=0,0,LN_III9/LN_III1)</f>
        <v>0.32233660235904582</v>
      </c>
      <c r="E313" s="448">
        <f t="shared" si="32"/>
        <v>-2.2727711635200321E-2</v>
      </c>
      <c r="F313" s="362">
        <f t="shared" si="33"/>
        <v>-6.5865146621853513E-2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689</v>
      </c>
      <c r="C314" s="353">
        <f>C306*C313</f>
        <v>30783717.12514868</v>
      </c>
      <c r="D314" s="353">
        <f>D313*LN_III5</f>
        <v>28013188.481347926</v>
      </c>
      <c r="E314" s="353">
        <f t="shared" si="32"/>
        <v>-2770528.6438007541</v>
      </c>
      <c r="F314" s="362">
        <f t="shared" si="33"/>
        <v>-8.9999808422660491E-2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692</v>
      </c>
      <c r="C315" s="353">
        <f>(C214*C313)-C215</f>
        <v>140691753.34244525</v>
      </c>
      <c r="D315" s="353">
        <f>D313*LN_IH8-LN_IH9</f>
        <v>135467265.71196902</v>
      </c>
      <c r="E315" s="353">
        <f t="shared" si="32"/>
        <v>-5224487.6304762363</v>
      </c>
      <c r="F315" s="362">
        <f t="shared" si="33"/>
        <v>-3.7134284749154964E-2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732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733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734</v>
      </c>
      <c r="C318" s="353">
        <f>C314+C315+C316</f>
        <v>171475470.46759394</v>
      </c>
      <c r="D318" s="353">
        <f>D314+D315+D316</f>
        <v>163480454.19331694</v>
      </c>
      <c r="E318" s="353">
        <f>D318-C318</f>
        <v>-7995016.2742770016</v>
      </c>
      <c r="F318" s="362">
        <f>IF(C318=0,0,E318/C318)</f>
        <v>-4.6624839415663998E-2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735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-497487.90263497521</v>
      </c>
      <c r="D322" s="353">
        <f>LN_ID22</f>
        <v>6931031.0713609271</v>
      </c>
      <c r="E322" s="353">
        <f>LN_IV2-C322</f>
        <v>7428518.9739959026</v>
      </c>
      <c r="F322" s="362">
        <f>IF(C322=0,0,E322/C322)</f>
        <v>-14.932059522754816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721</v>
      </c>
      <c r="C323" s="353">
        <f>C162+C176</f>
        <v>23656662.658183765</v>
      </c>
      <c r="D323" s="353">
        <f>LN_IE10+LN_IE22</f>
        <v>0</v>
      </c>
      <c r="E323" s="353">
        <f>LN_IV3-C323</f>
        <v>-23656662.658183765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736</v>
      </c>
      <c r="C324" s="353">
        <f>C92+C106</f>
        <v>19073063.160840347</v>
      </c>
      <c r="D324" s="353">
        <f>LN_IC10+LN_IC22</f>
        <v>23774722.681302354</v>
      </c>
      <c r="E324" s="353">
        <f>LN_IV1-C324</f>
        <v>4701659.5204620063</v>
      </c>
      <c r="F324" s="362">
        <f>IF(C324=0,0,E324/C324)</f>
        <v>0.24650783572694121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737</v>
      </c>
      <c r="C325" s="429">
        <f>C324+C322+C323</f>
        <v>42232237.916389138</v>
      </c>
      <c r="D325" s="429">
        <f>LN_IV1+LN_IV2+LN_IV3</f>
        <v>30705753.752663281</v>
      </c>
      <c r="E325" s="353">
        <f>LN_IV4-C325</f>
        <v>-11526484.163725857</v>
      </c>
      <c r="F325" s="362">
        <f>IF(C325=0,0,E325/C325)</f>
        <v>-0.27293093457528461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738</v>
      </c>
      <c r="B327" s="446" t="s">
        <v>739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740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741</v>
      </c>
      <c r="C330" s="429">
        <v>37696368</v>
      </c>
      <c r="D330" s="429">
        <v>54579633</v>
      </c>
      <c r="E330" s="431">
        <f t="shared" si="34"/>
        <v>16883265</v>
      </c>
      <c r="F330" s="463">
        <f t="shared" si="35"/>
        <v>0.44787511093906979</v>
      </c>
    </row>
    <row r="331" spans="1:22" s="333" customFormat="1" ht="11.25" customHeight="1" x14ac:dyDescent="0.2">
      <c r="A331" s="339">
        <v>3</v>
      </c>
      <c r="B331" s="360" t="s">
        <v>742</v>
      </c>
      <c r="C331" s="429">
        <v>1318578000</v>
      </c>
      <c r="D331" s="429">
        <v>1442057000</v>
      </c>
      <c r="E331" s="431">
        <f t="shared" si="34"/>
        <v>123479000</v>
      </c>
      <c r="F331" s="462">
        <f t="shared" si="35"/>
        <v>9.3645578797765472E-2</v>
      </c>
    </row>
    <row r="332" spans="1:22" s="333" customFormat="1" ht="11.25" customHeight="1" x14ac:dyDescent="0.2">
      <c r="A332" s="364">
        <v>4</v>
      </c>
      <c r="B332" s="360" t="s">
        <v>743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744</v>
      </c>
      <c r="C333" s="429">
        <v>3902060165</v>
      </c>
      <c r="D333" s="429">
        <v>4443296000</v>
      </c>
      <c r="E333" s="431">
        <f t="shared" si="34"/>
        <v>541235835</v>
      </c>
      <c r="F333" s="462">
        <f t="shared" si="35"/>
        <v>0.1387051485916799</v>
      </c>
    </row>
    <row r="334" spans="1:22" s="333" customFormat="1" ht="11.25" customHeight="1" x14ac:dyDescent="0.2">
      <c r="A334" s="339">
        <v>6</v>
      </c>
      <c r="B334" s="360" t="s">
        <v>745</v>
      </c>
      <c r="C334" s="429">
        <v>834500</v>
      </c>
      <c r="D334" s="429">
        <v>782368</v>
      </c>
      <c r="E334" s="429">
        <f t="shared" si="34"/>
        <v>-52132</v>
      </c>
      <c r="F334" s="463">
        <f t="shared" si="35"/>
        <v>-6.2470940683043742E-2</v>
      </c>
    </row>
    <row r="335" spans="1:22" s="333" customFormat="1" ht="11.25" customHeight="1" x14ac:dyDescent="0.2">
      <c r="A335" s="364">
        <v>7</v>
      </c>
      <c r="B335" s="360" t="s">
        <v>746</v>
      </c>
      <c r="C335" s="429">
        <v>90046035</v>
      </c>
      <c r="D335" s="429">
        <v>87689000</v>
      </c>
      <c r="E335" s="429">
        <f t="shared" si="34"/>
        <v>-2357035</v>
      </c>
      <c r="F335" s="462">
        <f t="shared" si="35"/>
        <v>-2.6175888810651131E-2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FILING&amp;RYALE-NEW HAVEN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7.28515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599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747</v>
      </c>
      <c r="B5" s="710"/>
      <c r="C5" s="710"/>
      <c r="D5" s="710"/>
      <c r="E5" s="710"/>
    </row>
    <row r="6" spans="1:5" s="338" customFormat="1" ht="15.75" customHeight="1" x14ac:dyDescent="0.25">
      <c r="A6" s="710" t="s">
        <v>748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749</v>
      </c>
      <c r="D9" s="494" t="s">
        <v>750</v>
      </c>
      <c r="E9" s="495" t="s">
        <v>751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752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753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629</v>
      </c>
      <c r="C14" s="513">
        <v>996775285</v>
      </c>
      <c r="D14" s="513">
        <v>1068171813</v>
      </c>
      <c r="E14" s="514">
        <f t="shared" ref="E14:E22" si="0">D14-C14</f>
        <v>71396528</v>
      </c>
    </row>
    <row r="15" spans="1:5" s="506" customFormat="1" x14ac:dyDescent="0.2">
      <c r="A15" s="512">
        <v>2</v>
      </c>
      <c r="B15" s="511" t="s">
        <v>608</v>
      </c>
      <c r="C15" s="513">
        <v>925659420</v>
      </c>
      <c r="D15" s="515">
        <v>1108821251</v>
      </c>
      <c r="E15" s="514">
        <f t="shared" si="0"/>
        <v>183161831</v>
      </c>
    </row>
    <row r="16" spans="1:5" s="506" customFormat="1" x14ac:dyDescent="0.2">
      <c r="A16" s="512">
        <v>3</v>
      </c>
      <c r="B16" s="511" t="s">
        <v>754</v>
      </c>
      <c r="C16" s="513">
        <v>687930523</v>
      </c>
      <c r="D16" s="515">
        <v>787961706</v>
      </c>
      <c r="E16" s="514">
        <f t="shared" si="0"/>
        <v>100031183</v>
      </c>
    </row>
    <row r="17" spans="1:5" s="506" customFormat="1" x14ac:dyDescent="0.2">
      <c r="A17" s="512">
        <v>4</v>
      </c>
      <c r="B17" s="511" t="s">
        <v>114</v>
      </c>
      <c r="C17" s="513">
        <v>553272849</v>
      </c>
      <c r="D17" s="515">
        <v>787961706</v>
      </c>
      <c r="E17" s="514">
        <f t="shared" si="0"/>
        <v>234688857</v>
      </c>
    </row>
    <row r="18" spans="1:5" s="506" customFormat="1" x14ac:dyDescent="0.2">
      <c r="A18" s="512">
        <v>5</v>
      </c>
      <c r="B18" s="511" t="s">
        <v>721</v>
      </c>
      <c r="C18" s="513">
        <v>134657674</v>
      </c>
      <c r="D18" s="515">
        <v>0</v>
      </c>
      <c r="E18" s="514">
        <f t="shared" si="0"/>
        <v>-134657674</v>
      </c>
    </row>
    <row r="19" spans="1:5" s="506" customFormat="1" x14ac:dyDescent="0.2">
      <c r="A19" s="512">
        <v>6</v>
      </c>
      <c r="B19" s="511" t="s">
        <v>418</v>
      </c>
      <c r="C19" s="513">
        <v>16820452</v>
      </c>
      <c r="D19" s="515">
        <v>19854188</v>
      </c>
      <c r="E19" s="514">
        <f t="shared" si="0"/>
        <v>3033736</v>
      </c>
    </row>
    <row r="20" spans="1:5" s="506" customFormat="1" x14ac:dyDescent="0.2">
      <c r="A20" s="512">
        <v>7</v>
      </c>
      <c r="B20" s="511" t="s">
        <v>736</v>
      </c>
      <c r="C20" s="513">
        <v>51128104</v>
      </c>
      <c r="D20" s="515">
        <v>32517553</v>
      </c>
      <c r="E20" s="514">
        <f t="shared" si="0"/>
        <v>-18610551</v>
      </c>
    </row>
    <row r="21" spans="1:5" s="506" customFormat="1" x14ac:dyDescent="0.2">
      <c r="A21" s="512"/>
      <c r="B21" s="516" t="s">
        <v>755</v>
      </c>
      <c r="C21" s="517">
        <f>SUM(C15+C16+C19)</f>
        <v>1630410395</v>
      </c>
      <c r="D21" s="517">
        <f>SUM(D15+D16+D19)</f>
        <v>1916637145</v>
      </c>
      <c r="E21" s="517">
        <f t="shared" si="0"/>
        <v>286226750</v>
      </c>
    </row>
    <row r="22" spans="1:5" s="506" customFormat="1" x14ac:dyDescent="0.2">
      <c r="A22" s="512"/>
      <c r="B22" s="516" t="s">
        <v>695</v>
      </c>
      <c r="C22" s="517">
        <f>SUM(C14+C21)</f>
        <v>2627185680</v>
      </c>
      <c r="D22" s="517">
        <f>SUM(D14+D21)</f>
        <v>2984808958</v>
      </c>
      <c r="E22" s="517">
        <f t="shared" si="0"/>
        <v>357623278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756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629</v>
      </c>
      <c r="C25" s="513">
        <v>695687882</v>
      </c>
      <c r="D25" s="513">
        <v>762357176</v>
      </c>
      <c r="E25" s="514">
        <f t="shared" ref="E25:E33" si="1">D25-C25</f>
        <v>66669294</v>
      </c>
    </row>
    <row r="26" spans="1:5" s="506" customFormat="1" x14ac:dyDescent="0.2">
      <c r="A26" s="512">
        <v>2</v>
      </c>
      <c r="B26" s="511" t="s">
        <v>608</v>
      </c>
      <c r="C26" s="513">
        <v>328954688</v>
      </c>
      <c r="D26" s="515">
        <v>393054480</v>
      </c>
      <c r="E26" s="514">
        <f t="shared" si="1"/>
        <v>64099792</v>
      </c>
    </row>
    <row r="27" spans="1:5" s="506" customFormat="1" x14ac:dyDescent="0.2">
      <c r="A27" s="512">
        <v>3</v>
      </c>
      <c r="B27" s="511" t="s">
        <v>754</v>
      </c>
      <c r="C27" s="513">
        <v>243984889</v>
      </c>
      <c r="D27" s="515">
        <v>295984179</v>
      </c>
      <c r="E27" s="514">
        <f t="shared" si="1"/>
        <v>51999290</v>
      </c>
    </row>
    <row r="28" spans="1:5" s="506" customFormat="1" x14ac:dyDescent="0.2">
      <c r="A28" s="512">
        <v>4</v>
      </c>
      <c r="B28" s="511" t="s">
        <v>114</v>
      </c>
      <c r="C28" s="513">
        <v>201168572</v>
      </c>
      <c r="D28" s="515">
        <v>295984179</v>
      </c>
      <c r="E28" s="514">
        <f t="shared" si="1"/>
        <v>94815607</v>
      </c>
    </row>
    <row r="29" spans="1:5" s="506" customFormat="1" x14ac:dyDescent="0.2">
      <c r="A29" s="512">
        <v>5</v>
      </c>
      <c r="B29" s="511" t="s">
        <v>721</v>
      </c>
      <c r="C29" s="513">
        <v>42816317</v>
      </c>
      <c r="D29" s="515">
        <v>0</v>
      </c>
      <c r="E29" s="514">
        <f t="shared" si="1"/>
        <v>-42816317</v>
      </c>
    </row>
    <row r="30" spans="1:5" s="506" customFormat="1" x14ac:dyDescent="0.2">
      <c r="A30" s="512">
        <v>6</v>
      </c>
      <c r="B30" s="511" t="s">
        <v>418</v>
      </c>
      <c r="C30" s="513">
        <v>6247026</v>
      </c>
      <c r="D30" s="515">
        <v>7091654</v>
      </c>
      <c r="E30" s="514">
        <f t="shared" si="1"/>
        <v>844628</v>
      </c>
    </row>
    <row r="31" spans="1:5" s="506" customFormat="1" x14ac:dyDescent="0.2">
      <c r="A31" s="512">
        <v>7</v>
      </c>
      <c r="B31" s="511" t="s">
        <v>736</v>
      </c>
      <c r="C31" s="514">
        <v>54157729</v>
      </c>
      <c r="D31" s="518">
        <v>61487497</v>
      </c>
      <c r="E31" s="514">
        <f t="shared" si="1"/>
        <v>7329768</v>
      </c>
    </row>
    <row r="32" spans="1:5" s="506" customFormat="1" x14ac:dyDescent="0.2">
      <c r="A32" s="512"/>
      <c r="B32" s="516" t="s">
        <v>757</v>
      </c>
      <c r="C32" s="517">
        <f>SUM(C26+C27+C30)</f>
        <v>579186603</v>
      </c>
      <c r="D32" s="517">
        <f>SUM(D26+D27+D30)</f>
        <v>696130313</v>
      </c>
      <c r="E32" s="517">
        <f t="shared" si="1"/>
        <v>116943710</v>
      </c>
    </row>
    <row r="33" spans="1:5" s="506" customFormat="1" x14ac:dyDescent="0.2">
      <c r="A33" s="512"/>
      <c r="B33" s="516" t="s">
        <v>701</v>
      </c>
      <c r="C33" s="517">
        <f>SUM(C25+C32)</f>
        <v>1274874485</v>
      </c>
      <c r="D33" s="517">
        <f>SUM(D25+D32)</f>
        <v>1458487489</v>
      </c>
      <c r="E33" s="517">
        <f t="shared" si="1"/>
        <v>183613004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626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758</v>
      </c>
      <c r="C36" s="514">
        <f t="shared" ref="C36:D42" si="2">C14+C25</f>
        <v>1692463167</v>
      </c>
      <c r="D36" s="514">
        <f t="shared" si="2"/>
        <v>1830528989</v>
      </c>
      <c r="E36" s="514">
        <f t="shared" ref="E36:E44" si="3">D36-C36</f>
        <v>138065822</v>
      </c>
    </row>
    <row r="37" spans="1:5" s="506" customFormat="1" x14ac:dyDescent="0.2">
      <c r="A37" s="512">
        <v>2</v>
      </c>
      <c r="B37" s="511" t="s">
        <v>759</v>
      </c>
      <c r="C37" s="514">
        <f t="shared" si="2"/>
        <v>1254614108</v>
      </c>
      <c r="D37" s="514">
        <f t="shared" si="2"/>
        <v>1501875731</v>
      </c>
      <c r="E37" s="514">
        <f t="shared" si="3"/>
        <v>247261623</v>
      </c>
    </row>
    <row r="38" spans="1:5" s="506" customFormat="1" x14ac:dyDescent="0.2">
      <c r="A38" s="512">
        <v>3</v>
      </c>
      <c r="B38" s="511" t="s">
        <v>760</v>
      </c>
      <c r="C38" s="514">
        <f t="shared" si="2"/>
        <v>931915412</v>
      </c>
      <c r="D38" s="514">
        <f t="shared" si="2"/>
        <v>1083945885</v>
      </c>
      <c r="E38" s="514">
        <f t="shared" si="3"/>
        <v>152030473</v>
      </c>
    </row>
    <row r="39" spans="1:5" s="506" customFormat="1" x14ac:dyDescent="0.2">
      <c r="A39" s="512">
        <v>4</v>
      </c>
      <c r="B39" s="511" t="s">
        <v>761</v>
      </c>
      <c r="C39" s="514">
        <f t="shared" si="2"/>
        <v>754441421</v>
      </c>
      <c r="D39" s="514">
        <f t="shared" si="2"/>
        <v>1083945885</v>
      </c>
      <c r="E39" s="514">
        <f t="shared" si="3"/>
        <v>329504464</v>
      </c>
    </row>
    <row r="40" spans="1:5" s="506" customFormat="1" x14ac:dyDescent="0.2">
      <c r="A40" s="512">
        <v>5</v>
      </c>
      <c r="B40" s="511" t="s">
        <v>762</v>
      </c>
      <c r="C40" s="514">
        <f t="shared" si="2"/>
        <v>177473991</v>
      </c>
      <c r="D40" s="514">
        <f t="shared" si="2"/>
        <v>0</v>
      </c>
      <c r="E40" s="514">
        <f t="shared" si="3"/>
        <v>-177473991</v>
      </c>
    </row>
    <row r="41" spans="1:5" s="506" customFormat="1" x14ac:dyDescent="0.2">
      <c r="A41" s="512">
        <v>6</v>
      </c>
      <c r="B41" s="511" t="s">
        <v>763</v>
      </c>
      <c r="C41" s="514">
        <f t="shared" si="2"/>
        <v>23067478</v>
      </c>
      <c r="D41" s="514">
        <f t="shared" si="2"/>
        <v>26945842</v>
      </c>
      <c r="E41" s="514">
        <f t="shared" si="3"/>
        <v>3878364</v>
      </c>
    </row>
    <row r="42" spans="1:5" s="506" customFormat="1" x14ac:dyDescent="0.2">
      <c r="A42" s="512">
        <v>7</v>
      </c>
      <c r="B42" s="511" t="s">
        <v>764</v>
      </c>
      <c r="C42" s="514">
        <f t="shared" si="2"/>
        <v>105285833</v>
      </c>
      <c r="D42" s="514">
        <f t="shared" si="2"/>
        <v>94005050</v>
      </c>
      <c r="E42" s="514">
        <f t="shared" si="3"/>
        <v>-11280783</v>
      </c>
    </row>
    <row r="43" spans="1:5" s="506" customFormat="1" x14ac:dyDescent="0.2">
      <c r="A43" s="512"/>
      <c r="B43" s="516" t="s">
        <v>765</v>
      </c>
      <c r="C43" s="517">
        <f>SUM(C37+C38+C41)</f>
        <v>2209596998</v>
      </c>
      <c r="D43" s="517">
        <f>SUM(D37+D38+D41)</f>
        <v>2612767458</v>
      </c>
      <c r="E43" s="517">
        <f t="shared" si="3"/>
        <v>403170460</v>
      </c>
    </row>
    <row r="44" spans="1:5" s="506" customFormat="1" x14ac:dyDescent="0.2">
      <c r="A44" s="512"/>
      <c r="B44" s="516" t="s">
        <v>703</v>
      </c>
      <c r="C44" s="517">
        <f>SUM(C36+C43)</f>
        <v>3902060165</v>
      </c>
      <c r="D44" s="517">
        <f>SUM(D36+D43)</f>
        <v>4443296447</v>
      </c>
      <c r="E44" s="517">
        <f t="shared" si="3"/>
        <v>541236282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766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629</v>
      </c>
      <c r="C47" s="513">
        <v>371533140</v>
      </c>
      <c r="D47" s="513">
        <v>393449462</v>
      </c>
      <c r="E47" s="514">
        <f t="shared" ref="E47:E55" si="4">D47-C47</f>
        <v>21916322</v>
      </c>
    </row>
    <row r="48" spans="1:5" s="506" customFormat="1" x14ac:dyDescent="0.2">
      <c r="A48" s="512">
        <v>2</v>
      </c>
      <c r="B48" s="511" t="s">
        <v>608</v>
      </c>
      <c r="C48" s="513">
        <v>323184765</v>
      </c>
      <c r="D48" s="515">
        <v>348345397</v>
      </c>
      <c r="E48" s="514">
        <f t="shared" si="4"/>
        <v>25160632</v>
      </c>
    </row>
    <row r="49" spans="1:5" s="506" customFormat="1" x14ac:dyDescent="0.2">
      <c r="A49" s="512">
        <v>3</v>
      </c>
      <c r="B49" s="511" t="s">
        <v>754</v>
      </c>
      <c r="C49" s="513">
        <v>118402345</v>
      </c>
      <c r="D49" s="515">
        <v>137609515</v>
      </c>
      <c r="E49" s="514">
        <f t="shared" si="4"/>
        <v>19207170</v>
      </c>
    </row>
    <row r="50" spans="1:5" s="506" customFormat="1" x14ac:dyDescent="0.2">
      <c r="A50" s="512">
        <v>4</v>
      </c>
      <c r="B50" s="511" t="s">
        <v>114</v>
      </c>
      <c r="C50" s="513">
        <v>96997730</v>
      </c>
      <c r="D50" s="515">
        <v>137609515</v>
      </c>
      <c r="E50" s="514">
        <f t="shared" si="4"/>
        <v>40611785</v>
      </c>
    </row>
    <row r="51" spans="1:5" s="506" customFormat="1" x14ac:dyDescent="0.2">
      <c r="A51" s="512">
        <v>5</v>
      </c>
      <c r="B51" s="511" t="s">
        <v>721</v>
      </c>
      <c r="C51" s="513">
        <v>21404615</v>
      </c>
      <c r="D51" s="515">
        <v>0</v>
      </c>
      <c r="E51" s="514">
        <f t="shared" si="4"/>
        <v>-21404615</v>
      </c>
    </row>
    <row r="52" spans="1:5" s="506" customFormat="1" x14ac:dyDescent="0.2">
      <c r="A52" s="512">
        <v>6</v>
      </c>
      <c r="B52" s="511" t="s">
        <v>418</v>
      </c>
      <c r="C52" s="513">
        <v>3524787</v>
      </c>
      <c r="D52" s="515">
        <v>4756382</v>
      </c>
      <c r="E52" s="514">
        <f t="shared" si="4"/>
        <v>1231595</v>
      </c>
    </row>
    <row r="53" spans="1:5" s="506" customFormat="1" x14ac:dyDescent="0.2">
      <c r="A53" s="512">
        <v>7</v>
      </c>
      <c r="B53" s="511" t="s">
        <v>736</v>
      </c>
      <c r="C53" s="513">
        <v>2292001</v>
      </c>
      <c r="D53" s="515">
        <v>8949293</v>
      </c>
      <c r="E53" s="514">
        <f t="shared" si="4"/>
        <v>6657292</v>
      </c>
    </row>
    <row r="54" spans="1:5" s="506" customFormat="1" x14ac:dyDescent="0.2">
      <c r="A54" s="512"/>
      <c r="B54" s="516" t="s">
        <v>767</v>
      </c>
      <c r="C54" s="517">
        <f>SUM(C48+C49+C52)</f>
        <v>445111897</v>
      </c>
      <c r="D54" s="517">
        <f>SUM(D48+D49+D52)</f>
        <v>490711294</v>
      </c>
      <c r="E54" s="517">
        <f t="shared" si="4"/>
        <v>45599397</v>
      </c>
    </row>
    <row r="55" spans="1:5" s="506" customFormat="1" x14ac:dyDescent="0.2">
      <c r="A55" s="512"/>
      <c r="B55" s="516" t="s">
        <v>696</v>
      </c>
      <c r="C55" s="517">
        <f>SUM(C47+C54)</f>
        <v>816645037</v>
      </c>
      <c r="D55" s="517">
        <f>SUM(D47+D54)</f>
        <v>884160756</v>
      </c>
      <c r="E55" s="517">
        <f t="shared" si="4"/>
        <v>67515719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768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629</v>
      </c>
      <c r="C58" s="513">
        <v>314887575</v>
      </c>
      <c r="D58" s="513">
        <v>339695948</v>
      </c>
      <c r="E58" s="514">
        <f t="shared" ref="E58:E66" si="5">D58-C58</f>
        <v>24808373</v>
      </c>
    </row>
    <row r="59" spans="1:5" s="506" customFormat="1" x14ac:dyDescent="0.2">
      <c r="A59" s="512">
        <v>2</v>
      </c>
      <c r="B59" s="511" t="s">
        <v>608</v>
      </c>
      <c r="C59" s="513">
        <v>73407846</v>
      </c>
      <c r="D59" s="515">
        <v>85804236</v>
      </c>
      <c r="E59" s="514">
        <f t="shared" si="5"/>
        <v>12396390</v>
      </c>
    </row>
    <row r="60" spans="1:5" s="506" customFormat="1" x14ac:dyDescent="0.2">
      <c r="A60" s="512">
        <v>3</v>
      </c>
      <c r="B60" s="511" t="s">
        <v>754</v>
      </c>
      <c r="C60" s="513">
        <f>C61+C62</f>
        <v>62476654</v>
      </c>
      <c r="D60" s="515">
        <f>D61+D62</f>
        <v>76318653</v>
      </c>
      <c r="E60" s="514">
        <f t="shared" si="5"/>
        <v>13841999</v>
      </c>
    </row>
    <row r="61" spans="1:5" s="506" customFormat="1" x14ac:dyDescent="0.2">
      <c r="A61" s="512">
        <v>4</v>
      </c>
      <c r="B61" s="511" t="s">
        <v>114</v>
      </c>
      <c r="C61" s="513">
        <v>54137060</v>
      </c>
      <c r="D61" s="515">
        <v>76318653</v>
      </c>
      <c r="E61" s="514">
        <f t="shared" si="5"/>
        <v>22181593</v>
      </c>
    </row>
    <row r="62" spans="1:5" s="506" customFormat="1" x14ac:dyDescent="0.2">
      <c r="A62" s="512">
        <v>5</v>
      </c>
      <c r="B62" s="511" t="s">
        <v>721</v>
      </c>
      <c r="C62" s="513">
        <v>8339594</v>
      </c>
      <c r="D62" s="515">
        <v>0</v>
      </c>
      <c r="E62" s="514">
        <f t="shared" si="5"/>
        <v>-8339594</v>
      </c>
    </row>
    <row r="63" spans="1:5" s="506" customFormat="1" x14ac:dyDescent="0.2">
      <c r="A63" s="512">
        <v>6</v>
      </c>
      <c r="B63" s="511" t="s">
        <v>418</v>
      </c>
      <c r="C63" s="513">
        <v>2463260</v>
      </c>
      <c r="D63" s="515">
        <v>1497774</v>
      </c>
      <c r="E63" s="514">
        <f t="shared" si="5"/>
        <v>-965486</v>
      </c>
    </row>
    <row r="64" spans="1:5" s="506" customFormat="1" x14ac:dyDescent="0.2">
      <c r="A64" s="512">
        <v>7</v>
      </c>
      <c r="B64" s="511" t="s">
        <v>736</v>
      </c>
      <c r="C64" s="513">
        <v>17830957</v>
      </c>
      <c r="D64" s="515">
        <v>7969346</v>
      </c>
      <c r="E64" s="514">
        <f t="shared" si="5"/>
        <v>-9861611</v>
      </c>
    </row>
    <row r="65" spans="1:5" s="506" customFormat="1" x14ac:dyDescent="0.2">
      <c r="A65" s="512"/>
      <c r="B65" s="516" t="s">
        <v>769</v>
      </c>
      <c r="C65" s="517">
        <f>SUM(C59+C60+C63)</f>
        <v>138347760</v>
      </c>
      <c r="D65" s="517">
        <f>SUM(D59+D60+D63)</f>
        <v>163620663</v>
      </c>
      <c r="E65" s="517">
        <f t="shared" si="5"/>
        <v>25272903</v>
      </c>
    </row>
    <row r="66" spans="1:5" s="506" customFormat="1" x14ac:dyDescent="0.2">
      <c r="A66" s="512"/>
      <c r="B66" s="516" t="s">
        <v>702</v>
      </c>
      <c r="C66" s="517">
        <f>SUM(C58+C65)</f>
        <v>453235335</v>
      </c>
      <c r="D66" s="517">
        <f>SUM(D58+D65)</f>
        <v>503316611</v>
      </c>
      <c r="E66" s="517">
        <f t="shared" si="5"/>
        <v>50081276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627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758</v>
      </c>
      <c r="C69" s="514">
        <f t="shared" ref="C69:D75" si="6">C47+C58</f>
        <v>686420715</v>
      </c>
      <c r="D69" s="514">
        <f t="shared" si="6"/>
        <v>733145410</v>
      </c>
      <c r="E69" s="514">
        <f t="shared" ref="E69:E77" si="7">D69-C69</f>
        <v>46724695</v>
      </c>
    </row>
    <row r="70" spans="1:5" s="506" customFormat="1" x14ac:dyDescent="0.2">
      <c r="A70" s="512">
        <v>2</v>
      </c>
      <c r="B70" s="511" t="s">
        <v>759</v>
      </c>
      <c r="C70" s="514">
        <f t="shared" si="6"/>
        <v>396592611</v>
      </c>
      <c r="D70" s="514">
        <f t="shared" si="6"/>
        <v>434149633</v>
      </c>
      <c r="E70" s="514">
        <f t="shared" si="7"/>
        <v>37557022</v>
      </c>
    </row>
    <row r="71" spans="1:5" s="506" customFormat="1" x14ac:dyDescent="0.2">
      <c r="A71" s="512">
        <v>3</v>
      </c>
      <c r="B71" s="511" t="s">
        <v>760</v>
      </c>
      <c r="C71" s="514">
        <f t="shared" si="6"/>
        <v>180878999</v>
      </c>
      <c r="D71" s="514">
        <f t="shared" si="6"/>
        <v>213928168</v>
      </c>
      <c r="E71" s="514">
        <f t="shared" si="7"/>
        <v>33049169</v>
      </c>
    </row>
    <row r="72" spans="1:5" s="506" customFormat="1" x14ac:dyDescent="0.2">
      <c r="A72" s="512">
        <v>4</v>
      </c>
      <c r="B72" s="511" t="s">
        <v>761</v>
      </c>
      <c r="C72" s="514">
        <f t="shared" si="6"/>
        <v>151134790</v>
      </c>
      <c r="D72" s="514">
        <f t="shared" si="6"/>
        <v>213928168</v>
      </c>
      <c r="E72" s="514">
        <f t="shared" si="7"/>
        <v>62793378</v>
      </c>
    </row>
    <row r="73" spans="1:5" s="506" customFormat="1" x14ac:dyDescent="0.2">
      <c r="A73" s="512">
        <v>5</v>
      </c>
      <c r="B73" s="511" t="s">
        <v>762</v>
      </c>
      <c r="C73" s="514">
        <f t="shared" si="6"/>
        <v>29744209</v>
      </c>
      <c r="D73" s="514">
        <f t="shared" si="6"/>
        <v>0</v>
      </c>
      <c r="E73" s="514">
        <f t="shared" si="7"/>
        <v>-29744209</v>
      </c>
    </row>
    <row r="74" spans="1:5" s="506" customFormat="1" x14ac:dyDescent="0.2">
      <c r="A74" s="512">
        <v>6</v>
      </c>
      <c r="B74" s="511" t="s">
        <v>763</v>
      </c>
      <c r="C74" s="514">
        <f t="shared" si="6"/>
        <v>5988047</v>
      </c>
      <c r="D74" s="514">
        <f t="shared" si="6"/>
        <v>6254156</v>
      </c>
      <c r="E74" s="514">
        <f t="shared" si="7"/>
        <v>266109</v>
      </c>
    </row>
    <row r="75" spans="1:5" s="506" customFormat="1" x14ac:dyDescent="0.2">
      <c r="A75" s="512">
        <v>7</v>
      </c>
      <c r="B75" s="511" t="s">
        <v>764</v>
      </c>
      <c r="C75" s="514">
        <f t="shared" si="6"/>
        <v>20122958</v>
      </c>
      <c r="D75" s="514">
        <f t="shared" si="6"/>
        <v>16918639</v>
      </c>
      <c r="E75" s="514">
        <f t="shared" si="7"/>
        <v>-3204319</v>
      </c>
    </row>
    <row r="76" spans="1:5" s="506" customFormat="1" x14ac:dyDescent="0.2">
      <c r="A76" s="512"/>
      <c r="B76" s="516" t="s">
        <v>770</v>
      </c>
      <c r="C76" s="517">
        <f>SUM(C70+C71+C74)</f>
        <v>583459657</v>
      </c>
      <c r="D76" s="517">
        <f>SUM(D70+D71+D74)</f>
        <v>654331957</v>
      </c>
      <c r="E76" s="517">
        <f t="shared" si="7"/>
        <v>70872300</v>
      </c>
    </row>
    <row r="77" spans="1:5" s="506" customFormat="1" x14ac:dyDescent="0.2">
      <c r="A77" s="512"/>
      <c r="B77" s="516" t="s">
        <v>704</v>
      </c>
      <c r="C77" s="517">
        <f>SUM(C69+C76)</f>
        <v>1269880372</v>
      </c>
      <c r="D77" s="517">
        <f>SUM(D69+D76)</f>
        <v>1387477367</v>
      </c>
      <c r="E77" s="517">
        <f t="shared" si="7"/>
        <v>117596995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771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772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629</v>
      </c>
      <c r="C83" s="523">
        <f t="shared" ref="C83:D89" si="8">IF(C$44=0,0,C14/C$44)</f>
        <v>0.25544846641286989</v>
      </c>
      <c r="D83" s="523">
        <f t="shared" si="8"/>
        <v>0.2404007533013473</v>
      </c>
      <c r="E83" s="523">
        <f t="shared" ref="E83:E91" si="9">D83-C83</f>
        <v>-1.5047713111522587E-2</v>
      </c>
    </row>
    <row r="84" spans="1:5" s="506" customFormat="1" x14ac:dyDescent="0.2">
      <c r="A84" s="512">
        <v>2</v>
      </c>
      <c r="B84" s="511" t="s">
        <v>608</v>
      </c>
      <c r="C84" s="523">
        <f t="shared" si="8"/>
        <v>0.23722325665370667</v>
      </c>
      <c r="D84" s="523">
        <f t="shared" si="8"/>
        <v>0.24954923990017541</v>
      </c>
      <c r="E84" s="523">
        <f t="shared" si="9"/>
        <v>1.2325983246468747E-2</v>
      </c>
    </row>
    <row r="85" spans="1:5" s="506" customFormat="1" x14ac:dyDescent="0.2">
      <c r="A85" s="512">
        <v>3</v>
      </c>
      <c r="B85" s="511" t="s">
        <v>754</v>
      </c>
      <c r="C85" s="523">
        <f t="shared" si="8"/>
        <v>0.17629931213528585</v>
      </c>
      <c r="D85" s="523">
        <f t="shared" si="8"/>
        <v>0.1773371899441937</v>
      </c>
      <c r="E85" s="523">
        <f t="shared" si="9"/>
        <v>1.03787780890785E-3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0.14178993290842812</v>
      </c>
      <c r="D86" s="523">
        <f t="shared" si="8"/>
        <v>0.1773371899441937</v>
      </c>
      <c r="E86" s="523">
        <f t="shared" si="9"/>
        <v>3.5547257035765584E-2</v>
      </c>
    </row>
    <row r="87" spans="1:5" s="506" customFormat="1" x14ac:dyDescent="0.2">
      <c r="A87" s="512">
        <v>5</v>
      </c>
      <c r="B87" s="511" t="s">
        <v>721</v>
      </c>
      <c r="C87" s="523">
        <f t="shared" si="8"/>
        <v>3.450937922685772E-2</v>
      </c>
      <c r="D87" s="523">
        <f t="shared" si="8"/>
        <v>0</v>
      </c>
      <c r="E87" s="523">
        <f t="shared" si="9"/>
        <v>-3.450937922685772E-2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4.3106593155259566E-3</v>
      </c>
      <c r="D88" s="523">
        <f t="shared" si="8"/>
        <v>4.4683464713242442E-3</v>
      </c>
      <c r="E88" s="523">
        <f t="shared" si="9"/>
        <v>1.5768715579828757E-4</v>
      </c>
    </row>
    <row r="89" spans="1:5" s="506" customFormat="1" x14ac:dyDescent="0.2">
      <c r="A89" s="512">
        <v>7</v>
      </c>
      <c r="B89" s="511" t="s">
        <v>736</v>
      </c>
      <c r="C89" s="523">
        <f t="shared" si="8"/>
        <v>1.3102848710176154E-2</v>
      </c>
      <c r="D89" s="523">
        <f t="shared" si="8"/>
        <v>7.3183397479488497E-3</v>
      </c>
      <c r="E89" s="523">
        <f t="shared" si="9"/>
        <v>-5.7845089622273046E-3</v>
      </c>
    </row>
    <row r="90" spans="1:5" s="506" customFormat="1" x14ac:dyDescent="0.2">
      <c r="A90" s="512"/>
      <c r="B90" s="516" t="s">
        <v>773</v>
      </c>
      <c r="C90" s="524">
        <f>SUM(C84+C85+C88)</f>
        <v>0.41783322810451845</v>
      </c>
      <c r="D90" s="524">
        <f>SUM(D84+D85+D88)</f>
        <v>0.43135477631569336</v>
      </c>
      <c r="E90" s="525">
        <f t="shared" si="9"/>
        <v>1.3521548211174905E-2</v>
      </c>
    </row>
    <row r="91" spans="1:5" s="506" customFormat="1" x14ac:dyDescent="0.2">
      <c r="A91" s="512"/>
      <c r="B91" s="516" t="s">
        <v>774</v>
      </c>
      <c r="C91" s="524">
        <f>SUM(C83+C90)</f>
        <v>0.67328169451738828</v>
      </c>
      <c r="D91" s="524">
        <f>SUM(D83+D90)</f>
        <v>0.67175552961704066</v>
      </c>
      <c r="E91" s="525">
        <f t="shared" si="9"/>
        <v>-1.5261649003476263E-3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775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629</v>
      </c>
      <c r="C95" s="523">
        <f t="shared" ref="C95:D101" si="10">IF(C$44=0,0,C25/C$44)</f>
        <v>0.1782873283810579</v>
      </c>
      <c r="D95" s="523">
        <f t="shared" si="10"/>
        <v>0.17157468224176761</v>
      </c>
      <c r="E95" s="523">
        <f t="shared" ref="E95:E103" si="11">D95-C95</f>
        <v>-6.7126461392902903E-3</v>
      </c>
    </row>
    <row r="96" spans="1:5" s="506" customFormat="1" x14ac:dyDescent="0.2">
      <c r="A96" s="512">
        <v>2</v>
      </c>
      <c r="B96" s="511" t="s">
        <v>608</v>
      </c>
      <c r="C96" s="523">
        <f t="shared" si="10"/>
        <v>8.4302823147269432E-2</v>
      </c>
      <c r="D96" s="523">
        <f t="shared" si="10"/>
        <v>8.8460107194823862E-2</v>
      </c>
      <c r="E96" s="523">
        <f t="shared" si="11"/>
        <v>4.1572840475544298E-3</v>
      </c>
    </row>
    <row r="97" spans="1:5" s="506" customFormat="1" x14ac:dyDescent="0.2">
      <c r="A97" s="512">
        <v>3</v>
      </c>
      <c r="B97" s="511" t="s">
        <v>754</v>
      </c>
      <c r="C97" s="523">
        <f t="shared" si="10"/>
        <v>6.2527198116638982E-2</v>
      </c>
      <c r="D97" s="523">
        <f t="shared" si="10"/>
        <v>6.6613646541598848E-2</v>
      </c>
      <c r="E97" s="523">
        <f t="shared" si="11"/>
        <v>4.0864484249598654E-3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5.155445162132706E-2</v>
      </c>
      <c r="D98" s="523">
        <f t="shared" si="10"/>
        <v>6.6613646541598848E-2</v>
      </c>
      <c r="E98" s="523">
        <f t="shared" si="11"/>
        <v>1.5059194920271787E-2</v>
      </c>
    </row>
    <row r="99" spans="1:5" s="506" customFormat="1" x14ac:dyDescent="0.2">
      <c r="A99" s="512">
        <v>5</v>
      </c>
      <c r="B99" s="511" t="s">
        <v>721</v>
      </c>
      <c r="C99" s="523">
        <f t="shared" si="10"/>
        <v>1.097274649531192E-2</v>
      </c>
      <c r="D99" s="523">
        <f t="shared" si="10"/>
        <v>0</v>
      </c>
      <c r="E99" s="523">
        <f t="shared" si="11"/>
        <v>-1.097274649531192E-2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1.6009558376453173E-3</v>
      </c>
      <c r="D100" s="523">
        <f t="shared" si="10"/>
        <v>1.596034404769032E-3</v>
      </c>
      <c r="E100" s="523">
        <f t="shared" si="11"/>
        <v>-4.9214328762853428E-6</v>
      </c>
    </row>
    <row r="101" spans="1:5" s="506" customFormat="1" x14ac:dyDescent="0.2">
      <c r="A101" s="512">
        <v>7</v>
      </c>
      <c r="B101" s="511" t="s">
        <v>736</v>
      </c>
      <c r="C101" s="523">
        <f t="shared" si="10"/>
        <v>1.3879265493078321E-2</v>
      </c>
      <c r="D101" s="523">
        <f t="shared" si="10"/>
        <v>1.3838261239921271E-2</v>
      </c>
      <c r="E101" s="523">
        <f t="shared" si="11"/>
        <v>-4.1004253157049877E-5</v>
      </c>
    </row>
    <row r="102" spans="1:5" s="506" customFormat="1" x14ac:dyDescent="0.2">
      <c r="A102" s="512"/>
      <c r="B102" s="516" t="s">
        <v>776</v>
      </c>
      <c r="C102" s="524">
        <f>SUM(C96+C97+C100)</f>
        <v>0.14843097710155376</v>
      </c>
      <c r="D102" s="524">
        <f>SUM(D96+D97+D100)</f>
        <v>0.15666978814119173</v>
      </c>
      <c r="E102" s="525">
        <f t="shared" si="11"/>
        <v>8.2388110396379721E-3</v>
      </c>
    </row>
    <row r="103" spans="1:5" s="506" customFormat="1" x14ac:dyDescent="0.2">
      <c r="A103" s="512"/>
      <c r="B103" s="516" t="s">
        <v>777</v>
      </c>
      <c r="C103" s="524">
        <f>SUM(C95+C102)</f>
        <v>0.32671830548261166</v>
      </c>
      <c r="D103" s="524">
        <f>SUM(D95+D102)</f>
        <v>0.32824447038295934</v>
      </c>
      <c r="E103" s="525">
        <f t="shared" si="11"/>
        <v>1.5261649003476818E-3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778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779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629</v>
      </c>
      <c r="C109" s="523">
        <f t="shared" ref="C109:D115" si="12">IF(C$77=0,0,C47/C$77)</f>
        <v>0.29257333855381457</v>
      </c>
      <c r="D109" s="523">
        <f t="shared" si="12"/>
        <v>0.28357180546354815</v>
      </c>
      <c r="E109" s="523">
        <f t="shared" ref="E109:E117" si="13">D109-C109</f>
        <v>-9.0015330902664115E-3</v>
      </c>
    </row>
    <row r="110" spans="1:5" s="506" customFormat="1" x14ac:dyDescent="0.2">
      <c r="A110" s="512">
        <v>2</v>
      </c>
      <c r="B110" s="511" t="s">
        <v>608</v>
      </c>
      <c r="C110" s="523">
        <f t="shared" si="12"/>
        <v>0.25450016562662486</v>
      </c>
      <c r="D110" s="523">
        <f t="shared" si="12"/>
        <v>0.25106384095705397</v>
      </c>
      <c r="E110" s="523">
        <f t="shared" si="13"/>
        <v>-3.4363246695708893E-3</v>
      </c>
    </row>
    <row r="111" spans="1:5" s="506" customFormat="1" x14ac:dyDescent="0.2">
      <c r="A111" s="512">
        <v>3</v>
      </c>
      <c r="B111" s="511" t="s">
        <v>754</v>
      </c>
      <c r="C111" s="523">
        <f t="shared" si="12"/>
        <v>9.3238975584386777E-2</v>
      </c>
      <c r="D111" s="523">
        <f t="shared" si="12"/>
        <v>9.9179646654373135E-2</v>
      </c>
      <c r="E111" s="523">
        <f t="shared" si="13"/>
        <v>5.9406710699863585E-3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7.638336030600526E-2</v>
      </c>
      <c r="D112" s="523">
        <f t="shared" si="12"/>
        <v>9.9179646654373135E-2</v>
      </c>
      <c r="E112" s="523">
        <f t="shared" si="13"/>
        <v>2.2796286348367875E-2</v>
      </c>
    </row>
    <row r="113" spans="1:5" s="506" customFormat="1" x14ac:dyDescent="0.2">
      <c r="A113" s="512">
        <v>5</v>
      </c>
      <c r="B113" s="511" t="s">
        <v>721</v>
      </c>
      <c r="C113" s="523">
        <f t="shared" si="12"/>
        <v>1.6855615278381513E-2</v>
      </c>
      <c r="D113" s="523">
        <f t="shared" si="12"/>
        <v>0</v>
      </c>
      <c r="E113" s="523">
        <f t="shared" si="13"/>
        <v>-1.6855615278381513E-2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2.7756842909924116E-3</v>
      </c>
      <c r="D114" s="523">
        <f t="shared" si="12"/>
        <v>3.4280789821344885E-3</v>
      </c>
      <c r="E114" s="523">
        <f t="shared" si="13"/>
        <v>6.5239469114207688E-4</v>
      </c>
    </row>
    <row r="115" spans="1:5" s="506" customFormat="1" x14ac:dyDescent="0.2">
      <c r="A115" s="512">
        <v>7</v>
      </c>
      <c r="B115" s="511" t="s">
        <v>736</v>
      </c>
      <c r="C115" s="523">
        <f t="shared" si="12"/>
        <v>1.80489520945206E-3</v>
      </c>
      <c r="D115" s="523">
        <f t="shared" si="12"/>
        <v>6.4500461145179889E-3</v>
      </c>
      <c r="E115" s="523">
        <f t="shared" si="13"/>
        <v>4.6451509050659291E-3</v>
      </c>
    </row>
    <row r="116" spans="1:5" s="506" customFormat="1" x14ac:dyDescent="0.2">
      <c r="A116" s="512"/>
      <c r="B116" s="516" t="s">
        <v>773</v>
      </c>
      <c r="C116" s="524">
        <f>SUM(C110+C111+C114)</f>
        <v>0.35051482550200402</v>
      </c>
      <c r="D116" s="524">
        <f>SUM(D110+D111+D114)</f>
        <v>0.35367156659356158</v>
      </c>
      <c r="E116" s="525">
        <f t="shared" si="13"/>
        <v>3.1567410915575578E-3</v>
      </c>
    </row>
    <row r="117" spans="1:5" s="506" customFormat="1" x14ac:dyDescent="0.2">
      <c r="A117" s="512"/>
      <c r="B117" s="516" t="s">
        <v>774</v>
      </c>
      <c r="C117" s="524">
        <f>SUM(C109+C116)</f>
        <v>0.64308816405581859</v>
      </c>
      <c r="D117" s="524">
        <f>SUM(D109+D116)</f>
        <v>0.63724337205710979</v>
      </c>
      <c r="E117" s="525">
        <f t="shared" si="13"/>
        <v>-5.8447919987087982E-3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780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629</v>
      </c>
      <c r="C121" s="523">
        <f t="shared" ref="C121:D127" si="14">IF(C$77=0,0,C58/C$77)</f>
        <v>0.24796632969770793</v>
      </c>
      <c r="D121" s="523">
        <f t="shared" si="14"/>
        <v>0.24482990215147776</v>
      </c>
      <c r="E121" s="523">
        <f t="shared" ref="E121:E129" si="15">D121-C121</f>
        <v>-3.1364275462301694E-3</v>
      </c>
    </row>
    <row r="122" spans="1:5" s="506" customFormat="1" x14ac:dyDescent="0.2">
      <c r="A122" s="512">
        <v>2</v>
      </c>
      <c r="B122" s="511" t="s">
        <v>608</v>
      </c>
      <c r="C122" s="523">
        <f t="shared" si="14"/>
        <v>5.7806898680059289E-2</v>
      </c>
      <c r="D122" s="523">
        <f t="shared" si="14"/>
        <v>6.1841899580333842E-2</v>
      </c>
      <c r="E122" s="523">
        <f t="shared" si="15"/>
        <v>4.0350009002745532E-3</v>
      </c>
    </row>
    <row r="123" spans="1:5" s="506" customFormat="1" x14ac:dyDescent="0.2">
      <c r="A123" s="512">
        <v>3</v>
      </c>
      <c r="B123" s="511" t="s">
        <v>754</v>
      </c>
      <c r="C123" s="523">
        <f t="shared" si="14"/>
        <v>4.919885004727044E-2</v>
      </c>
      <c r="D123" s="523">
        <f t="shared" si="14"/>
        <v>5.500533184553201E-2</v>
      </c>
      <c r="E123" s="523">
        <f t="shared" si="15"/>
        <v>5.8064817982615702E-3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4.263162199659544E-2</v>
      </c>
      <c r="D124" s="523">
        <f t="shared" si="14"/>
        <v>5.500533184553201E-2</v>
      </c>
      <c r="E124" s="523">
        <f t="shared" si="15"/>
        <v>1.237370984893657E-2</v>
      </c>
    </row>
    <row r="125" spans="1:5" s="506" customFormat="1" x14ac:dyDescent="0.2">
      <c r="A125" s="512">
        <v>5</v>
      </c>
      <c r="B125" s="511" t="s">
        <v>721</v>
      </c>
      <c r="C125" s="523">
        <f t="shared" si="14"/>
        <v>6.5672280506749968E-3</v>
      </c>
      <c r="D125" s="523">
        <f t="shared" si="14"/>
        <v>0</v>
      </c>
      <c r="E125" s="523">
        <f t="shared" si="15"/>
        <v>-6.5672280506749968E-3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1.939757519143701E-3</v>
      </c>
      <c r="D126" s="523">
        <f t="shared" si="14"/>
        <v>1.079494365546649E-3</v>
      </c>
      <c r="E126" s="523">
        <f t="shared" si="15"/>
        <v>-8.6026315359705196E-4</v>
      </c>
    </row>
    <row r="127" spans="1:5" s="506" customFormat="1" x14ac:dyDescent="0.2">
      <c r="A127" s="512">
        <v>7</v>
      </c>
      <c r="B127" s="511" t="s">
        <v>736</v>
      </c>
      <c r="C127" s="523">
        <f t="shared" si="14"/>
        <v>1.4041446259947389E-2</v>
      </c>
      <c r="D127" s="523">
        <f t="shared" si="14"/>
        <v>5.74376648552567E-3</v>
      </c>
      <c r="E127" s="523">
        <f t="shared" si="15"/>
        <v>-8.29767977442172E-3</v>
      </c>
    </row>
    <row r="128" spans="1:5" s="506" customFormat="1" x14ac:dyDescent="0.2">
      <c r="A128" s="512"/>
      <c r="B128" s="516" t="s">
        <v>776</v>
      </c>
      <c r="C128" s="524">
        <f>SUM(C122+C123+C126)</f>
        <v>0.10894550624647344</v>
      </c>
      <c r="D128" s="524">
        <f>SUM(D122+D123+D126)</f>
        <v>0.1179267257914125</v>
      </c>
      <c r="E128" s="525">
        <f t="shared" si="15"/>
        <v>8.9812195449390647E-3</v>
      </c>
    </row>
    <row r="129" spans="1:5" s="506" customFormat="1" x14ac:dyDescent="0.2">
      <c r="A129" s="512"/>
      <c r="B129" s="516" t="s">
        <v>777</v>
      </c>
      <c r="C129" s="524">
        <f>SUM(C121+C128)</f>
        <v>0.35691183594418135</v>
      </c>
      <c r="D129" s="524">
        <f>SUM(D121+D128)</f>
        <v>0.36275662794289026</v>
      </c>
      <c r="E129" s="525">
        <f t="shared" si="15"/>
        <v>5.8447919987089092E-3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781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782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783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629</v>
      </c>
      <c r="C137" s="530">
        <v>23401</v>
      </c>
      <c r="D137" s="530">
        <v>23108</v>
      </c>
      <c r="E137" s="531">
        <f t="shared" ref="E137:E145" si="16">D137-C137</f>
        <v>-293</v>
      </c>
    </row>
    <row r="138" spans="1:5" s="506" customFormat="1" x14ac:dyDescent="0.2">
      <c r="A138" s="512">
        <v>2</v>
      </c>
      <c r="B138" s="511" t="s">
        <v>608</v>
      </c>
      <c r="C138" s="530">
        <v>17357</v>
      </c>
      <c r="D138" s="530">
        <v>17747</v>
      </c>
      <c r="E138" s="531">
        <f t="shared" si="16"/>
        <v>390</v>
      </c>
    </row>
    <row r="139" spans="1:5" s="506" customFormat="1" x14ac:dyDescent="0.2">
      <c r="A139" s="512">
        <v>3</v>
      </c>
      <c r="B139" s="511" t="s">
        <v>754</v>
      </c>
      <c r="C139" s="530">
        <f>C140+C141</f>
        <v>15521</v>
      </c>
      <c r="D139" s="530">
        <f>D140+D141</f>
        <v>16249</v>
      </c>
      <c r="E139" s="531">
        <f t="shared" si="16"/>
        <v>728</v>
      </c>
    </row>
    <row r="140" spans="1:5" s="506" customFormat="1" x14ac:dyDescent="0.2">
      <c r="A140" s="512">
        <v>4</v>
      </c>
      <c r="B140" s="511" t="s">
        <v>114</v>
      </c>
      <c r="C140" s="530">
        <v>12396</v>
      </c>
      <c r="D140" s="530">
        <v>16249</v>
      </c>
      <c r="E140" s="531">
        <f t="shared" si="16"/>
        <v>3853</v>
      </c>
    </row>
    <row r="141" spans="1:5" s="506" customFormat="1" x14ac:dyDescent="0.2">
      <c r="A141" s="512">
        <v>5</v>
      </c>
      <c r="B141" s="511" t="s">
        <v>721</v>
      </c>
      <c r="C141" s="530">
        <v>3125</v>
      </c>
      <c r="D141" s="530">
        <v>0</v>
      </c>
      <c r="E141" s="531">
        <f t="shared" si="16"/>
        <v>-3125</v>
      </c>
    </row>
    <row r="142" spans="1:5" s="506" customFormat="1" x14ac:dyDescent="0.2">
      <c r="A142" s="512">
        <v>6</v>
      </c>
      <c r="B142" s="511" t="s">
        <v>418</v>
      </c>
      <c r="C142" s="530">
        <v>323</v>
      </c>
      <c r="D142" s="530">
        <v>347</v>
      </c>
      <c r="E142" s="531">
        <f t="shared" si="16"/>
        <v>24</v>
      </c>
    </row>
    <row r="143" spans="1:5" s="506" customFormat="1" x14ac:dyDescent="0.2">
      <c r="A143" s="512">
        <v>7</v>
      </c>
      <c r="B143" s="511" t="s">
        <v>736</v>
      </c>
      <c r="C143" s="530">
        <v>1436</v>
      </c>
      <c r="D143" s="530">
        <v>939</v>
      </c>
      <c r="E143" s="531">
        <f t="shared" si="16"/>
        <v>-497</v>
      </c>
    </row>
    <row r="144" spans="1:5" s="506" customFormat="1" x14ac:dyDescent="0.2">
      <c r="A144" s="512"/>
      <c r="B144" s="516" t="s">
        <v>784</v>
      </c>
      <c r="C144" s="532">
        <f>SUM(C138+C139+C142)</f>
        <v>33201</v>
      </c>
      <c r="D144" s="532">
        <f>SUM(D138+D139+D142)</f>
        <v>34343</v>
      </c>
      <c r="E144" s="533">
        <f t="shared" si="16"/>
        <v>1142</v>
      </c>
    </row>
    <row r="145" spans="1:5" s="506" customFormat="1" x14ac:dyDescent="0.2">
      <c r="A145" s="512"/>
      <c r="B145" s="516" t="s">
        <v>698</v>
      </c>
      <c r="C145" s="532">
        <f>SUM(C137+C144)</f>
        <v>56602</v>
      </c>
      <c r="D145" s="532">
        <f>SUM(D137+D144)</f>
        <v>57451</v>
      </c>
      <c r="E145" s="533">
        <f t="shared" si="16"/>
        <v>849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629</v>
      </c>
      <c r="C149" s="534">
        <v>97851</v>
      </c>
      <c r="D149" s="534">
        <v>97665</v>
      </c>
      <c r="E149" s="531">
        <f t="shared" ref="E149:E157" si="17">D149-C149</f>
        <v>-186</v>
      </c>
    </row>
    <row r="150" spans="1:5" s="506" customFormat="1" x14ac:dyDescent="0.2">
      <c r="A150" s="512">
        <v>2</v>
      </c>
      <c r="B150" s="511" t="s">
        <v>608</v>
      </c>
      <c r="C150" s="534">
        <v>98192</v>
      </c>
      <c r="D150" s="534">
        <v>109506</v>
      </c>
      <c r="E150" s="531">
        <f t="shared" si="17"/>
        <v>11314</v>
      </c>
    </row>
    <row r="151" spans="1:5" s="506" customFormat="1" x14ac:dyDescent="0.2">
      <c r="A151" s="512">
        <v>3</v>
      </c>
      <c r="B151" s="511" t="s">
        <v>754</v>
      </c>
      <c r="C151" s="534">
        <f>C152+C153</f>
        <v>86934</v>
      </c>
      <c r="D151" s="534">
        <f>D152+D153</f>
        <v>92087</v>
      </c>
      <c r="E151" s="531">
        <f t="shared" si="17"/>
        <v>5153</v>
      </c>
    </row>
    <row r="152" spans="1:5" s="506" customFormat="1" x14ac:dyDescent="0.2">
      <c r="A152" s="512">
        <v>4</v>
      </c>
      <c r="B152" s="511" t="s">
        <v>114</v>
      </c>
      <c r="C152" s="534">
        <v>70465</v>
      </c>
      <c r="D152" s="534">
        <v>92087</v>
      </c>
      <c r="E152" s="531">
        <f t="shared" si="17"/>
        <v>21622</v>
      </c>
    </row>
    <row r="153" spans="1:5" s="506" customFormat="1" x14ac:dyDescent="0.2">
      <c r="A153" s="512">
        <v>5</v>
      </c>
      <c r="B153" s="511" t="s">
        <v>721</v>
      </c>
      <c r="C153" s="535">
        <v>16469</v>
      </c>
      <c r="D153" s="534">
        <v>0</v>
      </c>
      <c r="E153" s="531">
        <f t="shared" si="17"/>
        <v>-16469</v>
      </c>
    </row>
    <row r="154" spans="1:5" s="506" customFormat="1" x14ac:dyDescent="0.2">
      <c r="A154" s="512">
        <v>6</v>
      </c>
      <c r="B154" s="511" t="s">
        <v>418</v>
      </c>
      <c r="C154" s="534">
        <v>1728</v>
      </c>
      <c r="D154" s="534">
        <v>1731</v>
      </c>
      <c r="E154" s="531">
        <f t="shared" si="17"/>
        <v>3</v>
      </c>
    </row>
    <row r="155" spans="1:5" s="506" customFormat="1" x14ac:dyDescent="0.2">
      <c r="A155" s="512">
        <v>7</v>
      </c>
      <c r="B155" s="511" t="s">
        <v>736</v>
      </c>
      <c r="C155" s="534">
        <v>5967</v>
      </c>
      <c r="D155" s="534">
        <v>3050</v>
      </c>
      <c r="E155" s="531">
        <f t="shared" si="17"/>
        <v>-2917</v>
      </c>
    </row>
    <row r="156" spans="1:5" s="506" customFormat="1" x14ac:dyDescent="0.2">
      <c r="A156" s="512"/>
      <c r="B156" s="516" t="s">
        <v>785</v>
      </c>
      <c r="C156" s="532">
        <f>SUM(C150+C151+C154)</f>
        <v>186854</v>
      </c>
      <c r="D156" s="532">
        <f>SUM(D150+D151+D154)</f>
        <v>203324</v>
      </c>
      <c r="E156" s="533">
        <f t="shared" si="17"/>
        <v>16470</v>
      </c>
    </row>
    <row r="157" spans="1:5" s="506" customFormat="1" x14ac:dyDescent="0.2">
      <c r="A157" s="512"/>
      <c r="B157" s="516" t="s">
        <v>786</v>
      </c>
      <c r="C157" s="532">
        <f>SUM(C149+C156)</f>
        <v>284705</v>
      </c>
      <c r="D157" s="532">
        <f>SUM(D149+D156)</f>
        <v>300989</v>
      </c>
      <c r="E157" s="533">
        <f t="shared" si="17"/>
        <v>16284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787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629</v>
      </c>
      <c r="C161" s="536">
        <f t="shared" ref="C161:D169" si="18">IF(C137=0,0,C149/C137)</f>
        <v>4.1814879705995471</v>
      </c>
      <c r="D161" s="536">
        <f t="shared" si="18"/>
        <v>4.2264583693958802</v>
      </c>
      <c r="E161" s="537">
        <f t="shared" ref="E161:E169" si="19">D161-C161</f>
        <v>4.4970398796333022E-2</v>
      </c>
    </row>
    <row r="162" spans="1:5" s="506" customFormat="1" x14ac:dyDescent="0.2">
      <c r="A162" s="512">
        <v>2</v>
      </c>
      <c r="B162" s="511" t="s">
        <v>608</v>
      </c>
      <c r="C162" s="536">
        <f t="shared" si="18"/>
        <v>5.6571988246816849</v>
      </c>
      <c r="D162" s="536">
        <f t="shared" si="18"/>
        <v>6.170394996337409</v>
      </c>
      <c r="E162" s="537">
        <f t="shared" si="19"/>
        <v>0.51319617165572406</v>
      </c>
    </row>
    <row r="163" spans="1:5" s="506" customFormat="1" x14ac:dyDescent="0.2">
      <c r="A163" s="512">
        <v>3</v>
      </c>
      <c r="B163" s="511" t="s">
        <v>754</v>
      </c>
      <c r="C163" s="536">
        <f t="shared" si="18"/>
        <v>5.6010566329489082</v>
      </c>
      <c r="D163" s="536">
        <f t="shared" si="18"/>
        <v>5.6672410609883688</v>
      </c>
      <c r="E163" s="537">
        <f t="shared" si="19"/>
        <v>6.6184428039460563E-2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5.684494998386576</v>
      </c>
      <c r="D164" s="536">
        <f t="shared" si="18"/>
        <v>5.6672410609883688</v>
      </c>
      <c r="E164" s="537">
        <f t="shared" si="19"/>
        <v>-1.7253937398207242E-2</v>
      </c>
    </row>
    <row r="165" spans="1:5" s="506" customFormat="1" x14ac:dyDescent="0.2">
      <c r="A165" s="512">
        <v>5</v>
      </c>
      <c r="B165" s="511" t="s">
        <v>721</v>
      </c>
      <c r="C165" s="536">
        <f t="shared" si="18"/>
        <v>5.2700800000000001</v>
      </c>
      <c r="D165" s="536">
        <f t="shared" si="18"/>
        <v>0</v>
      </c>
      <c r="E165" s="537">
        <f t="shared" si="19"/>
        <v>-5.2700800000000001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5.3498452012383897</v>
      </c>
      <c r="D166" s="536">
        <f t="shared" si="18"/>
        <v>4.988472622478386</v>
      </c>
      <c r="E166" s="537">
        <f t="shared" si="19"/>
        <v>-0.36137257876000373</v>
      </c>
    </row>
    <row r="167" spans="1:5" s="506" customFormat="1" x14ac:dyDescent="0.2">
      <c r="A167" s="512">
        <v>7</v>
      </c>
      <c r="B167" s="511" t="s">
        <v>736</v>
      </c>
      <c r="C167" s="536">
        <f t="shared" si="18"/>
        <v>4.1552924791086348</v>
      </c>
      <c r="D167" s="536">
        <f t="shared" si="18"/>
        <v>3.2481363152289671</v>
      </c>
      <c r="E167" s="537">
        <f t="shared" si="19"/>
        <v>-0.90715616387966769</v>
      </c>
    </row>
    <row r="168" spans="1:5" s="506" customFormat="1" x14ac:dyDescent="0.2">
      <c r="A168" s="512"/>
      <c r="B168" s="516" t="s">
        <v>788</v>
      </c>
      <c r="C168" s="538">
        <f t="shared" si="18"/>
        <v>5.6279630131622538</v>
      </c>
      <c r="D168" s="538">
        <f t="shared" si="18"/>
        <v>5.9203913461258484</v>
      </c>
      <c r="E168" s="539">
        <f t="shared" si="19"/>
        <v>0.29242833296359461</v>
      </c>
    </row>
    <row r="169" spans="1:5" s="506" customFormat="1" x14ac:dyDescent="0.2">
      <c r="A169" s="512"/>
      <c r="B169" s="516" t="s">
        <v>722</v>
      </c>
      <c r="C169" s="538">
        <f t="shared" si="18"/>
        <v>5.0299459383060672</v>
      </c>
      <c r="D169" s="538">
        <f t="shared" si="18"/>
        <v>5.2390558911072045</v>
      </c>
      <c r="E169" s="539">
        <f t="shared" si="19"/>
        <v>0.20910995280113731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789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629</v>
      </c>
      <c r="C173" s="541">
        <f t="shared" ref="C173:D181" si="20">IF(C137=0,0,C203/C137)</f>
        <v>1.2417</v>
      </c>
      <c r="D173" s="541">
        <f t="shared" si="20"/>
        <v>1.3619000000000001</v>
      </c>
      <c r="E173" s="542">
        <f t="shared" ref="E173:E181" si="21">D173-C173</f>
        <v>0.12020000000000008</v>
      </c>
    </row>
    <row r="174" spans="1:5" s="506" customFormat="1" x14ac:dyDescent="0.2">
      <c r="A174" s="512">
        <v>2</v>
      </c>
      <c r="B174" s="511" t="s">
        <v>608</v>
      </c>
      <c r="C174" s="541">
        <f t="shared" si="20"/>
        <v>1.6712</v>
      </c>
      <c r="D174" s="541">
        <f t="shared" si="20"/>
        <v>1.7807999999999999</v>
      </c>
      <c r="E174" s="542">
        <f t="shared" si="21"/>
        <v>0.10959999999999992</v>
      </c>
    </row>
    <row r="175" spans="1:5" s="506" customFormat="1" x14ac:dyDescent="0.2">
      <c r="A175" s="512">
        <v>0</v>
      </c>
      <c r="B175" s="511" t="s">
        <v>754</v>
      </c>
      <c r="C175" s="541">
        <f t="shared" si="20"/>
        <v>1.1476978609625668</v>
      </c>
      <c r="D175" s="541">
        <f t="shared" si="20"/>
        <v>1.2388999999999999</v>
      </c>
      <c r="E175" s="542">
        <f t="shared" si="21"/>
        <v>9.1202139037433128E-2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1.1359999999999999</v>
      </c>
      <c r="D176" s="541">
        <f t="shared" si="20"/>
        <v>1.2388999999999999</v>
      </c>
      <c r="E176" s="542">
        <f t="shared" si="21"/>
        <v>0.10289999999999999</v>
      </c>
    </row>
    <row r="177" spans="1:5" s="506" customFormat="1" x14ac:dyDescent="0.2">
      <c r="A177" s="512">
        <v>5</v>
      </c>
      <c r="B177" s="511" t="s">
        <v>721</v>
      </c>
      <c r="C177" s="541">
        <f t="shared" si="20"/>
        <v>1.1940999999999999</v>
      </c>
      <c r="D177" s="541">
        <f t="shared" si="20"/>
        <v>0</v>
      </c>
      <c r="E177" s="542">
        <f t="shared" si="21"/>
        <v>-1.1940999999999999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1.2423</v>
      </c>
      <c r="D178" s="541">
        <f t="shared" si="20"/>
        <v>1.425</v>
      </c>
      <c r="E178" s="542">
        <f t="shared" si="21"/>
        <v>0.18270000000000008</v>
      </c>
    </row>
    <row r="179" spans="1:5" s="506" customFormat="1" x14ac:dyDescent="0.2">
      <c r="A179" s="512">
        <v>7</v>
      </c>
      <c r="B179" s="511" t="s">
        <v>736</v>
      </c>
      <c r="C179" s="541">
        <f t="shared" si="20"/>
        <v>1.3184</v>
      </c>
      <c r="D179" s="541">
        <f t="shared" si="20"/>
        <v>1.5919000000000001</v>
      </c>
      <c r="E179" s="542">
        <f t="shared" si="21"/>
        <v>0.27350000000000008</v>
      </c>
    </row>
    <row r="180" spans="1:5" s="506" customFormat="1" x14ac:dyDescent="0.2">
      <c r="A180" s="512"/>
      <c r="B180" s="516" t="s">
        <v>790</v>
      </c>
      <c r="C180" s="543">
        <f t="shared" si="20"/>
        <v>1.4222975151350863</v>
      </c>
      <c r="D180" s="543">
        <f t="shared" si="20"/>
        <v>1.5208111900532859</v>
      </c>
      <c r="E180" s="544">
        <f t="shared" si="21"/>
        <v>9.8513674918199623E-2</v>
      </c>
    </row>
    <row r="181" spans="1:5" s="506" customFormat="1" x14ac:dyDescent="0.2">
      <c r="A181" s="512"/>
      <c r="B181" s="516" t="s">
        <v>699</v>
      </c>
      <c r="C181" s="543">
        <f t="shared" si="20"/>
        <v>1.3476329723331331</v>
      </c>
      <c r="D181" s="543">
        <f t="shared" si="20"/>
        <v>1.4568937686028094</v>
      </c>
      <c r="E181" s="544">
        <f t="shared" si="21"/>
        <v>0.10926079626967633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791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792</v>
      </c>
      <c r="C185" s="513">
        <v>1566246297</v>
      </c>
      <c r="D185" s="513">
        <v>1736523939</v>
      </c>
      <c r="E185" s="514">
        <f>D185-C185</f>
        <v>170277642</v>
      </c>
    </row>
    <row r="186" spans="1:5" s="506" customFormat="1" ht="25.5" x14ac:dyDescent="0.2">
      <c r="A186" s="512">
        <v>2</v>
      </c>
      <c r="B186" s="511" t="s">
        <v>793</v>
      </c>
      <c r="C186" s="513">
        <v>714995462</v>
      </c>
      <c r="D186" s="513">
        <v>770806705</v>
      </c>
      <c r="E186" s="514">
        <f>D186-C186</f>
        <v>55811243</v>
      </c>
    </row>
    <row r="187" spans="1:5" s="506" customFormat="1" x14ac:dyDescent="0.2">
      <c r="A187" s="512"/>
      <c r="B187" s="511" t="s">
        <v>641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725</v>
      </c>
      <c r="C188" s="546">
        <f>+C185-C186</f>
        <v>851250835</v>
      </c>
      <c r="D188" s="546">
        <f>+D185-D186</f>
        <v>965717234</v>
      </c>
      <c r="E188" s="514">
        <f t="shared" ref="E188:E197" si="22">D188-C188</f>
        <v>114466399</v>
      </c>
    </row>
    <row r="189" spans="1:5" s="506" customFormat="1" x14ac:dyDescent="0.2">
      <c r="A189" s="512">
        <v>4</v>
      </c>
      <c r="B189" s="511" t="s">
        <v>643</v>
      </c>
      <c r="C189" s="547">
        <f>IF(C185=0,0,+C188/C185)</f>
        <v>0.54349742861674588</v>
      </c>
      <c r="D189" s="547">
        <f>IF(D185=0,0,+D188/D185)</f>
        <v>0.55612088742993138</v>
      </c>
      <c r="E189" s="523">
        <f t="shared" si="22"/>
        <v>1.2623458813185495E-2</v>
      </c>
    </row>
    <row r="190" spans="1:5" s="506" customFormat="1" x14ac:dyDescent="0.2">
      <c r="A190" s="512">
        <v>5</v>
      </c>
      <c r="B190" s="511" t="s">
        <v>740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726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794</v>
      </c>
      <c r="C192" s="513">
        <v>11001260</v>
      </c>
      <c r="D192" s="513">
        <v>0</v>
      </c>
      <c r="E192" s="546">
        <f t="shared" si="22"/>
        <v>-11001260</v>
      </c>
    </row>
    <row r="193" spans="1:5" s="506" customFormat="1" x14ac:dyDescent="0.2">
      <c r="A193" s="512">
        <v>8</v>
      </c>
      <c r="B193" s="511" t="s">
        <v>795</v>
      </c>
      <c r="C193" s="513">
        <v>28159845</v>
      </c>
      <c r="D193" s="513">
        <v>31059911</v>
      </c>
      <c r="E193" s="546">
        <f t="shared" si="22"/>
        <v>2900066</v>
      </c>
    </row>
    <row r="194" spans="1:5" s="506" customFormat="1" x14ac:dyDescent="0.2">
      <c r="A194" s="512">
        <v>9</v>
      </c>
      <c r="B194" s="511" t="s">
        <v>796</v>
      </c>
      <c r="C194" s="513">
        <v>61051690</v>
      </c>
      <c r="D194" s="513">
        <v>55846721</v>
      </c>
      <c r="E194" s="546">
        <f t="shared" si="22"/>
        <v>-5204969</v>
      </c>
    </row>
    <row r="195" spans="1:5" s="506" customFormat="1" x14ac:dyDescent="0.2">
      <c r="A195" s="512">
        <v>10</v>
      </c>
      <c r="B195" s="511" t="s">
        <v>797</v>
      </c>
      <c r="C195" s="513">
        <f>+C193+C194</f>
        <v>89211535</v>
      </c>
      <c r="D195" s="513">
        <f>+D193+D194</f>
        <v>86906632</v>
      </c>
      <c r="E195" s="549">
        <f t="shared" si="22"/>
        <v>-2304903</v>
      </c>
    </row>
    <row r="196" spans="1:5" s="506" customFormat="1" x14ac:dyDescent="0.2">
      <c r="A196" s="512">
        <v>11</v>
      </c>
      <c r="B196" s="511" t="s">
        <v>798</v>
      </c>
      <c r="C196" s="513">
        <v>1566246297</v>
      </c>
      <c r="D196" s="513">
        <v>1736523939</v>
      </c>
      <c r="E196" s="546">
        <f t="shared" si="22"/>
        <v>170277642</v>
      </c>
    </row>
    <row r="197" spans="1:5" s="506" customFormat="1" x14ac:dyDescent="0.2">
      <c r="A197" s="512">
        <v>12</v>
      </c>
      <c r="B197" s="511" t="s">
        <v>683</v>
      </c>
      <c r="C197" s="513">
        <v>1297936000</v>
      </c>
      <c r="D197" s="513">
        <v>1435807000</v>
      </c>
      <c r="E197" s="546">
        <f t="shared" si="22"/>
        <v>137871000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799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800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629</v>
      </c>
      <c r="C203" s="553">
        <v>29057.021700000001</v>
      </c>
      <c r="D203" s="553">
        <v>31470.785200000002</v>
      </c>
      <c r="E203" s="554">
        <f t="shared" ref="E203:E211" si="23">D203-C203</f>
        <v>2413.7635000000009</v>
      </c>
    </row>
    <row r="204" spans="1:5" s="506" customFormat="1" x14ac:dyDescent="0.2">
      <c r="A204" s="512">
        <v>2</v>
      </c>
      <c r="B204" s="511" t="s">
        <v>608</v>
      </c>
      <c r="C204" s="553">
        <v>29007.018400000001</v>
      </c>
      <c r="D204" s="553">
        <v>31603.857599999999</v>
      </c>
      <c r="E204" s="554">
        <f t="shared" si="23"/>
        <v>2596.8391999999985</v>
      </c>
    </row>
    <row r="205" spans="1:5" s="506" customFormat="1" x14ac:dyDescent="0.2">
      <c r="A205" s="512">
        <v>3</v>
      </c>
      <c r="B205" s="511" t="s">
        <v>754</v>
      </c>
      <c r="C205" s="553">
        <f>C206+C207</f>
        <v>17813.4185</v>
      </c>
      <c r="D205" s="553">
        <f>D206+D207</f>
        <v>20130.8861</v>
      </c>
      <c r="E205" s="554">
        <f t="shared" si="23"/>
        <v>2317.4675999999999</v>
      </c>
    </row>
    <row r="206" spans="1:5" s="506" customFormat="1" x14ac:dyDescent="0.2">
      <c r="A206" s="512">
        <v>4</v>
      </c>
      <c r="B206" s="511" t="s">
        <v>114</v>
      </c>
      <c r="C206" s="553">
        <v>14081.855999999998</v>
      </c>
      <c r="D206" s="553">
        <v>20130.8861</v>
      </c>
      <c r="E206" s="554">
        <f t="shared" si="23"/>
        <v>6049.0301000000018</v>
      </c>
    </row>
    <row r="207" spans="1:5" s="506" customFormat="1" x14ac:dyDescent="0.2">
      <c r="A207" s="512">
        <v>5</v>
      </c>
      <c r="B207" s="511" t="s">
        <v>721</v>
      </c>
      <c r="C207" s="553">
        <v>3731.5625</v>
      </c>
      <c r="D207" s="553">
        <v>0</v>
      </c>
      <c r="E207" s="554">
        <f t="shared" si="23"/>
        <v>-3731.5625</v>
      </c>
    </row>
    <row r="208" spans="1:5" s="506" customFormat="1" x14ac:dyDescent="0.2">
      <c r="A208" s="512">
        <v>6</v>
      </c>
      <c r="B208" s="511" t="s">
        <v>418</v>
      </c>
      <c r="C208" s="553">
        <v>401.2629</v>
      </c>
      <c r="D208" s="553">
        <v>494.47500000000002</v>
      </c>
      <c r="E208" s="554">
        <f t="shared" si="23"/>
        <v>93.212100000000021</v>
      </c>
    </row>
    <row r="209" spans="1:5" s="506" customFormat="1" x14ac:dyDescent="0.2">
      <c r="A209" s="512">
        <v>7</v>
      </c>
      <c r="B209" s="511" t="s">
        <v>736</v>
      </c>
      <c r="C209" s="553">
        <v>1893.2224000000001</v>
      </c>
      <c r="D209" s="553">
        <v>1494.7941000000001</v>
      </c>
      <c r="E209" s="554">
        <f t="shared" si="23"/>
        <v>-398.42830000000004</v>
      </c>
    </row>
    <row r="210" spans="1:5" s="506" customFormat="1" x14ac:dyDescent="0.2">
      <c r="A210" s="512"/>
      <c r="B210" s="516" t="s">
        <v>801</v>
      </c>
      <c r="C210" s="555">
        <f>C204+C205+C208</f>
        <v>47221.699800000002</v>
      </c>
      <c r="D210" s="555">
        <f>D204+D205+D208</f>
        <v>52229.218699999998</v>
      </c>
      <c r="E210" s="556">
        <f t="shared" si="23"/>
        <v>5007.5188999999955</v>
      </c>
    </row>
    <row r="211" spans="1:5" s="506" customFormat="1" x14ac:dyDescent="0.2">
      <c r="A211" s="512"/>
      <c r="B211" s="516" t="s">
        <v>700</v>
      </c>
      <c r="C211" s="555">
        <f>C210+C203</f>
        <v>76278.7215</v>
      </c>
      <c r="D211" s="555">
        <f>D210+D203</f>
        <v>83700.003899999996</v>
      </c>
      <c r="E211" s="556">
        <f t="shared" si="23"/>
        <v>7421.2823999999964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802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629</v>
      </c>
      <c r="C215" s="557">
        <f>IF(C14*C137=0,0,C25/C14*C137)</f>
        <v>16332.459654316168</v>
      </c>
      <c r="D215" s="557">
        <f>IF(D14*D137=0,0,D25/D14*D137)</f>
        <v>16492.243484249291</v>
      </c>
      <c r="E215" s="557">
        <f t="shared" ref="E215:E223" si="24">D215-C215</f>
        <v>159.78382993312334</v>
      </c>
    </row>
    <row r="216" spans="1:5" s="506" customFormat="1" x14ac:dyDescent="0.2">
      <c r="A216" s="512">
        <v>2</v>
      </c>
      <c r="B216" s="511" t="s">
        <v>608</v>
      </c>
      <c r="C216" s="557">
        <f>IF(C15*C138=0,0,C26/C15*C138)</f>
        <v>6168.2152163654318</v>
      </c>
      <c r="D216" s="557">
        <f>IF(D15*D138=0,0,D26/D15*D138)</f>
        <v>6290.9489246071453</v>
      </c>
      <c r="E216" s="557">
        <f t="shared" si="24"/>
        <v>122.73370824171343</v>
      </c>
    </row>
    <row r="217" spans="1:5" s="506" customFormat="1" x14ac:dyDescent="0.2">
      <c r="A217" s="512">
        <v>3</v>
      </c>
      <c r="B217" s="511" t="s">
        <v>754</v>
      </c>
      <c r="C217" s="557">
        <f>C218+C219</f>
        <v>5500.7914939012808</v>
      </c>
      <c r="D217" s="557">
        <f>D218+D219</f>
        <v>6103.6556573105854</v>
      </c>
      <c r="E217" s="557">
        <f t="shared" si="24"/>
        <v>602.86416340930464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4507.1534289440615</v>
      </c>
      <c r="D218" s="557">
        <f t="shared" si="25"/>
        <v>6103.6556573105854</v>
      </c>
      <c r="E218" s="557">
        <f t="shared" si="24"/>
        <v>1596.5022283665239</v>
      </c>
    </row>
    <row r="219" spans="1:5" s="506" customFormat="1" x14ac:dyDescent="0.2">
      <c r="A219" s="512">
        <v>5</v>
      </c>
      <c r="B219" s="511" t="s">
        <v>721</v>
      </c>
      <c r="C219" s="557">
        <f t="shared" si="25"/>
        <v>993.63806495721894</v>
      </c>
      <c r="D219" s="557">
        <f t="shared" si="25"/>
        <v>0</v>
      </c>
      <c r="E219" s="557">
        <f t="shared" si="24"/>
        <v>-993.63806495721894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119.96047418939753</v>
      </c>
      <c r="D220" s="557">
        <f t="shared" si="25"/>
        <v>123.94382172668054</v>
      </c>
      <c r="E220" s="557">
        <f t="shared" si="24"/>
        <v>3.9833475372830094</v>
      </c>
    </row>
    <row r="221" spans="1:5" s="506" customFormat="1" x14ac:dyDescent="0.2">
      <c r="A221" s="512">
        <v>7</v>
      </c>
      <c r="B221" s="511" t="s">
        <v>736</v>
      </c>
      <c r="C221" s="557">
        <f t="shared" si="25"/>
        <v>1521.0910000496008</v>
      </c>
      <c r="D221" s="557">
        <f t="shared" si="25"/>
        <v>1775.5567180285675</v>
      </c>
      <c r="E221" s="557">
        <f t="shared" si="24"/>
        <v>254.46571797896672</v>
      </c>
    </row>
    <row r="222" spans="1:5" s="506" customFormat="1" x14ac:dyDescent="0.2">
      <c r="A222" s="512"/>
      <c r="B222" s="516" t="s">
        <v>803</v>
      </c>
      <c r="C222" s="558">
        <f>C216+C218+C219+C220</f>
        <v>11788.967184456109</v>
      </c>
      <c r="D222" s="558">
        <f>D216+D218+D219+D220</f>
        <v>12518.54840364441</v>
      </c>
      <c r="E222" s="558">
        <f t="shared" si="24"/>
        <v>729.58121918830147</v>
      </c>
    </row>
    <row r="223" spans="1:5" s="506" customFormat="1" x14ac:dyDescent="0.2">
      <c r="A223" s="512"/>
      <c r="B223" s="516" t="s">
        <v>804</v>
      </c>
      <c r="C223" s="558">
        <f>C215+C222</f>
        <v>28121.426838772277</v>
      </c>
      <c r="D223" s="558">
        <f>D215+D222</f>
        <v>29010.791887893702</v>
      </c>
      <c r="E223" s="558">
        <f t="shared" si="24"/>
        <v>889.36504912142482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805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629</v>
      </c>
      <c r="C227" s="560">
        <f t="shared" ref="C227:D235" si="26">IF(C203=0,0,C47/C203)</f>
        <v>12786.346234514462</v>
      </c>
      <c r="D227" s="560">
        <f t="shared" si="26"/>
        <v>12502.05419088177</v>
      </c>
      <c r="E227" s="560">
        <f t="shared" ref="E227:E235" si="27">D227-C227</f>
        <v>-284.29204363269127</v>
      </c>
    </row>
    <row r="228" spans="1:5" s="506" customFormat="1" x14ac:dyDescent="0.2">
      <c r="A228" s="512">
        <v>2</v>
      </c>
      <c r="B228" s="511" t="s">
        <v>608</v>
      </c>
      <c r="C228" s="560">
        <f t="shared" si="26"/>
        <v>11141.605819093767</v>
      </c>
      <c r="D228" s="560">
        <f t="shared" si="26"/>
        <v>11022.242961884502</v>
      </c>
      <c r="E228" s="560">
        <f t="shared" si="27"/>
        <v>-119.36285720926571</v>
      </c>
    </row>
    <row r="229" spans="1:5" s="506" customFormat="1" x14ac:dyDescent="0.2">
      <c r="A229" s="512">
        <v>3</v>
      </c>
      <c r="B229" s="511" t="s">
        <v>754</v>
      </c>
      <c r="C229" s="560">
        <f t="shared" si="26"/>
        <v>6646.8064509908645</v>
      </c>
      <c r="D229" s="560">
        <f t="shared" si="26"/>
        <v>6835.7405787517719</v>
      </c>
      <c r="E229" s="560">
        <f t="shared" si="27"/>
        <v>188.93412776090736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6888.1353423866867</v>
      </c>
      <c r="D230" s="560">
        <f t="shared" si="26"/>
        <v>6835.7405787517719</v>
      </c>
      <c r="E230" s="560">
        <f t="shared" si="27"/>
        <v>-52.394763634914852</v>
      </c>
    </row>
    <row r="231" spans="1:5" s="506" customFormat="1" x14ac:dyDescent="0.2">
      <c r="A231" s="512">
        <v>5</v>
      </c>
      <c r="B231" s="511" t="s">
        <v>721</v>
      </c>
      <c r="C231" s="560">
        <f t="shared" si="26"/>
        <v>5736.0998241353318</v>
      </c>
      <c r="D231" s="560">
        <f t="shared" si="26"/>
        <v>0</v>
      </c>
      <c r="E231" s="560">
        <f t="shared" si="27"/>
        <v>-5736.0998241353318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8784.2334788489043</v>
      </c>
      <c r="D232" s="560">
        <f t="shared" si="26"/>
        <v>9619.0545528085331</v>
      </c>
      <c r="E232" s="560">
        <f t="shared" si="27"/>
        <v>834.82107395962885</v>
      </c>
    </row>
    <row r="233" spans="1:5" s="506" customFormat="1" x14ac:dyDescent="0.2">
      <c r="A233" s="512">
        <v>7</v>
      </c>
      <c r="B233" s="511" t="s">
        <v>736</v>
      </c>
      <c r="C233" s="560">
        <f t="shared" si="26"/>
        <v>1210.6348414216945</v>
      </c>
      <c r="D233" s="560">
        <f t="shared" si="26"/>
        <v>5986.9737243410309</v>
      </c>
      <c r="E233" s="560">
        <f t="shared" si="27"/>
        <v>4776.3388829193364</v>
      </c>
    </row>
    <row r="234" spans="1:5" x14ac:dyDescent="0.2">
      <c r="A234" s="512"/>
      <c r="B234" s="516" t="s">
        <v>806</v>
      </c>
      <c r="C234" s="561">
        <f t="shared" si="26"/>
        <v>9426.0032757228273</v>
      </c>
      <c r="D234" s="561">
        <f t="shared" si="26"/>
        <v>9395.3405050648398</v>
      </c>
      <c r="E234" s="561">
        <f t="shared" si="27"/>
        <v>-30.662770657987494</v>
      </c>
    </row>
    <row r="235" spans="1:5" s="506" customFormat="1" x14ac:dyDescent="0.2">
      <c r="A235" s="512"/>
      <c r="B235" s="516" t="s">
        <v>807</v>
      </c>
      <c r="C235" s="561">
        <f t="shared" si="26"/>
        <v>10706.066134052862</v>
      </c>
      <c r="D235" s="561">
        <f t="shared" si="26"/>
        <v>10563.449400269383</v>
      </c>
      <c r="E235" s="561">
        <f t="shared" si="27"/>
        <v>-142.6167337834795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808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629</v>
      </c>
      <c r="C239" s="560">
        <f t="shared" ref="C239:D247" si="28">IF(C215=0,0,C58/C215)</f>
        <v>19279.862412933307</v>
      </c>
      <c r="D239" s="560">
        <f t="shared" si="28"/>
        <v>20597.315842712505</v>
      </c>
      <c r="E239" s="562">
        <f t="shared" ref="E239:E247" si="29">D239-C239</f>
        <v>1317.4534297791979</v>
      </c>
    </row>
    <row r="240" spans="1:5" s="506" customFormat="1" x14ac:dyDescent="0.2">
      <c r="A240" s="512">
        <v>2</v>
      </c>
      <c r="B240" s="511" t="s">
        <v>608</v>
      </c>
      <c r="C240" s="560">
        <f t="shared" si="28"/>
        <v>11900.986496910033</v>
      </c>
      <c r="D240" s="560">
        <f t="shared" si="28"/>
        <v>13639.315312889505</v>
      </c>
      <c r="E240" s="562">
        <f t="shared" si="29"/>
        <v>1738.328815979472</v>
      </c>
    </row>
    <row r="241" spans="1:5" x14ac:dyDescent="0.2">
      <c r="A241" s="512">
        <v>3</v>
      </c>
      <c r="B241" s="511" t="s">
        <v>754</v>
      </c>
      <c r="C241" s="560">
        <f t="shared" si="28"/>
        <v>11357.757164449475</v>
      </c>
      <c r="D241" s="560">
        <f t="shared" si="28"/>
        <v>12503.761235054304</v>
      </c>
      <c r="E241" s="562">
        <f t="shared" si="29"/>
        <v>1146.0040706048294</v>
      </c>
    </row>
    <row r="242" spans="1:5" x14ac:dyDescent="0.2">
      <c r="A242" s="512">
        <v>4</v>
      </c>
      <c r="B242" s="511" t="s">
        <v>114</v>
      </c>
      <c r="C242" s="560">
        <f t="shared" si="28"/>
        <v>12011.363902622517</v>
      </c>
      <c r="D242" s="560">
        <f t="shared" si="28"/>
        <v>12503.761235054304</v>
      </c>
      <c r="E242" s="562">
        <f t="shared" si="29"/>
        <v>492.39733243178671</v>
      </c>
    </row>
    <row r="243" spans="1:5" x14ac:dyDescent="0.2">
      <c r="A243" s="512">
        <v>5</v>
      </c>
      <c r="B243" s="511" t="s">
        <v>721</v>
      </c>
      <c r="C243" s="560">
        <f t="shared" si="28"/>
        <v>8392.989654999843</v>
      </c>
      <c r="D243" s="560">
        <f t="shared" si="28"/>
        <v>0</v>
      </c>
      <c r="E243" s="562">
        <f t="shared" si="29"/>
        <v>-8392.989654999843</v>
      </c>
    </row>
    <row r="244" spans="1:5" x14ac:dyDescent="0.2">
      <c r="A244" s="512">
        <v>6</v>
      </c>
      <c r="B244" s="511" t="s">
        <v>418</v>
      </c>
      <c r="C244" s="560">
        <f t="shared" si="28"/>
        <v>20533.930168623079</v>
      </c>
      <c r="D244" s="560">
        <f t="shared" si="28"/>
        <v>12084.297378717865</v>
      </c>
      <c r="E244" s="562">
        <f t="shared" si="29"/>
        <v>-8449.6327899052139</v>
      </c>
    </row>
    <row r="245" spans="1:5" x14ac:dyDescent="0.2">
      <c r="A245" s="512">
        <v>7</v>
      </c>
      <c r="B245" s="511" t="s">
        <v>736</v>
      </c>
      <c r="C245" s="560">
        <f t="shared" si="28"/>
        <v>11722.478799373974</v>
      </c>
      <c r="D245" s="560">
        <f t="shared" si="28"/>
        <v>4488.3646459058245</v>
      </c>
      <c r="E245" s="562">
        <f t="shared" si="29"/>
        <v>-7234.1141534681492</v>
      </c>
    </row>
    <row r="246" spans="1:5" ht="25.5" x14ac:dyDescent="0.2">
      <c r="A246" s="512"/>
      <c r="B246" s="516" t="s">
        <v>809</v>
      </c>
      <c r="C246" s="561">
        <f t="shared" si="28"/>
        <v>11735.358817726894</v>
      </c>
      <c r="D246" s="561">
        <f t="shared" si="28"/>
        <v>13070.258445649068</v>
      </c>
      <c r="E246" s="563">
        <f t="shared" si="29"/>
        <v>1334.8996279221737</v>
      </c>
    </row>
    <row r="247" spans="1:5" x14ac:dyDescent="0.2">
      <c r="A247" s="512"/>
      <c r="B247" s="516" t="s">
        <v>810</v>
      </c>
      <c r="C247" s="561">
        <f t="shared" si="28"/>
        <v>16117.081739789392</v>
      </c>
      <c r="D247" s="561">
        <f t="shared" si="28"/>
        <v>17349.288945471209</v>
      </c>
      <c r="E247" s="563">
        <f t="shared" si="29"/>
        <v>1232.2072056818179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738</v>
      </c>
      <c r="B249" s="550" t="s">
        <v>735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-497487.90263497521</v>
      </c>
      <c r="D251" s="546">
        <f>((IF((IF(D15=0,0,D26/D15)*D138)=0,0,D59/(IF(D15=0,0,D26/D15)*D138)))-(IF((IF(D17=0,0,D28/D17)*D140)=0,0,D61/(IF(D17=0,0,D28/D17)*D140))))*(IF(D17=0,0,D28/D17)*D140)</f>
        <v>6931031.0713609271</v>
      </c>
      <c r="E251" s="546">
        <f>D251-C251</f>
        <v>7428518.9739959026</v>
      </c>
    </row>
    <row r="252" spans="1:5" x14ac:dyDescent="0.2">
      <c r="A252" s="512">
        <v>2</v>
      </c>
      <c r="B252" s="511" t="s">
        <v>721</v>
      </c>
      <c r="C252" s="546">
        <f>IF(C231=0,0,(C228-C231)*C207)+IF(C243=0,0,(C240-C243)*C219)</f>
        <v>23656662.658183765</v>
      </c>
      <c r="D252" s="546">
        <f>IF(D231=0,0,(D228-D231)*D207)+IF(D243=0,0,(D240-D243)*D219)</f>
        <v>0</v>
      </c>
      <c r="E252" s="546">
        <f>D252-C252</f>
        <v>-23656662.658183765</v>
      </c>
    </row>
    <row r="253" spans="1:5" x14ac:dyDescent="0.2">
      <c r="A253" s="512">
        <v>3</v>
      </c>
      <c r="B253" s="511" t="s">
        <v>736</v>
      </c>
      <c r="C253" s="546">
        <f>IF(C233=0,0,(C228-C233)*C209+IF(C221=0,0,(C240-C245)*C221))</f>
        <v>19073063.160840347</v>
      </c>
      <c r="D253" s="546">
        <f>IF(D233=0,0,(D228-D233)*D209+IF(D221=0,0,(D240-D245)*D221))</f>
        <v>23774722.681302354</v>
      </c>
      <c r="E253" s="546">
        <f>D253-C253</f>
        <v>4701659.5204620063</v>
      </c>
    </row>
    <row r="254" spans="1:5" ht="15" customHeight="1" x14ac:dyDescent="0.2">
      <c r="A254" s="512"/>
      <c r="B254" s="516" t="s">
        <v>737</v>
      </c>
      <c r="C254" s="564">
        <f>+C251+C252+C253</f>
        <v>42232237.916389138</v>
      </c>
      <c r="D254" s="564">
        <f>+D251+D252+D253</f>
        <v>30705753.752663281</v>
      </c>
      <c r="E254" s="564">
        <f>D254-C254</f>
        <v>-11526484.163725857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811</v>
      </c>
      <c r="B256" s="550" t="s">
        <v>812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703</v>
      </c>
      <c r="C258" s="546">
        <f>+C44</f>
        <v>3902060165</v>
      </c>
      <c r="D258" s="549">
        <f>+D44</f>
        <v>4443296447</v>
      </c>
      <c r="E258" s="546">
        <f t="shared" ref="E258:E271" si="30">D258-C258</f>
        <v>541236282</v>
      </c>
    </row>
    <row r="259" spans="1:5" x14ac:dyDescent="0.2">
      <c r="A259" s="512">
        <v>2</v>
      </c>
      <c r="B259" s="511" t="s">
        <v>720</v>
      </c>
      <c r="C259" s="546">
        <f>+(C43-C76)</f>
        <v>1626137341</v>
      </c>
      <c r="D259" s="549">
        <f>+(D43-D76)</f>
        <v>1958435501</v>
      </c>
      <c r="E259" s="546">
        <f t="shared" si="30"/>
        <v>332298160</v>
      </c>
    </row>
    <row r="260" spans="1:5" x14ac:dyDescent="0.2">
      <c r="A260" s="512">
        <v>3</v>
      </c>
      <c r="B260" s="511" t="s">
        <v>724</v>
      </c>
      <c r="C260" s="546">
        <f>C195</f>
        <v>89211535</v>
      </c>
      <c r="D260" s="546">
        <f>D195</f>
        <v>86906632</v>
      </c>
      <c r="E260" s="546">
        <f t="shared" si="30"/>
        <v>-2304903</v>
      </c>
    </row>
    <row r="261" spans="1:5" x14ac:dyDescent="0.2">
      <c r="A261" s="512">
        <v>4</v>
      </c>
      <c r="B261" s="511" t="s">
        <v>725</v>
      </c>
      <c r="C261" s="546">
        <f>C188</f>
        <v>851250835</v>
      </c>
      <c r="D261" s="546">
        <f>D188</f>
        <v>965717234</v>
      </c>
      <c r="E261" s="546">
        <f t="shared" si="30"/>
        <v>114466399</v>
      </c>
    </row>
    <row r="262" spans="1:5" x14ac:dyDescent="0.2">
      <c r="A262" s="512">
        <v>5</v>
      </c>
      <c r="B262" s="511" t="s">
        <v>726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727</v>
      </c>
      <c r="C263" s="546">
        <f>+C259+C260+C261+C262</f>
        <v>2566599711</v>
      </c>
      <c r="D263" s="546">
        <f>+D259+D260+D261+D262</f>
        <v>3011059367</v>
      </c>
      <c r="E263" s="546">
        <f t="shared" si="30"/>
        <v>444459656</v>
      </c>
    </row>
    <row r="264" spans="1:5" x14ac:dyDescent="0.2">
      <c r="A264" s="512">
        <v>7</v>
      </c>
      <c r="B264" s="511" t="s">
        <v>627</v>
      </c>
      <c r="C264" s="546">
        <f>+C258-C263</f>
        <v>1335460454</v>
      </c>
      <c r="D264" s="546">
        <f>+D258-D263</f>
        <v>1432237080</v>
      </c>
      <c r="E264" s="546">
        <f t="shared" si="30"/>
        <v>96776626</v>
      </c>
    </row>
    <row r="265" spans="1:5" x14ac:dyDescent="0.2">
      <c r="A265" s="512">
        <v>8</v>
      </c>
      <c r="B265" s="511" t="s">
        <v>813</v>
      </c>
      <c r="C265" s="565">
        <f>C192</f>
        <v>11001260</v>
      </c>
      <c r="D265" s="565">
        <f>D192</f>
        <v>0</v>
      </c>
      <c r="E265" s="546">
        <f t="shared" si="30"/>
        <v>-11001260</v>
      </c>
    </row>
    <row r="266" spans="1:5" x14ac:dyDescent="0.2">
      <c r="A266" s="512">
        <v>9</v>
      </c>
      <c r="B266" s="511" t="s">
        <v>814</v>
      </c>
      <c r="C266" s="546">
        <f>+C264+C265</f>
        <v>1346461714</v>
      </c>
      <c r="D266" s="546">
        <f>+D264+D265</f>
        <v>1432237080</v>
      </c>
      <c r="E266" s="565">
        <f t="shared" si="30"/>
        <v>85775366</v>
      </c>
    </row>
    <row r="267" spans="1:5" x14ac:dyDescent="0.2">
      <c r="A267" s="512">
        <v>10</v>
      </c>
      <c r="B267" s="511" t="s">
        <v>815</v>
      </c>
      <c r="C267" s="566">
        <f>IF(C258=0,0,C266/C258)</f>
        <v>0.34506431399424614</v>
      </c>
      <c r="D267" s="566">
        <f>IF(D258=0,0,D266/D258)</f>
        <v>0.32233660235904582</v>
      </c>
      <c r="E267" s="567">
        <f t="shared" si="30"/>
        <v>-2.2727711635200321E-2</v>
      </c>
    </row>
    <row r="268" spans="1:5" x14ac:dyDescent="0.2">
      <c r="A268" s="512">
        <v>11</v>
      </c>
      <c r="B268" s="511" t="s">
        <v>689</v>
      </c>
      <c r="C268" s="546">
        <f>+C260*C267</f>
        <v>30783717.12514868</v>
      </c>
      <c r="D268" s="568">
        <f>+D260*D267</f>
        <v>28013188.481347926</v>
      </c>
      <c r="E268" s="546">
        <f t="shared" si="30"/>
        <v>-2770528.6438007541</v>
      </c>
    </row>
    <row r="269" spans="1:5" x14ac:dyDescent="0.2">
      <c r="A269" s="512">
        <v>12</v>
      </c>
      <c r="B269" s="511" t="s">
        <v>816</v>
      </c>
      <c r="C269" s="546">
        <f>((C17+C18+C28+C29)*C267)-(C50+C51+C61+C62)</f>
        <v>140691753.34244525</v>
      </c>
      <c r="D269" s="568">
        <f>((D17+D18+D28+D29)*D267)-(D50+D51+D61+D62)</f>
        <v>135467265.71196902</v>
      </c>
      <c r="E269" s="546">
        <f t="shared" si="30"/>
        <v>-5224487.6304762363</v>
      </c>
    </row>
    <row r="270" spans="1:5" s="569" customFormat="1" x14ac:dyDescent="0.2">
      <c r="A270" s="570">
        <v>13</v>
      </c>
      <c r="B270" s="571" t="s">
        <v>817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818</v>
      </c>
      <c r="C271" s="546">
        <f>+C268+C269+C270</f>
        <v>171475470.46759394</v>
      </c>
      <c r="D271" s="546">
        <f>+D268+D269+D270</f>
        <v>163480454.19331694</v>
      </c>
      <c r="E271" s="549">
        <f t="shared" si="30"/>
        <v>-7995016.2742770016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819</v>
      </c>
      <c r="B273" s="550" t="s">
        <v>820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821</v>
      </c>
      <c r="C275" s="340"/>
      <c r="D275" s="340"/>
      <c r="E275" s="520"/>
    </row>
    <row r="276" spans="1:5" x14ac:dyDescent="0.2">
      <c r="A276" s="512">
        <v>1</v>
      </c>
      <c r="B276" s="511" t="s">
        <v>629</v>
      </c>
      <c r="C276" s="547">
        <f t="shared" ref="C276:D284" si="31">IF(C14=0,0,+C47/C14)</f>
        <v>0.37273510448245112</v>
      </c>
      <c r="D276" s="547">
        <f t="shared" si="31"/>
        <v>0.36833911662111984</v>
      </c>
      <c r="E276" s="574">
        <f t="shared" ref="E276:E284" si="32">D276-C276</f>
        <v>-4.3959878613312742E-3</v>
      </c>
    </row>
    <row r="277" spans="1:5" x14ac:dyDescent="0.2">
      <c r="A277" s="512">
        <v>2</v>
      </c>
      <c r="B277" s="511" t="s">
        <v>608</v>
      </c>
      <c r="C277" s="547">
        <f t="shared" si="31"/>
        <v>0.34914003792021042</v>
      </c>
      <c r="D277" s="547">
        <f t="shared" si="31"/>
        <v>0.31415829799964756</v>
      </c>
      <c r="E277" s="574">
        <f t="shared" si="32"/>
        <v>-3.498173992056286E-2</v>
      </c>
    </row>
    <row r="278" spans="1:5" x14ac:dyDescent="0.2">
      <c r="A278" s="512">
        <v>3</v>
      </c>
      <c r="B278" s="511" t="s">
        <v>754</v>
      </c>
      <c r="C278" s="547">
        <f t="shared" si="31"/>
        <v>0.1721138124292822</v>
      </c>
      <c r="D278" s="547">
        <f t="shared" si="31"/>
        <v>0.17463985108941321</v>
      </c>
      <c r="E278" s="574">
        <f t="shared" si="32"/>
        <v>2.5260386601310136E-3</v>
      </c>
    </row>
    <row r="279" spans="1:5" x14ac:dyDescent="0.2">
      <c r="A279" s="512">
        <v>4</v>
      </c>
      <c r="B279" s="511" t="s">
        <v>114</v>
      </c>
      <c r="C279" s="547">
        <f t="shared" si="31"/>
        <v>0.17531626606170223</v>
      </c>
      <c r="D279" s="547">
        <f t="shared" si="31"/>
        <v>0.17463985108941321</v>
      </c>
      <c r="E279" s="574">
        <f t="shared" si="32"/>
        <v>-6.7641497228901337E-4</v>
      </c>
    </row>
    <row r="280" spans="1:5" x14ac:dyDescent="0.2">
      <c r="A280" s="512">
        <v>5</v>
      </c>
      <c r="B280" s="511" t="s">
        <v>721</v>
      </c>
      <c r="C280" s="547">
        <f t="shared" si="31"/>
        <v>0.15895577551710866</v>
      </c>
      <c r="D280" s="547">
        <f t="shared" si="31"/>
        <v>0</v>
      </c>
      <c r="E280" s="574">
        <f t="shared" si="32"/>
        <v>-0.15895577551710866</v>
      </c>
    </row>
    <row r="281" spans="1:5" x14ac:dyDescent="0.2">
      <c r="A281" s="512">
        <v>6</v>
      </c>
      <c r="B281" s="511" t="s">
        <v>418</v>
      </c>
      <c r="C281" s="547">
        <f t="shared" si="31"/>
        <v>0.2095536433860398</v>
      </c>
      <c r="D281" s="547">
        <f t="shared" si="31"/>
        <v>0.23956567752858993</v>
      </c>
      <c r="E281" s="574">
        <f t="shared" si="32"/>
        <v>3.0012034142550131E-2</v>
      </c>
    </row>
    <row r="282" spans="1:5" x14ac:dyDescent="0.2">
      <c r="A282" s="512">
        <v>7</v>
      </c>
      <c r="B282" s="511" t="s">
        <v>736</v>
      </c>
      <c r="C282" s="547">
        <f t="shared" si="31"/>
        <v>4.482859368303585E-2</v>
      </c>
      <c r="D282" s="547">
        <f t="shared" si="31"/>
        <v>0.27521422045502625</v>
      </c>
      <c r="E282" s="574">
        <f t="shared" si="32"/>
        <v>0.2303856267719904</v>
      </c>
    </row>
    <row r="283" spans="1:5" ht="29.25" customHeight="1" x14ac:dyDescent="0.2">
      <c r="A283" s="512"/>
      <c r="B283" s="516" t="s">
        <v>822</v>
      </c>
      <c r="C283" s="575">
        <f t="shared" si="31"/>
        <v>0.27300604704498344</v>
      </c>
      <c r="D283" s="575">
        <f t="shared" si="31"/>
        <v>0.2560272273132847</v>
      </c>
      <c r="E283" s="576">
        <f t="shared" si="32"/>
        <v>-1.6978819731698735E-2</v>
      </c>
    </row>
    <row r="284" spans="1:5" x14ac:dyDescent="0.2">
      <c r="A284" s="512"/>
      <c r="B284" s="516" t="s">
        <v>823</v>
      </c>
      <c r="C284" s="575">
        <f t="shared" si="31"/>
        <v>0.31084405004826304</v>
      </c>
      <c r="D284" s="575">
        <f t="shared" si="31"/>
        <v>0.29622021658379116</v>
      </c>
      <c r="E284" s="576">
        <f t="shared" si="32"/>
        <v>-1.462383346447188E-2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824</v>
      </c>
      <c r="C286" s="520"/>
      <c r="D286" s="520"/>
      <c r="E286" s="520"/>
    </row>
    <row r="287" spans="1:5" x14ac:dyDescent="0.2">
      <c r="A287" s="512">
        <v>1</v>
      </c>
      <c r="B287" s="511" t="s">
        <v>629</v>
      </c>
      <c r="C287" s="547">
        <f t="shared" ref="C287:D295" si="33">IF(C25=0,0,+C58/C25)</f>
        <v>0.45262765551520706</v>
      </c>
      <c r="D287" s="547">
        <f t="shared" si="33"/>
        <v>0.44558634547436854</v>
      </c>
      <c r="E287" s="574">
        <f t="shared" ref="E287:E295" si="34">D287-C287</f>
        <v>-7.0413100408385221E-3</v>
      </c>
    </row>
    <row r="288" spans="1:5" x14ac:dyDescent="0.2">
      <c r="A288" s="512">
        <v>2</v>
      </c>
      <c r="B288" s="511" t="s">
        <v>608</v>
      </c>
      <c r="C288" s="547">
        <f t="shared" si="33"/>
        <v>0.2231548863045843</v>
      </c>
      <c r="D288" s="547">
        <f t="shared" si="33"/>
        <v>0.21830112711092875</v>
      </c>
      <c r="E288" s="574">
        <f t="shared" si="34"/>
        <v>-4.8537591936555491E-3</v>
      </c>
    </row>
    <row r="289" spans="1:5" x14ac:dyDescent="0.2">
      <c r="A289" s="512">
        <v>3</v>
      </c>
      <c r="B289" s="511" t="s">
        <v>754</v>
      </c>
      <c r="C289" s="547">
        <f t="shared" si="33"/>
        <v>0.25606771901353287</v>
      </c>
      <c r="D289" s="547">
        <f t="shared" si="33"/>
        <v>0.25784706891377462</v>
      </c>
      <c r="E289" s="574">
        <f t="shared" si="34"/>
        <v>1.7793499002417557E-3</v>
      </c>
    </row>
    <row r="290" spans="1:5" x14ac:dyDescent="0.2">
      <c r="A290" s="512">
        <v>4</v>
      </c>
      <c r="B290" s="511" t="s">
        <v>114</v>
      </c>
      <c r="C290" s="547">
        <f t="shared" si="33"/>
        <v>0.26911291093720147</v>
      </c>
      <c r="D290" s="547">
        <f t="shared" si="33"/>
        <v>0.25784706891377462</v>
      </c>
      <c r="E290" s="574">
        <f t="shared" si="34"/>
        <v>-1.1265842023426842E-2</v>
      </c>
    </row>
    <row r="291" spans="1:5" x14ac:dyDescent="0.2">
      <c r="A291" s="512">
        <v>5</v>
      </c>
      <c r="B291" s="511" t="s">
        <v>721</v>
      </c>
      <c r="C291" s="547">
        <f t="shared" si="33"/>
        <v>0.19477607100115593</v>
      </c>
      <c r="D291" s="547">
        <f t="shared" si="33"/>
        <v>0</v>
      </c>
      <c r="E291" s="574">
        <f t="shared" si="34"/>
        <v>-0.19477607100115593</v>
      </c>
    </row>
    <row r="292" spans="1:5" x14ac:dyDescent="0.2">
      <c r="A292" s="512">
        <v>6</v>
      </c>
      <c r="B292" s="511" t="s">
        <v>418</v>
      </c>
      <c r="C292" s="547">
        <f t="shared" si="33"/>
        <v>0.3943092281031006</v>
      </c>
      <c r="D292" s="547">
        <f t="shared" si="33"/>
        <v>0.21120235138375335</v>
      </c>
      <c r="E292" s="574">
        <f t="shared" si="34"/>
        <v>-0.18310687671934725</v>
      </c>
    </row>
    <row r="293" spans="1:5" x14ac:dyDescent="0.2">
      <c r="A293" s="512">
        <v>7</v>
      </c>
      <c r="B293" s="511" t="s">
        <v>736</v>
      </c>
      <c r="C293" s="547">
        <f t="shared" si="33"/>
        <v>0.32924122427659402</v>
      </c>
      <c r="D293" s="547">
        <f t="shared" si="33"/>
        <v>0.12960921144667834</v>
      </c>
      <c r="E293" s="574">
        <f t="shared" si="34"/>
        <v>-0.19963201282991569</v>
      </c>
    </row>
    <row r="294" spans="1:5" ht="29.25" customHeight="1" x14ac:dyDescent="0.2">
      <c r="A294" s="512"/>
      <c r="B294" s="516" t="s">
        <v>825</v>
      </c>
      <c r="C294" s="575">
        <f t="shared" si="33"/>
        <v>0.23886560787732861</v>
      </c>
      <c r="D294" s="575">
        <f t="shared" si="33"/>
        <v>0.23504315204271245</v>
      </c>
      <c r="E294" s="576">
        <f t="shared" si="34"/>
        <v>-3.8224558346161563E-3</v>
      </c>
    </row>
    <row r="295" spans="1:5" x14ac:dyDescent="0.2">
      <c r="A295" s="512"/>
      <c r="B295" s="516" t="s">
        <v>826</v>
      </c>
      <c r="C295" s="575">
        <f t="shared" si="33"/>
        <v>0.35551369200082467</v>
      </c>
      <c r="D295" s="575">
        <f t="shared" si="33"/>
        <v>0.34509491154092442</v>
      </c>
      <c r="E295" s="576">
        <f t="shared" si="34"/>
        <v>-1.0418780459900245E-2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827</v>
      </c>
      <c r="B297" s="501" t="s">
        <v>828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829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627</v>
      </c>
      <c r="C301" s="514">
        <f>+C48+C47+C50+C51+C52+C59+C58+C61+C62+C63</f>
        <v>1269880372</v>
      </c>
      <c r="D301" s="514">
        <f>+D48+D47+D50+D51+D52+D59+D58+D61+D62+D63</f>
        <v>1387477367</v>
      </c>
      <c r="E301" s="514">
        <f>D301-C301</f>
        <v>117596995</v>
      </c>
    </row>
    <row r="302" spans="1:5" ht="25.5" x14ac:dyDescent="0.2">
      <c r="A302" s="512">
        <v>2</v>
      </c>
      <c r="B302" s="511" t="s">
        <v>830</v>
      </c>
      <c r="C302" s="546">
        <f>C265</f>
        <v>11001260</v>
      </c>
      <c r="D302" s="546">
        <f>D265</f>
        <v>0</v>
      </c>
      <c r="E302" s="514">
        <f>D302-C302</f>
        <v>-11001260</v>
      </c>
    </row>
    <row r="303" spans="1:5" x14ac:dyDescent="0.2">
      <c r="A303" s="512"/>
      <c r="B303" s="516" t="s">
        <v>831</v>
      </c>
      <c r="C303" s="517">
        <f>+C301+C302</f>
        <v>1280881632</v>
      </c>
      <c r="D303" s="517">
        <f>+D301+D302</f>
        <v>1387477367</v>
      </c>
      <c r="E303" s="517">
        <f>D303-C303</f>
        <v>106595735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832</v>
      </c>
      <c r="C305" s="513">
        <v>37696368</v>
      </c>
      <c r="D305" s="578">
        <v>54579633</v>
      </c>
      <c r="E305" s="579">
        <f>D305-C305</f>
        <v>16883265</v>
      </c>
    </row>
    <row r="306" spans="1:5" x14ac:dyDescent="0.2">
      <c r="A306" s="512">
        <v>4</v>
      </c>
      <c r="B306" s="516" t="s">
        <v>833</v>
      </c>
      <c r="C306" s="580">
        <f>+C303+C305</f>
        <v>1318578000</v>
      </c>
      <c r="D306" s="580">
        <f>+D303+D305</f>
        <v>1442057000</v>
      </c>
      <c r="E306" s="580">
        <f>D306-C306</f>
        <v>123479000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834</v>
      </c>
      <c r="C308" s="513">
        <v>1318578000</v>
      </c>
      <c r="D308" s="513">
        <v>1442057000</v>
      </c>
      <c r="E308" s="514">
        <f>D308-C308</f>
        <v>123479000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835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836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837</v>
      </c>
      <c r="C314" s="514">
        <f>+C14+C15+C16+C19+C25+C26+C27+C30</f>
        <v>3902060165</v>
      </c>
      <c r="D314" s="514">
        <f>+D14+D15+D16+D19+D25+D26+D27+D30</f>
        <v>4443296447</v>
      </c>
      <c r="E314" s="514">
        <f>D314-C314</f>
        <v>541236282</v>
      </c>
    </row>
    <row r="315" spans="1:5" x14ac:dyDescent="0.2">
      <c r="A315" s="512">
        <v>2</v>
      </c>
      <c r="B315" s="583" t="s">
        <v>838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839</v>
      </c>
      <c r="C316" s="581">
        <f>C314+C315</f>
        <v>3902060165</v>
      </c>
      <c r="D316" s="581">
        <f>D314+D315</f>
        <v>4443296447</v>
      </c>
      <c r="E316" s="517">
        <f>D316-C316</f>
        <v>541236282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840</v>
      </c>
      <c r="C318" s="513">
        <v>3902060165</v>
      </c>
      <c r="D318" s="513">
        <v>4443296000</v>
      </c>
      <c r="E318" s="514">
        <f>D318-C318</f>
        <v>541235835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835</v>
      </c>
      <c r="C320" s="581">
        <f>C316-C318</f>
        <v>0</v>
      </c>
      <c r="D320" s="581">
        <f>D316-D318</f>
        <v>447</v>
      </c>
      <c r="E320" s="517">
        <f>D320-C320</f>
        <v>447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841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842</v>
      </c>
      <c r="C324" s="513">
        <f>+C193+C194</f>
        <v>89211535</v>
      </c>
      <c r="D324" s="513">
        <f>+D193+D194</f>
        <v>86906632</v>
      </c>
      <c r="E324" s="514">
        <f>D324-C324</f>
        <v>-2304903</v>
      </c>
    </row>
    <row r="325" spans="1:5" x14ac:dyDescent="0.2">
      <c r="A325" s="512">
        <v>2</v>
      </c>
      <c r="B325" s="511" t="s">
        <v>843</v>
      </c>
      <c r="C325" s="513">
        <v>834500</v>
      </c>
      <c r="D325" s="513">
        <v>782368</v>
      </c>
      <c r="E325" s="514">
        <f>D325-C325</f>
        <v>-52132</v>
      </c>
    </row>
    <row r="326" spans="1:5" x14ac:dyDescent="0.2">
      <c r="A326" s="512"/>
      <c r="B326" s="516" t="s">
        <v>844</v>
      </c>
      <c r="C326" s="581">
        <f>C324+C325</f>
        <v>90046035</v>
      </c>
      <c r="D326" s="581">
        <f>D324+D325</f>
        <v>87689000</v>
      </c>
      <c r="E326" s="517">
        <f>D326-C326</f>
        <v>-2357035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845</v>
      </c>
      <c r="C328" s="513">
        <v>90046035</v>
      </c>
      <c r="D328" s="513">
        <v>87689000</v>
      </c>
      <c r="E328" s="514">
        <f>D328-C328</f>
        <v>-2357035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FILING&amp;RYALE-NEW HAVEN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599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847</v>
      </c>
      <c r="B5" s="696"/>
      <c r="C5" s="697"/>
      <c r="D5" s="585"/>
    </row>
    <row r="6" spans="1:58" s="338" customFormat="1" ht="15.75" customHeight="1" x14ac:dyDescent="0.25">
      <c r="A6" s="695" t="s">
        <v>848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850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753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629</v>
      </c>
      <c r="C14" s="513">
        <v>1068171813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608</v>
      </c>
      <c r="C15" s="515">
        <v>1108821251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754</v>
      </c>
      <c r="C16" s="515">
        <v>787961706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787961706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721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19854188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736</v>
      </c>
      <c r="C20" s="515">
        <v>32517553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755</v>
      </c>
      <c r="C21" s="517">
        <f>SUM(C15+C16+C19)</f>
        <v>1916637145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695</v>
      </c>
      <c r="C22" s="517">
        <f>SUM(C14+C21)</f>
        <v>2984808958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756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629</v>
      </c>
      <c r="C25" s="513">
        <v>762357176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608</v>
      </c>
      <c r="C26" s="515">
        <v>393054480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754</v>
      </c>
      <c r="C27" s="515">
        <v>295984179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295984179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721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7091654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736</v>
      </c>
      <c r="C31" s="518">
        <v>61487497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757</v>
      </c>
      <c r="C32" s="517">
        <f>SUM(C26+C27+C30)</f>
        <v>696130313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701</v>
      </c>
      <c r="C33" s="517">
        <f>SUM(C25+C32)</f>
        <v>1458487489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626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851</v>
      </c>
      <c r="C36" s="514">
        <f>SUM(C14+C25)</f>
        <v>1830528989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852</v>
      </c>
      <c r="C37" s="518">
        <f>SUM(C21+C32)</f>
        <v>2612767458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626</v>
      </c>
      <c r="C38" s="517">
        <f>SUM(+C36+C37)</f>
        <v>4443296447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766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629</v>
      </c>
      <c r="C41" s="513">
        <v>393449462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608</v>
      </c>
      <c r="C42" s="515">
        <v>348345397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754</v>
      </c>
      <c r="C43" s="515">
        <v>137609515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137609515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721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4756382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736</v>
      </c>
      <c r="C47" s="515">
        <v>8949293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767</v>
      </c>
      <c r="C48" s="517">
        <f>SUM(C42+C43+C46)</f>
        <v>490711294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696</v>
      </c>
      <c r="C49" s="517">
        <f>SUM(C41+C48)</f>
        <v>884160756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768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629</v>
      </c>
      <c r="C52" s="513">
        <v>339695948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608</v>
      </c>
      <c r="C53" s="515">
        <v>85804236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754</v>
      </c>
      <c r="C54" s="515">
        <v>76318653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76318653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721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1497774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736</v>
      </c>
      <c r="C58" s="515">
        <v>7969346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769</v>
      </c>
      <c r="C59" s="517">
        <f>SUM(C53+C54+C57)</f>
        <v>163620663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702</v>
      </c>
      <c r="C60" s="517">
        <f>SUM(C52+C59)</f>
        <v>503316611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627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853</v>
      </c>
      <c r="C63" s="514">
        <f>SUM(C41+C52)</f>
        <v>733145410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854</v>
      </c>
      <c r="C64" s="518">
        <f>SUM(C48+C59)</f>
        <v>654331957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627</v>
      </c>
      <c r="C65" s="517">
        <f>SUM(+C63+C64)</f>
        <v>1387477367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629</v>
      </c>
      <c r="C70" s="530">
        <v>23108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608</v>
      </c>
      <c r="C71" s="530">
        <v>17747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754</v>
      </c>
      <c r="C72" s="530">
        <v>16249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16249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721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347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736</v>
      </c>
      <c r="C76" s="545">
        <v>939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784</v>
      </c>
      <c r="C77" s="532">
        <f>SUM(C71+C72+C75)</f>
        <v>34343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698</v>
      </c>
      <c r="C78" s="596">
        <f>SUM(C70+C77)</f>
        <v>57451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789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629</v>
      </c>
      <c r="C81" s="541">
        <v>1.3619000000000001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608</v>
      </c>
      <c r="C82" s="541">
        <v>1.7807999999999999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754</v>
      </c>
      <c r="C83" s="541">
        <f>((C73*C84)+(C74*C85))/(C73+C74)</f>
        <v>1.2388999999999999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1.2388999999999999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721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1.425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736</v>
      </c>
      <c r="C87" s="541">
        <v>1.5919000000000001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790</v>
      </c>
      <c r="C88" s="543">
        <f>((C71*C82)+(C73*C84)+(C74*C85)+(C75*C86))/(C71+C73+C74+C75)</f>
        <v>1.5208111900532859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699</v>
      </c>
      <c r="C89" s="543">
        <f>((C70*C81)+(C71*C82)+(C73*C84)+(C74*C85)+(C75*C86))/(C70+C71+C73+C74+C75)</f>
        <v>1.4568937686028096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791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792</v>
      </c>
      <c r="C92" s="513">
        <v>1736523939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793</v>
      </c>
      <c r="C93" s="546">
        <v>770806705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641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725</v>
      </c>
      <c r="C95" s="513">
        <f>+C92-C93</f>
        <v>965717234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643</v>
      </c>
      <c r="C96" s="597">
        <f>(+C92-C93)/C92</f>
        <v>0.55612088742993138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740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726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857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795</v>
      </c>
      <c r="C103" s="513">
        <v>31059911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796</v>
      </c>
      <c r="C104" s="513">
        <v>55846721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797</v>
      </c>
      <c r="C105" s="578">
        <f>+C103+C104</f>
        <v>86906632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798</v>
      </c>
      <c r="C107" s="513">
        <v>9434287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683</v>
      </c>
      <c r="C108" s="513">
        <v>1435807000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828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829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627</v>
      </c>
      <c r="C114" s="514">
        <f>+C65</f>
        <v>1387477367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830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831</v>
      </c>
      <c r="C116" s="517">
        <f>+C114+C115</f>
        <v>1387477367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832</v>
      </c>
      <c r="C118" s="578">
        <v>54579633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833</v>
      </c>
      <c r="C119" s="580">
        <f>+C116+C118</f>
        <v>1442057000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834</v>
      </c>
      <c r="C121" s="513">
        <v>1442057000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835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837</v>
      </c>
      <c r="C127" s="514">
        <f>+C38</f>
        <v>4443296447</v>
      </c>
      <c r="D127" s="588"/>
      <c r="AR127" s="507"/>
    </row>
    <row r="128" spans="1:58" s="506" customFormat="1" x14ac:dyDescent="0.2">
      <c r="A128" s="512">
        <v>2</v>
      </c>
      <c r="B128" s="583" t="s">
        <v>838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839</v>
      </c>
      <c r="C129" s="581">
        <f>C127+C128</f>
        <v>4443296447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840</v>
      </c>
      <c r="C131" s="513">
        <v>4443296000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835</v>
      </c>
      <c r="C133" s="581">
        <f>C129-C131</f>
        <v>447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841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842</v>
      </c>
      <c r="C137" s="513">
        <f>C105</f>
        <v>86906632</v>
      </c>
      <c r="D137" s="588"/>
      <c r="AR137" s="507"/>
    </row>
    <row r="138" spans="1:44" s="506" customFormat="1" x14ac:dyDescent="0.2">
      <c r="A138" s="512">
        <v>2</v>
      </c>
      <c r="B138" s="511" t="s">
        <v>858</v>
      </c>
      <c r="C138" s="513">
        <v>782368</v>
      </c>
      <c r="D138" s="588"/>
      <c r="AR138" s="507"/>
    </row>
    <row r="139" spans="1:44" s="506" customFormat="1" x14ac:dyDescent="0.2">
      <c r="A139" s="512"/>
      <c r="B139" s="516" t="s">
        <v>844</v>
      </c>
      <c r="C139" s="581">
        <f>C137+C138</f>
        <v>87689000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859</v>
      </c>
      <c r="C141" s="513">
        <v>87689000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846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FILING&amp;RYALE-NEW HAVEN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600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860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603</v>
      </c>
      <c r="D8" s="35" t="s">
        <v>603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605</v>
      </c>
      <c r="D9" s="607" t="s">
        <v>606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861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862</v>
      </c>
      <c r="C12" s="49">
        <v>4828</v>
      </c>
      <c r="D12" s="49">
        <v>4578</v>
      </c>
      <c r="E12" s="49">
        <f>+D12-C12</f>
        <v>-250</v>
      </c>
      <c r="F12" s="70">
        <f>IF(C12=0,0,+E12/C12)</f>
        <v>-5.1781275890637947E-2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863</v>
      </c>
      <c r="C13" s="49">
        <v>3346</v>
      </c>
      <c r="D13" s="49">
        <v>3519</v>
      </c>
      <c r="E13" s="49">
        <f>+D13-C13</f>
        <v>173</v>
      </c>
      <c r="F13" s="70">
        <f>IF(C13=0,0,+E13/C13)</f>
        <v>5.1703526598924091E-2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864</v>
      </c>
      <c r="C15" s="51">
        <v>28159845</v>
      </c>
      <c r="D15" s="51">
        <v>31059911</v>
      </c>
      <c r="E15" s="51">
        <f>+D15-C15</f>
        <v>2900066</v>
      </c>
      <c r="F15" s="70">
        <f>IF(C15=0,0,+E15/C15)</f>
        <v>0.10298586515657313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865</v>
      </c>
      <c r="C16" s="27">
        <f>IF(C13=0,0,+C15/+C13)</f>
        <v>8415.9728033472802</v>
      </c>
      <c r="D16" s="27">
        <f>IF(D13=0,0,+D15/+D13)</f>
        <v>8826.345836885479</v>
      </c>
      <c r="E16" s="27">
        <f>+D16-C16</f>
        <v>410.3730335381988</v>
      </c>
      <c r="F16" s="28">
        <f>IF(C16=0,0,+E16/C16)</f>
        <v>4.8761211939157091E-2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866</v>
      </c>
      <c r="C18" s="210">
        <v>0.33155200000000001</v>
      </c>
      <c r="D18" s="210">
        <v>0.33166000000000001</v>
      </c>
      <c r="E18" s="210">
        <f>+D18-C18</f>
        <v>1.0799999999999699E-4</v>
      </c>
      <c r="F18" s="70">
        <f>IF(C18=0,0,+E18/C18)</f>
        <v>3.2574075861402428E-4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867</v>
      </c>
      <c r="C19" s="27">
        <f>+C15*C18</f>
        <v>9336452.929440001</v>
      </c>
      <c r="D19" s="27">
        <f>+D15*D18</f>
        <v>10301330.08226</v>
      </c>
      <c r="E19" s="27">
        <f>+D19-C19</f>
        <v>964877.15281999856</v>
      </c>
      <c r="F19" s="28">
        <f>IF(C19=0,0,+E19/C19)</f>
        <v>0.10334515260902961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868</v>
      </c>
      <c r="C20" s="27">
        <f>IF(C13=0,0,+C19/C13)</f>
        <v>2790.3326148953979</v>
      </c>
      <c r="D20" s="27">
        <f>IF(D13=0,0,+D19/D13)</f>
        <v>2927.3458602614378</v>
      </c>
      <c r="E20" s="27">
        <f>+D20-C20</f>
        <v>137.01324536603988</v>
      </c>
      <c r="F20" s="28">
        <f>IF(C20=0,0,+E20/C20)</f>
        <v>4.9102836211938894E-2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869</v>
      </c>
      <c r="C22" s="51">
        <v>13669143</v>
      </c>
      <c r="D22" s="51">
        <v>12604976</v>
      </c>
      <c r="E22" s="51">
        <f>+D22-C22</f>
        <v>-1064167</v>
      </c>
      <c r="F22" s="70">
        <f>IF(C22=0,0,+E22/C22)</f>
        <v>-7.7851771687515448E-2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870</v>
      </c>
      <c r="C23" s="49">
        <v>11135924</v>
      </c>
      <c r="D23" s="49">
        <v>14316168</v>
      </c>
      <c r="E23" s="49">
        <f>+D23-C23</f>
        <v>3180244</v>
      </c>
      <c r="F23" s="70">
        <f>IF(C23=0,0,+E23/C23)</f>
        <v>0.2855842047772596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871</v>
      </c>
      <c r="C24" s="49">
        <v>3354778</v>
      </c>
      <c r="D24" s="49">
        <v>4138767</v>
      </c>
      <c r="E24" s="49">
        <f>+D24-C24</f>
        <v>783989</v>
      </c>
      <c r="F24" s="70">
        <f>IF(C24=0,0,+E24/C24)</f>
        <v>0.23369325779529973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864</v>
      </c>
      <c r="C25" s="27">
        <f>+C22+C23+C24</f>
        <v>28159845</v>
      </c>
      <c r="D25" s="27">
        <f>+D22+D23+D24</f>
        <v>31059911</v>
      </c>
      <c r="E25" s="27">
        <f>+E22+E23+E24</f>
        <v>2900066</v>
      </c>
      <c r="F25" s="28">
        <f>IF(C25=0,0,+E25/C25)</f>
        <v>0.10298586515657313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872</v>
      </c>
      <c r="C27" s="49">
        <v>9832</v>
      </c>
      <c r="D27" s="49">
        <v>10614</v>
      </c>
      <c r="E27" s="49">
        <f>+D27-C27</f>
        <v>782</v>
      </c>
      <c r="F27" s="70">
        <f>IF(C27=0,0,+E27/C27)</f>
        <v>7.9536208299430436E-2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873</v>
      </c>
      <c r="C28" s="49">
        <v>1356</v>
      </c>
      <c r="D28" s="49">
        <v>1569</v>
      </c>
      <c r="E28" s="49">
        <f>+D28-C28</f>
        <v>213</v>
      </c>
      <c r="F28" s="70">
        <f>IF(C28=0,0,+E28/C28)</f>
        <v>0.15707964601769911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874</v>
      </c>
      <c r="C29" s="49">
        <v>3390</v>
      </c>
      <c r="D29" s="49">
        <v>3722</v>
      </c>
      <c r="E29" s="49">
        <f>+D29-C29</f>
        <v>332</v>
      </c>
      <c r="F29" s="70">
        <f>IF(C29=0,0,+E29/C29)</f>
        <v>9.7935103244837757E-2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875</v>
      </c>
      <c r="C30" s="49">
        <v>18390</v>
      </c>
      <c r="D30" s="49">
        <v>19121</v>
      </c>
      <c r="E30" s="49">
        <f>+D30-C30</f>
        <v>731</v>
      </c>
      <c r="F30" s="70">
        <f>IF(C30=0,0,+E30/C30)</f>
        <v>3.9749864056552474E-2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877</v>
      </c>
      <c r="C33" s="51">
        <v>29671121</v>
      </c>
      <c r="D33" s="51">
        <v>27141506</v>
      </c>
      <c r="E33" s="51">
        <f>+D33-C33</f>
        <v>-2529615</v>
      </c>
      <c r="F33" s="70">
        <f>IF(C33=0,0,+E33/C33)</f>
        <v>-8.5255120627225373E-2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878</v>
      </c>
      <c r="C34" s="49">
        <v>25934761</v>
      </c>
      <c r="D34" s="49">
        <v>23723690</v>
      </c>
      <c r="E34" s="49">
        <f>+D34-C34</f>
        <v>-2211071</v>
      </c>
      <c r="F34" s="70">
        <f>IF(C34=0,0,+E34/C34)</f>
        <v>-8.5255113783389014E-2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879</v>
      </c>
      <c r="C35" s="49">
        <v>5445808</v>
      </c>
      <c r="D35" s="49">
        <v>4981525</v>
      </c>
      <c r="E35" s="49">
        <f>+D35-C35</f>
        <v>-464283</v>
      </c>
      <c r="F35" s="70">
        <f>IF(C35=0,0,+E35/C35)</f>
        <v>-8.5255117330614666E-2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880</v>
      </c>
      <c r="C36" s="27">
        <f>+C33+C34+C35</f>
        <v>61051690</v>
      </c>
      <c r="D36" s="27">
        <f>+D33+D34+D35</f>
        <v>55846721</v>
      </c>
      <c r="E36" s="27">
        <f>+E33+E34+E35</f>
        <v>-5204969</v>
      </c>
      <c r="F36" s="28">
        <f>IF(C36=0,0,+E36/C36)</f>
        <v>-8.5255117425905816E-2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881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882</v>
      </c>
      <c r="C39" s="51">
        <f>+C25</f>
        <v>28159845</v>
      </c>
      <c r="D39" s="51">
        <f>+D25</f>
        <v>31059911</v>
      </c>
      <c r="E39" s="51">
        <f>+D39-C39</f>
        <v>2900066</v>
      </c>
      <c r="F39" s="70">
        <f>IF(C39=0,0,+E39/C39)</f>
        <v>0.10298586515657313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883</v>
      </c>
      <c r="C40" s="49">
        <f>+C36</f>
        <v>61051690</v>
      </c>
      <c r="D40" s="49">
        <f>+D36</f>
        <v>55846721</v>
      </c>
      <c r="E40" s="49">
        <f>+D40-C40</f>
        <v>-5204969</v>
      </c>
      <c r="F40" s="70">
        <f>IF(C40=0,0,+E40/C40)</f>
        <v>-8.5255117425905816E-2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884</v>
      </c>
      <c r="C41" s="27">
        <f>+C39+C40</f>
        <v>89211535</v>
      </c>
      <c r="D41" s="27">
        <f>+D39+D40</f>
        <v>86906632</v>
      </c>
      <c r="E41" s="27">
        <f>+E39+E40</f>
        <v>-2304903</v>
      </c>
      <c r="F41" s="28">
        <f>IF(C41=0,0,+E41/C41)</f>
        <v>-2.583637867009014E-2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885</v>
      </c>
      <c r="C43" s="51">
        <f t="shared" ref="C43:D45" si="0">+C22+C33</f>
        <v>43340264</v>
      </c>
      <c r="D43" s="51">
        <f t="shared" si="0"/>
        <v>39746482</v>
      </c>
      <c r="E43" s="51">
        <f>+D43-C43</f>
        <v>-3593782</v>
      </c>
      <c r="F43" s="70">
        <f>IF(C43=0,0,+E43/C43)</f>
        <v>-8.2920168645027173E-2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886</v>
      </c>
      <c r="C44" s="49">
        <f t="shared" si="0"/>
        <v>37070685</v>
      </c>
      <c r="D44" s="49">
        <f t="shared" si="0"/>
        <v>38039858</v>
      </c>
      <c r="E44" s="49">
        <f>+D44-C44</f>
        <v>969173</v>
      </c>
      <c r="F44" s="70">
        <f>IF(C44=0,0,+E44/C44)</f>
        <v>2.61439193799629E-2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887</v>
      </c>
      <c r="C45" s="49">
        <f t="shared" si="0"/>
        <v>8800586</v>
      </c>
      <c r="D45" s="49">
        <f t="shared" si="0"/>
        <v>9120292</v>
      </c>
      <c r="E45" s="49">
        <f>+D45-C45</f>
        <v>319706</v>
      </c>
      <c r="F45" s="70">
        <f>IF(C45=0,0,+E45/C45)</f>
        <v>3.6327808170955891E-2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884</v>
      </c>
      <c r="C46" s="27">
        <f>+C43+C44+C45</f>
        <v>89211535</v>
      </c>
      <c r="D46" s="27">
        <f>+D43+D44+D45</f>
        <v>86906632</v>
      </c>
      <c r="E46" s="27">
        <f>+E43+E44+E45</f>
        <v>-2304903</v>
      </c>
      <c r="F46" s="28">
        <f>IF(C46=0,0,+E46/C46)</f>
        <v>-2.583637867009014E-2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888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FILING&amp;RYALE-NEW HAVEN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600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889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890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605</v>
      </c>
      <c r="D9" s="35" t="s">
        <v>606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891</v>
      </c>
      <c r="D10" s="35" t="s">
        <v>891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892</v>
      </c>
      <c r="D11" s="605" t="s">
        <v>892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1566246297</v>
      </c>
      <c r="D15" s="51">
        <v>1736523939</v>
      </c>
      <c r="E15" s="51">
        <f>+D15-C15</f>
        <v>170277642</v>
      </c>
      <c r="F15" s="70">
        <f>+E15/C15</f>
        <v>0.10871702766426397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894</v>
      </c>
      <c r="C17" s="51">
        <v>851250835</v>
      </c>
      <c r="D17" s="51">
        <v>965717234</v>
      </c>
      <c r="E17" s="51">
        <f>+D17-C17</f>
        <v>114466399</v>
      </c>
      <c r="F17" s="70">
        <f>+E17/C17</f>
        <v>0.13446847191638878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895</v>
      </c>
      <c r="C19" s="27">
        <f>+C15-C17</f>
        <v>714995462</v>
      </c>
      <c r="D19" s="27">
        <f>+D15-D17</f>
        <v>770806705</v>
      </c>
      <c r="E19" s="27">
        <f>+D19-C19</f>
        <v>55811243</v>
      </c>
      <c r="F19" s="28">
        <f>+E19/C19</f>
        <v>7.8058177941274828E-2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896</v>
      </c>
      <c r="C21" s="628">
        <f>+C17/C15</f>
        <v>0.54349742861674588</v>
      </c>
      <c r="D21" s="628">
        <f>+D17/D15</f>
        <v>0.55612088742993138</v>
      </c>
      <c r="E21" s="628">
        <f>+D21-C21</f>
        <v>1.2623458813185495E-2</v>
      </c>
      <c r="F21" s="28">
        <f>+E21/C21</f>
        <v>2.3226345054315038E-2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897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FILING&amp;R&amp;12YALE-NEW HAVEN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898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899</v>
      </c>
      <c r="B6" s="632" t="s">
        <v>900</v>
      </c>
      <c r="C6" s="632" t="s">
        <v>901</v>
      </c>
      <c r="D6" s="632" t="s">
        <v>902</v>
      </c>
      <c r="E6" s="632" t="s">
        <v>903</v>
      </c>
    </row>
    <row r="7" spans="1:6" ht="37.5" customHeight="1" x14ac:dyDescent="0.25">
      <c r="A7" s="633" t="s">
        <v>8</v>
      </c>
      <c r="B7" s="634" t="s">
        <v>904</v>
      </c>
      <c r="C7" s="631" t="s">
        <v>905</v>
      </c>
      <c r="D7" s="631" t="s">
        <v>906</v>
      </c>
      <c r="E7" s="631" t="s">
        <v>907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908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909</v>
      </c>
      <c r="C10" s="641">
        <v>2358191436</v>
      </c>
      <c r="D10" s="641">
        <v>2627185680</v>
      </c>
      <c r="E10" s="641">
        <v>2984808958</v>
      </c>
    </row>
    <row r="11" spans="1:6" ht="26.1" customHeight="1" x14ac:dyDescent="0.25">
      <c r="A11" s="639">
        <v>2</v>
      </c>
      <c r="B11" s="640" t="s">
        <v>910</v>
      </c>
      <c r="C11" s="641">
        <v>1158356254</v>
      </c>
      <c r="D11" s="641">
        <v>1274874485</v>
      </c>
      <c r="E11" s="641">
        <v>1458487489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3516547690</v>
      </c>
      <c r="D12" s="641">
        <f>+D11+D10</f>
        <v>3902060165</v>
      </c>
      <c r="E12" s="641">
        <f>+E11+E10</f>
        <v>4443296447</v>
      </c>
    </row>
    <row r="13" spans="1:6" ht="26.1" customHeight="1" x14ac:dyDescent="0.25">
      <c r="A13" s="639">
        <v>4</v>
      </c>
      <c r="B13" s="640" t="s">
        <v>484</v>
      </c>
      <c r="C13" s="641">
        <v>1196644000</v>
      </c>
      <c r="D13" s="641">
        <v>1318578000</v>
      </c>
      <c r="E13" s="641">
        <v>1442057000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911</v>
      </c>
      <c r="C16" s="641">
        <v>1169696000</v>
      </c>
      <c r="D16" s="641">
        <v>1297936000</v>
      </c>
      <c r="E16" s="641">
        <v>1435807000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912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279599</v>
      </c>
      <c r="D19" s="644">
        <v>284705</v>
      </c>
      <c r="E19" s="644">
        <v>300989</v>
      </c>
    </row>
    <row r="20" spans="1:5" ht="26.1" customHeight="1" x14ac:dyDescent="0.25">
      <c r="A20" s="639">
        <v>2</v>
      </c>
      <c r="B20" s="640" t="s">
        <v>373</v>
      </c>
      <c r="C20" s="645">
        <v>54408</v>
      </c>
      <c r="D20" s="645">
        <v>56602</v>
      </c>
      <c r="E20" s="645">
        <v>57451</v>
      </c>
    </row>
    <row r="21" spans="1:5" ht="26.1" customHeight="1" x14ac:dyDescent="0.25">
      <c r="A21" s="639">
        <v>3</v>
      </c>
      <c r="B21" s="640" t="s">
        <v>913</v>
      </c>
      <c r="C21" s="646">
        <f>IF(C20=0,0,+C19/C20)</f>
        <v>5.1389317747390093</v>
      </c>
      <c r="D21" s="646">
        <f>IF(D20=0,0,+D19/D20)</f>
        <v>5.0299459383060672</v>
      </c>
      <c r="E21" s="646">
        <f>IF(E20=0,0,+E19/E20)</f>
        <v>5.2390558911072045</v>
      </c>
    </row>
    <row r="22" spans="1:5" ht="26.1" customHeight="1" x14ac:dyDescent="0.25">
      <c r="A22" s="639">
        <v>4</v>
      </c>
      <c r="B22" s="640" t="s">
        <v>914</v>
      </c>
      <c r="C22" s="645">
        <f>IF(C10=0,0,C19*(C12/C10))</f>
        <v>416939.52516597556</v>
      </c>
      <c r="D22" s="645">
        <f>IF(D10=0,0,D19*(D12/D10))</f>
        <v>422861.6377340809</v>
      </c>
      <c r="E22" s="645">
        <f>IF(E10=0,0,E19*(E12/E10))</f>
        <v>448063.30090291926</v>
      </c>
    </row>
    <row r="23" spans="1:5" ht="26.1" customHeight="1" x14ac:dyDescent="0.25">
      <c r="A23" s="639">
        <v>0</v>
      </c>
      <c r="B23" s="640" t="s">
        <v>915</v>
      </c>
      <c r="C23" s="645">
        <f>IF(C10=0,0,C20*(C12/C10))</f>
        <v>81133.500782300354</v>
      </c>
      <c r="D23" s="645">
        <f>IF(D10=0,0,D20*(D12/D10))</f>
        <v>84068.823585902763</v>
      </c>
      <c r="E23" s="645">
        <f>IF(E10=0,0,E20*(E12/E10))</f>
        <v>85523.672626486732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916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1.3653677896632848</v>
      </c>
      <c r="D26" s="647">
        <v>1.3476329723331331</v>
      </c>
      <c r="E26" s="647">
        <v>1.4568937686028096</v>
      </c>
    </row>
    <row r="27" spans="1:5" ht="26.1" customHeight="1" x14ac:dyDescent="0.25">
      <c r="A27" s="639">
        <v>2</v>
      </c>
      <c r="B27" s="640" t="s">
        <v>917</v>
      </c>
      <c r="C27" s="645">
        <f>C19*C26</f>
        <v>381755.46862206474</v>
      </c>
      <c r="D27" s="645">
        <f>D19*D26</f>
        <v>383677.84538810467</v>
      </c>
      <c r="E27" s="645">
        <f>E19*E26</f>
        <v>438508.99851799104</v>
      </c>
    </row>
    <row r="28" spans="1:5" ht="26.1" customHeight="1" x14ac:dyDescent="0.25">
      <c r="A28" s="639">
        <v>3</v>
      </c>
      <c r="B28" s="640" t="s">
        <v>918</v>
      </c>
      <c r="C28" s="645">
        <f>C20*C26</f>
        <v>74286.930699999997</v>
      </c>
      <c r="D28" s="645">
        <f>D20*D26</f>
        <v>76278.7215</v>
      </c>
      <c r="E28" s="645">
        <f>E20*E26</f>
        <v>83700.003900000011</v>
      </c>
    </row>
    <row r="29" spans="1:5" ht="26.1" customHeight="1" x14ac:dyDescent="0.25">
      <c r="A29" s="639">
        <v>4</v>
      </c>
      <c r="B29" s="640" t="s">
        <v>919</v>
      </c>
      <c r="C29" s="645">
        <f>C22*C26</f>
        <v>569275.79789912759</v>
      </c>
      <c r="D29" s="645">
        <f>D22*D26</f>
        <v>569862.28574523597</v>
      </c>
      <c r="E29" s="645">
        <f>E22*E26</f>
        <v>652780.63102506869</v>
      </c>
    </row>
    <row r="30" spans="1:5" ht="26.1" customHeight="1" x14ac:dyDescent="0.25">
      <c r="A30" s="639">
        <v>5</v>
      </c>
      <c r="B30" s="640" t="s">
        <v>920</v>
      </c>
      <c r="C30" s="645">
        <f>C23*C26</f>
        <v>110777.06863077382</v>
      </c>
      <c r="D30" s="645">
        <f>D23*D26</f>
        <v>113293.91860961994</v>
      </c>
      <c r="E30" s="645">
        <f>E23*E26</f>
        <v>124598.9057175552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921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922</v>
      </c>
      <c r="C33" s="641">
        <f>IF(C19=0,0,C12/C19)</f>
        <v>12577.11111270069</v>
      </c>
      <c r="D33" s="641">
        <f>IF(D19=0,0,D12/D19)</f>
        <v>13705.62570028626</v>
      </c>
      <c r="E33" s="641">
        <f>IF(E19=0,0,E12/E19)</f>
        <v>14762.321702786481</v>
      </c>
    </row>
    <row r="34" spans="1:5" ht="26.1" customHeight="1" x14ac:dyDescent="0.25">
      <c r="A34" s="639">
        <v>2</v>
      </c>
      <c r="B34" s="640" t="s">
        <v>923</v>
      </c>
      <c r="C34" s="641">
        <f>IF(C20=0,0,C12/C20)</f>
        <v>64632.915931480667</v>
      </c>
      <c r="D34" s="641">
        <f>IF(D20=0,0,D12/D20)</f>
        <v>68938.556323098121</v>
      </c>
      <c r="E34" s="641">
        <f>IF(E20=0,0,E12/E20)</f>
        <v>77340.628483403241</v>
      </c>
    </row>
    <row r="35" spans="1:5" ht="26.1" customHeight="1" x14ac:dyDescent="0.25">
      <c r="A35" s="639">
        <v>3</v>
      </c>
      <c r="B35" s="640" t="s">
        <v>924</v>
      </c>
      <c r="C35" s="641">
        <f>IF(C22=0,0,C12/C22)</f>
        <v>8434.1912381660877</v>
      </c>
      <c r="D35" s="641">
        <f>IF(D22=0,0,D12/D22)</f>
        <v>9227.7468959098023</v>
      </c>
      <c r="E35" s="641">
        <f>IF(E22=0,0,E12/E22)</f>
        <v>9916.6712338324669</v>
      </c>
    </row>
    <row r="36" spans="1:5" ht="26.1" customHeight="1" x14ac:dyDescent="0.25">
      <c r="A36" s="639">
        <v>4</v>
      </c>
      <c r="B36" s="640" t="s">
        <v>925</v>
      </c>
      <c r="C36" s="641">
        <f>IF(C23=0,0,C12/C23)</f>
        <v>43342.733348037051</v>
      </c>
      <c r="D36" s="641">
        <f>IF(D23=0,0,D12/D23)</f>
        <v>46415.068018797923</v>
      </c>
      <c r="E36" s="641">
        <f>IF(E23=0,0,E12/E23)</f>
        <v>51953.994847783331</v>
      </c>
    </row>
    <row r="37" spans="1:5" ht="26.1" customHeight="1" x14ac:dyDescent="0.25">
      <c r="A37" s="639">
        <v>5</v>
      </c>
      <c r="B37" s="640" t="s">
        <v>926</v>
      </c>
      <c r="C37" s="641">
        <f>IF(C29=0,0,C12/C29)</f>
        <v>6177.2302686634011</v>
      </c>
      <c r="D37" s="641">
        <f>IF(D29=0,0,D12/D29)</f>
        <v>6847.3739403496247</v>
      </c>
      <c r="E37" s="641">
        <f>IF(E29=0,0,E12/E29)</f>
        <v>6806.7222521946496</v>
      </c>
    </row>
    <row r="38" spans="1:5" ht="26.1" customHeight="1" x14ac:dyDescent="0.25">
      <c r="A38" s="639">
        <v>6</v>
      </c>
      <c r="B38" s="640" t="s">
        <v>927</v>
      </c>
      <c r="C38" s="641">
        <f>IF(C30=0,0,C12/C30)</f>
        <v>31744.36490751394</v>
      </c>
      <c r="D38" s="641">
        <f>IF(D30=0,0,D12/D30)</f>
        <v>34441.9207393244</v>
      </c>
      <c r="E38" s="641">
        <f>IF(E30=0,0,E12/E30)</f>
        <v>35660.798314490872</v>
      </c>
    </row>
    <row r="39" spans="1:5" ht="26.1" customHeight="1" x14ac:dyDescent="0.25">
      <c r="A39" s="639">
        <v>7</v>
      </c>
      <c r="B39" s="640" t="s">
        <v>928</v>
      </c>
      <c r="C39" s="641">
        <f>IF(C22=0,0,C10/C22)</f>
        <v>5655.9555850725583</v>
      </c>
      <c r="D39" s="641">
        <f>IF(D22=0,0,D10/D22)</f>
        <v>6212.8730666557212</v>
      </c>
      <c r="E39" s="641">
        <f>IF(E22=0,0,E10/E22)</f>
        <v>6661.5787367212006</v>
      </c>
    </row>
    <row r="40" spans="1:5" ht="26.1" customHeight="1" x14ac:dyDescent="0.25">
      <c r="A40" s="639">
        <v>8</v>
      </c>
      <c r="B40" s="640" t="s">
        <v>929</v>
      </c>
      <c r="C40" s="641">
        <f>IF(C23=0,0,C10/C23)</f>
        <v>29065.569872641936</v>
      </c>
      <c r="D40" s="641">
        <f>IF(D23=0,0,D10/D23)</f>
        <v>31250.415646836107</v>
      </c>
      <c r="E40" s="641">
        <f>IF(E23=0,0,E10/E23)</f>
        <v>34900.383324693692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930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931</v>
      </c>
      <c r="C43" s="641">
        <f>IF(C19=0,0,C13/C19)</f>
        <v>4279.857939406078</v>
      </c>
      <c r="D43" s="641">
        <f>IF(D19=0,0,D13/D19)</f>
        <v>4631.3833617252949</v>
      </c>
      <c r="E43" s="641">
        <f>IF(E19=0,0,E13/E19)</f>
        <v>4791.0621318387048</v>
      </c>
    </row>
    <row r="44" spans="1:5" ht="26.1" customHeight="1" x14ac:dyDescent="0.25">
      <c r="A44" s="639">
        <v>2</v>
      </c>
      <c r="B44" s="640" t="s">
        <v>932</v>
      </c>
      <c r="C44" s="641">
        <f>IF(C20=0,0,C13/C20)</f>
        <v>21993.897956182915</v>
      </c>
      <c r="D44" s="641">
        <f>IF(D20=0,0,D13/D20)</f>
        <v>23295.607929048445</v>
      </c>
      <c r="E44" s="641">
        <f>IF(E20=0,0,E13/E20)</f>
        <v>25100.642286470211</v>
      </c>
    </row>
    <row r="45" spans="1:5" ht="26.1" customHeight="1" x14ac:dyDescent="0.25">
      <c r="A45" s="639">
        <v>3</v>
      </c>
      <c r="B45" s="640" t="s">
        <v>933</v>
      </c>
      <c r="C45" s="641">
        <f>IF(C22=0,0,C13/C22)</f>
        <v>2870.0661073656647</v>
      </c>
      <c r="D45" s="641">
        <f>IF(D22=0,0,D13/D22)</f>
        <v>3118.2256377420449</v>
      </c>
      <c r="E45" s="641">
        <f>IF(E22=0,0,E13/E22)</f>
        <v>3218.4224798014575</v>
      </c>
    </row>
    <row r="46" spans="1:5" ht="26.1" customHeight="1" x14ac:dyDescent="0.25">
      <c r="A46" s="639">
        <v>4</v>
      </c>
      <c r="B46" s="640" t="s">
        <v>934</v>
      </c>
      <c r="C46" s="641">
        <f>IF(C23=0,0,C13/C23)</f>
        <v>14749.073914742914</v>
      </c>
      <c r="D46" s="641">
        <f>IF(D23=0,0,D13/D23)</f>
        <v>15684.506381282445</v>
      </c>
      <c r="E46" s="641">
        <f>IF(E23=0,0,E13/E23)</f>
        <v>16861.495252875684</v>
      </c>
    </row>
    <row r="47" spans="1:5" ht="26.1" customHeight="1" x14ac:dyDescent="0.25">
      <c r="A47" s="639">
        <v>5</v>
      </c>
      <c r="B47" s="640" t="s">
        <v>935</v>
      </c>
      <c r="C47" s="641">
        <f>IF(C29=0,0,C13/C29)</f>
        <v>2102.0461512963152</v>
      </c>
      <c r="D47" s="641">
        <f>IF(D29=0,0,D13/D29)</f>
        <v>2313.8537730666503</v>
      </c>
      <c r="E47" s="641">
        <f>IF(E29=0,0,E13/E29)</f>
        <v>2209.0989399233886</v>
      </c>
    </row>
    <row r="48" spans="1:5" ht="26.1" customHeight="1" x14ac:dyDescent="0.25">
      <c r="A48" s="639">
        <v>6</v>
      </c>
      <c r="B48" s="640" t="s">
        <v>936</v>
      </c>
      <c r="C48" s="641">
        <f>IF(C30=0,0,C13/C30)</f>
        <v>10802.271758864477</v>
      </c>
      <c r="D48" s="641">
        <f>IF(D30=0,0,D13/D30)</f>
        <v>11638.559387670768</v>
      </c>
      <c r="E48" s="641">
        <f>IF(E30=0,0,E13/E30)</f>
        <v>11573.59281524431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937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938</v>
      </c>
      <c r="C51" s="641">
        <f>IF(C19=0,0,C16/C19)</f>
        <v>4183.4770510624148</v>
      </c>
      <c r="D51" s="641">
        <f>IF(D19=0,0,D16/D19)</f>
        <v>4558.8802444635676</v>
      </c>
      <c r="E51" s="641">
        <f>IF(E19=0,0,E16/E19)</f>
        <v>4770.2972533879974</v>
      </c>
    </row>
    <row r="52" spans="1:6" ht="26.1" customHeight="1" x14ac:dyDescent="0.25">
      <c r="A52" s="639">
        <v>2</v>
      </c>
      <c r="B52" s="640" t="s">
        <v>939</v>
      </c>
      <c r="C52" s="641">
        <f>IF(C20=0,0,C16/C20)</f>
        <v>21498.603146596088</v>
      </c>
      <c r="D52" s="641">
        <f>IF(D20=0,0,D16/D20)</f>
        <v>22930.921168863289</v>
      </c>
      <c r="E52" s="641">
        <f>IF(E20=0,0,E16/E20)</f>
        <v>24991.853927694905</v>
      </c>
    </row>
    <row r="53" spans="1:6" ht="26.1" customHeight="1" x14ac:dyDescent="0.25">
      <c r="A53" s="639">
        <v>3</v>
      </c>
      <c r="B53" s="640" t="s">
        <v>940</v>
      </c>
      <c r="C53" s="641">
        <f>IF(C22=0,0,C16/C22)</f>
        <v>2805.4332328755991</v>
      </c>
      <c r="D53" s="641">
        <f>IF(D22=0,0,D16/D22)</f>
        <v>3069.4106160942765</v>
      </c>
      <c r="E53" s="641">
        <f>IF(E22=0,0,E16/E22)</f>
        <v>3204.4735578803688</v>
      </c>
    </row>
    <row r="54" spans="1:6" ht="26.1" customHeight="1" x14ac:dyDescent="0.25">
      <c r="A54" s="639">
        <v>4</v>
      </c>
      <c r="B54" s="640" t="s">
        <v>941</v>
      </c>
      <c r="C54" s="641">
        <f>IF(C23=0,0,C16/C23)</f>
        <v>14416.929982333198</v>
      </c>
      <c r="D54" s="641">
        <f>IF(D23=0,0,D16/D23)</f>
        <v>15438.969461416929</v>
      </c>
      <c r="E54" s="641">
        <f>IF(E23=0,0,E16/E23)</f>
        <v>16788.41607131041</v>
      </c>
    </row>
    <row r="55" spans="1:6" ht="26.1" customHeight="1" x14ac:dyDescent="0.25">
      <c r="A55" s="639">
        <v>5</v>
      </c>
      <c r="B55" s="640" t="s">
        <v>942</v>
      </c>
      <c r="C55" s="641">
        <f>IF(C29=0,0,C16/C29)</f>
        <v>2054.7088148076573</v>
      </c>
      <c r="D55" s="641">
        <f>IF(D29=0,0,D16/D29)</f>
        <v>2277.6309864103878</v>
      </c>
      <c r="E55" s="641">
        <f>IF(E29=0,0,E16/E29)</f>
        <v>2199.5245136874487</v>
      </c>
    </row>
    <row r="56" spans="1:6" ht="26.1" customHeight="1" x14ac:dyDescent="0.25">
      <c r="A56" s="639">
        <v>6</v>
      </c>
      <c r="B56" s="640" t="s">
        <v>943</v>
      </c>
      <c r="C56" s="641">
        <f>IF(C30=0,0,C16/C30)</f>
        <v>10559.008416251403</v>
      </c>
      <c r="D56" s="641">
        <f>IF(D30=0,0,D16/D30)</f>
        <v>11456.36072905497</v>
      </c>
      <c r="E56" s="641">
        <f>IF(E30=0,0,E16/E30)</f>
        <v>11523.431861068935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944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945</v>
      </c>
      <c r="C59" s="649">
        <v>178889000</v>
      </c>
      <c r="D59" s="649">
        <v>192479000</v>
      </c>
      <c r="E59" s="649">
        <v>210845000</v>
      </c>
    </row>
    <row r="60" spans="1:6" ht="26.1" customHeight="1" x14ac:dyDescent="0.25">
      <c r="A60" s="639">
        <v>2</v>
      </c>
      <c r="B60" s="640" t="s">
        <v>946</v>
      </c>
      <c r="C60" s="649">
        <v>49082000</v>
      </c>
      <c r="D60" s="649">
        <v>54085000</v>
      </c>
      <c r="E60" s="649">
        <v>60165000</v>
      </c>
    </row>
    <row r="61" spans="1:6" ht="26.1" customHeight="1" x14ac:dyDescent="0.25">
      <c r="A61" s="650">
        <v>3</v>
      </c>
      <c r="B61" s="651" t="s">
        <v>947</v>
      </c>
      <c r="C61" s="652">
        <f>C59+C60</f>
        <v>227971000</v>
      </c>
      <c r="D61" s="652">
        <f>D59+D60</f>
        <v>246564000</v>
      </c>
      <c r="E61" s="652">
        <f>E59+E60</f>
        <v>271010000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948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949</v>
      </c>
      <c r="C64" s="641">
        <v>48173000</v>
      </c>
      <c r="D64" s="641">
        <v>50936000</v>
      </c>
      <c r="E64" s="649">
        <v>50618000</v>
      </c>
      <c r="F64" s="653"/>
    </row>
    <row r="65" spans="1:6" ht="26.1" customHeight="1" x14ac:dyDescent="0.25">
      <c r="A65" s="639">
        <v>2</v>
      </c>
      <c r="B65" s="640" t="s">
        <v>950</v>
      </c>
      <c r="C65" s="649">
        <v>13217000</v>
      </c>
      <c r="D65" s="649">
        <v>14312000</v>
      </c>
      <c r="E65" s="649">
        <v>14444000</v>
      </c>
      <c r="F65" s="653"/>
    </row>
    <row r="66" spans="1:6" ht="26.1" customHeight="1" x14ac:dyDescent="0.25">
      <c r="A66" s="650">
        <v>3</v>
      </c>
      <c r="B66" s="651" t="s">
        <v>951</v>
      </c>
      <c r="C66" s="654">
        <f>C64+C65</f>
        <v>61390000</v>
      </c>
      <c r="D66" s="654">
        <f>D64+D65</f>
        <v>65248000</v>
      </c>
      <c r="E66" s="654">
        <f>E64+E65</f>
        <v>65062000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952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953</v>
      </c>
      <c r="C69" s="649">
        <v>225544000</v>
      </c>
      <c r="D69" s="649">
        <v>244860000</v>
      </c>
      <c r="E69" s="649">
        <v>275600000</v>
      </c>
    </row>
    <row r="70" spans="1:6" ht="26.1" customHeight="1" x14ac:dyDescent="0.25">
      <c r="A70" s="639">
        <v>2</v>
      </c>
      <c r="B70" s="640" t="s">
        <v>954</v>
      </c>
      <c r="C70" s="649">
        <v>61882000</v>
      </c>
      <c r="D70" s="649">
        <v>68803000</v>
      </c>
      <c r="E70" s="649">
        <v>78642000</v>
      </c>
    </row>
    <row r="71" spans="1:6" ht="26.1" customHeight="1" x14ac:dyDescent="0.25">
      <c r="A71" s="650">
        <v>3</v>
      </c>
      <c r="B71" s="651" t="s">
        <v>955</v>
      </c>
      <c r="C71" s="652">
        <f>C69+C70</f>
        <v>287426000</v>
      </c>
      <c r="D71" s="652">
        <f>D69+D70</f>
        <v>313663000</v>
      </c>
      <c r="E71" s="652">
        <f>E69+E70</f>
        <v>354242000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956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957</v>
      </c>
      <c r="C75" s="641">
        <f t="shared" ref="C75:E76" si="0">+C59+C64+C69</f>
        <v>452606000</v>
      </c>
      <c r="D75" s="641">
        <f t="shared" si="0"/>
        <v>488275000</v>
      </c>
      <c r="E75" s="641">
        <f t="shared" si="0"/>
        <v>537063000</v>
      </c>
    </row>
    <row r="76" spans="1:6" ht="26.1" customHeight="1" x14ac:dyDescent="0.25">
      <c r="A76" s="639">
        <v>2</v>
      </c>
      <c r="B76" s="640" t="s">
        <v>958</v>
      </c>
      <c r="C76" s="641">
        <f t="shared" si="0"/>
        <v>124181000</v>
      </c>
      <c r="D76" s="641">
        <f t="shared" si="0"/>
        <v>137200000</v>
      </c>
      <c r="E76" s="641">
        <f t="shared" si="0"/>
        <v>153251000</v>
      </c>
    </row>
    <row r="77" spans="1:6" ht="26.1" customHeight="1" x14ac:dyDescent="0.25">
      <c r="A77" s="650">
        <v>3</v>
      </c>
      <c r="B77" s="651" t="s">
        <v>956</v>
      </c>
      <c r="C77" s="654">
        <f>C75+C76</f>
        <v>576787000</v>
      </c>
      <c r="D77" s="654">
        <f>D75+D76</f>
        <v>625475000</v>
      </c>
      <c r="E77" s="654">
        <f>E75+E76</f>
        <v>690314000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959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2226.6999999999998</v>
      </c>
      <c r="D80" s="646">
        <v>2371.6999999999998</v>
      </c>
      <c r="E80" s="646">
        <v>2746.5</v>
      </c>
    </row>
    <row r="81" spans="1:5" ht="26.1" customHeight="1" x14ac:dyDescent="0.25">
      <c r="A81" s="639">
        <v>2</v>
      </c>
      <c r="B81" s="640" t="s">
        <v>584</v>
      </c>
      <c r="C81" s="646">
        <v>705.9</v>
      </c>
      <c r="D81" s="646">
        <v>738.4</v>
      </c>
      <c r="E81" s="646">
        <v>751.8</v>
      </c>
    </row>
    <row r="82" spans="1:5" ht="26.1" customHeight="1" x14ac:dyDescent="0.25">
      <c r="A82" s="639">
        <v>3</v>
      </c>
      <c r="B82" s="640" t="s">
        <v>960</v>
      </c>
      <c r="C82" s="646">
        <v>3715.4</v>
      </c>
      <c r="D82" s="646">
        <v>3968.7</v>
      </c>
      <c r="E82" s="646">
        <v>4112.8</v>
      </c>
    </row>
    <row r="83" spans="1:5" ht="26.1" customHeight="1" x14ac:dyDescent="0.25">
      <c r="A83" s="650">
        <v>4</v>
      </c>
      <c r="B83" s="651" t="s">
        <v>959</v>
      </c>
      <c r="C83" s="656">
        <f>C80+C81+C82</f>
        <v>6648</v>
      </c>
      <c r="D83" s="656">
        <f>D80+D81+D82</f>
        <v>7078.7999999999993</v>
      </c>
      <c r="E83" s="656">
        <f>E80+E81+E82</f>
        <v>7611.1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961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962</v>
      </c>
      <c r="C86" s="649">
        <f>IF(C80=0,0,C59/C80)</f>
        <v>80338.168590290574</v>
      </c>
      <c r="D86" s="649">
        <f>IF(D80=0,0,D59/D80)</f>
        <v>81156.554370282931</v>
      </c>
      <c r="E86" s="649">
        <f>IF(E80=0,0,E59/E80)</f>
        <v>76768.614600400513</v>
      </c>
    </row>
    <row r="87" spans="1:5" ht="26.1" customHeight="1" x14ac:dyDescent="0.25">
      <c r="A87" s="639">
        <v>2</v>
      </c>
      <c r="B87" s="640" t="s">
        <v>963</v>
      </c>
      <c r="C87" s="649">
        <f>IF(C80=0,0,C60/C80)</f>
        <v>22042.484393946201</v>
      </c>
      <c r="D87" s="649">
        <f>IF(D80=0,0,D60/D80)</f>
        <v>22804.31757810853</v>
      </c>
      <c r="E87" s="649">
        <f>IF(E80=0,0,E60/E80)</f>
        <v>21906.062261059531</v>
      </c>
    </row>
    <row r="88" spans="1:5" ht="26.1" customHeight="1" x14ac:dyDescent="0.25">
      <c r="A88" s="650">
        <v>3</v>
      </c>
      <c r="B88" s="651" t="s">
        <v>964</v>
      </c>
      <c r="C88" s="652">
        <f>+C86+C87</f>
        <v>102380.65298423677</v>
      </c>
      <c r="D88" s="652">
        <f>+D86+D87</f>
        <v>103960.87194839146</v>
      </c>
      <c r="E88" s="652">
        <f>+E86+E87</f>
        <v>98674.676861460044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965</v>
      </c>
    </row>
    <row r="91" spans="1:5" ht="26.1" customHeight="1" x14ac:dyDescent="0.25">
      <c r="A91" s="639">
        <v>1</v>
      </c>
      <c r="B91" s="640" t="s">
        <v>966</v>
      </c>
      <c r="C91" s="641">
        <f>IF(C81=0,0,C64/C81)</f>
        <v>68243.377248902107</v>
      </c>
      <c r="D91" s="641">
        <f>IF(D81=0,0,D64/D81)</f>
        <v>68981.58179848321</v>
      </c>
      <c r="E91" s="641">
        <f>IF(E81=0,0,E64/E81)</f>
        <v>67329.076882149515</v>
      </c>
    </row>
    <row r="92" spans="1:5" ht="26.1" customHeight="1" x14ac:dyDescent="0.25">
      <c r="A92" s="639">
        <v>2</v>
      </c>
      <c r="B92" s="640" t="s">
        <v>967</v>
      </c>
      <c r="C92" s="641">
        <f>IF(C81=0,0,C65/C81)</f>
        <v>18723.615242952259</v>
      </c>
      <c r="D92" s="641">
        <f>IF(D81=0,0,D65/D81)</f>
        <v>19382.448537378117</v>
      </c>
      <c r="E92" s="641">
        <f>IF(E81=0,0,E65/E81)</f>
        <v>19212.556530992286</v>
      </c>
    </row>
    <row r="93" spans="1:5" ht="26.1" customHeight="1" x14ac:dyDescent="0.25">
      <c r="A93" s="650">
        <v>3</v>
      </c>
      <c r="B93" s="651" t="s">
        <v>968</v>
      </c>
      <c r="C93" s="654">
        <f>+C91+C92</f>
        <v>86966.992491854369</v>
      </c>
      <c r="D93" s="654">
        <f>+D91+D92</f>
        <v>88364.030335861331</v>
      </c>
      <c r="E93" s="654">
        <f>+E91+E92</f>
        <v>86541.633413141797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969</v>
      </c>
      <c r="B95" s="642" t="s">
        <v>970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971</v>
      </c>
      <c r="C96" s="649">
        <f>IF(C82=0,0,C69/C82)</f>
        <v>60705.173063465576</v>
      </c>
      <c r="D96" s="649">
        <f>IF(D82=0,0,D69/D82)</f>
        <v>61697.785168947012</v>
      </c>
      <c r="E96" s="649">
        <f>IF(E82=0,0,E69/E82)</f>
        <v>67010.309278350513</v>
      </c>
    </row>
    <row r="97" spans="1:5" ht="26.1" customHeight="1" x14ac:dyDescent="0.25">
      <c r="A97" s="639">
        <v>2</v>
      </c>
      <c r="B97" s="640" t="s">
        <v>972</v>
      </c>
      <c r="C97" s="649">
        <f>IF(C82=0,0,C70/C82)</f>
        <v>16655.541798998762</v>
      </c>
      <c r="D97" s="649">
        <f>IF(D82=0,0,D70/D82)</f>
        <v>17336.40738780961</v>
      </c>
      <c r="E97" s="649">
        <f>IF(E82=0,0,E70/E82)</f>
        <v>19121.27990663295</v>
      </c>
    </row>
    <row r="98" spans="1:5" ht="26.1" customHeight="1" x14ac:dyDescent="0.25">
      <c r="A98" s="650">
        <v>3</v>
      </c>
      <c r="B98" s="651" t="s">
        <v>973</v>
      </c>
      <c r="C98" s="654">
        <f>+C96+C97</f>
        <v>77360.714862464345</v>
      </c>
      <c r="D98" s="654">
        <f>+D96+D97</f>
        <v>79034.192556756621</v>
      </c>
      <c r="E98" s="654">
        <f>+E96+E97</f>
        <v>86131.589184983459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974</v>
      </c>
      <c r="B100" s="642" t="s">
        <v>975</v>
      </c>
    </row>
    <row r="101" spans="1:5" ht="26.1" customHeight="1" x14ac:dyDescent="0.25">
      <c r="A101" s="639">
        <v>1</v>
      </c>
      <c r="B101" s="640" t="s">
        <v>976</v>
      </c>
      <c r="C101" s="641">
        <f>IF(C83=0,0,C75/C83)</f>
        <v>68081.528279181715</v>
      </c>
      <c r="D101" s="641">
        <f>IF(D83=0,0,D75/D83)</f>
        <v>68977.086511838177</v>
      </c>
      <c r="E101" s="641">
        <f>IF(E83=0,0,E75/E83)</f>
        <v>70563.124909671402</v>
      </c>
    </row>
    <row r="102" spans="1:5" ht="26.1" customHeight="1" x14ac:dyDescent="0.25">
      <c r="A102" s="639">
        <v>2</v>
      </c>
      <c r="B102" s="640" t="s">
        <v>977</v>
      </c>
      <c r="C102" s="658">
        <f>IF(C83=0,0,C76/C83)</f>
        <v>18679.45246690734</v>
      </c>
      <c r="D102" s="658">
        <f>IF(D83=0,0,D76/D83)</f>
        <v>19381.816127027181</v>
      </c>
      <c r="E102" s="658">
        <f>IF(E83=0,0,E76/E83)</f>
        <v>20135.19727766026</v>
      </c>
    </row>
    <row r="103" spans="1:5" ht="26.1" customHeight="1" x14ac:dyDescent="0.25">
      <c r="A103" s="650">
        <v>3</v>
      </c>
      <c r="B103" s="651" t="s">
        <v>975</v>
      </c>
      <c r="C103" s="654">
        <f>+C101+C102</f>
        <v>86760.980746089059</v>
      </c>
      <c r="D103" s="654">
        <f>+D101+D102</f>
        <v>88358.902638865358</v>
      </c>
      <c r="E103" s="654">
        <f>+E101+E102</f>
        <v>90698.322187331665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978</v>
      </c>
      <c r="B107" s="634" t="s">
        <v>979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980</v>
      </c>
      <c r="C108" s="641">
        <f>IF(C19=0,0,C77/C19)</f>
        <v>2062.9079503145576</v>
      </c>
      <c r="D108" s="641">
        <f>IF(D19=0,0,D77/D19)</f>
        <v>2196.9231309601164</v>
      </c>
      <c r="E108" s="641">
        <f>IF(E19=0,0,E77/E19)</f>
        <v>2293.4858084514717</v>
      </c>
    </row>
    <row r="109" spans="1:5" ht="26.1" customHeight="1" x14ac:dyDescent="0.25">
      <c r="A109" s="639">
        <v>2</v>
      </c>
      <c r="B109" s="640" t="s">
        <v>981</v>
      </c>
      <c r="C109" s="641">
        <f>IF(C20=0,0,C77/C20)</f>
        <v>10601.143214233201</v>
      </c>
      <c r="D109" s="641">
        <f>IF(D20=0,0,D77/D20)</f>
        <v>11050.404579343485</v>
      </c>
      <c r="E109" s="641">
        <f>IF(E20=0,0,E77/E20)</f>
        <v>12015.700335938453</v>
      </c>
    </row>
    <row r="110" spans="1:5" ht="26.1" customHeight="1" x14ac:dyDescent="0.25">
      <c r="A110" s="639">
        <v>3</v>
      </c>
      <c r="B110" s="640" t="s">
        <v>982</v>
      </c>
      <c r="C110" s="641">
        <f>IF(C22=0,0,C77/C22)</f>
        <v>1383.382877337888</v>
      </c>
      <c r="D110" s="641">
        <f>IF(D22=0,0,D77/D22)</f>
        <v>1479.1481283372736</v>
      </c>
      <c r="E110" s="641">
        <f>IF(E22=0,0,E77/E22)</f>
        <v>1540.661773925485</v>
      </c>
    </row>
    <row r="111" spans="1:5" ht="26.1" customHeight="1" x14ac:dyDescent="0.25">
      <c r="A111" s="639">
        <v>4</v>
      </c>
      <c r="B111" s="640" t="s">
        <v>983</v>
      </c>
      <c r="C111" s="641">
        <f>IF(C23=0,0,C77/C23)</f>
        <v>7109.1102249815494</v>
      </c>
      <c r="D111" s="641">
        <f>IF(D23=0,0,D77/D23)</f>
        <v>7440.0351202830907</v>
      </c>
      <c r="E111" s="641">
        <f>IF(E23=0,0,E77/E23)</f>
        <v>8071.613142887988</v>
      </c>
    </row>
    <row r="112" spans="1:5" ht="26.1" customHeight="1" x14ac:dyDescent="0.25">
      <c r="A112" s="639">
        <v>5</v>
      </c>
      <c r="B112" s="640" t="s">
        <v>984</v>
      </c>
      <c r="C112" s="641">
        <f>IF(C29=0,0,C77/C29)</f>
        <v>1013.1943113137638</v>
      </c>
      <c r="D112" s="641">
        <f>IF(D29=0,0,D77/D29)</f>
        <v>1097.5897434272854</v>
      </c>
      <c r="E112" s="641">
        <f>IF(E29=0,0,E77/E29)</f>
        <v>1057.4976756218889</v>
      </c>
    </row>
    <row r="113" spans="1:7" ht="25.5" customHeight="1" x14ac:dyDescent="0.25">
      <c r="A113" s="639">
        <v>6</v>
      </c>
      <c r="B113" s="640" t="s">
        <v>985</v>
      </c>
      <c r="C113" s="641">
        <f>IF(C30=0,0,C77/C30)</f>
        <v>5206.7364403951096</v>
      </c>
      <c r="D113" s="641">
        <f>IF(D30=0,0,D77/D30)</f>
        <v>5520.8170718784731</v>
      </c>
      <c r="E113" s="641">
        <f>IF(E30=0,0,E77/E30)</f>
        <v>5540.2894272990325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FILING&amp;R&amp;12YALE-NEW HAVEN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3902060000</v>
      </c>
      <c r="D12" s="51">
        <v>4443296000</v>
      </c>
      <c r="E12" s="51">
        <f t="shared" ref="E12:E19" si="0">D12-C12</f>
        <v>541236000</v>
      </c>
      <c r="F12" s="70">
        <f t="shared" ref="F12:F19" si="1">IF(C12=0,0,E12/C12)</f>
        <v>0.13870519674223358</v>
      </c>
    </row>
    <row r="13" spans="1:8" ht="23.1" customHeight="1" x14ac:dyDescent="0.2">
      <c r="A13" s="25">
        <v>2</v>
      </c>
      <c r="B13" s="48" t="s">
        <v>72</v>
      </c>
      <c r="C13" s="51">
        <v>2520876000</v>
      </c>
      <c r="D13" s="51">
        <v>2939940000</v>
      </c>
      <c r="E13" s="51">
        <f t="shared" si="0"/>
        <v>419064000</v>
      </c>
      <c r="F13" s="70">
        <f t="shared" si="1"/>
        <v>0.16623745079091554</v>
      </c>
    </row>
    <row r="14" spans="1:8" ht="23.1" customHeight="1" x14ac:dyDescent="0.2">
      <c r="A14" s="25">
        <v>3</v>
      </c>
      <c r="B14" s="48" t="s">
        <v>73</v>
      </c>
      <c r="C14" s="51">
        <v>62606000</v>
      </c>
      <c r="D14" s="51">
        <v>61299000</v>
      </c>
      <c r="E14" s="51">
        <f t="shared" si="0"/>
        <v>-1307000</v>
      </c>
      <c r="F14" s="70">
        <f t="shared" si="1"/>
        <v>-2.0876593297766987E-2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1318578000</v>
      </c>
      <c r="D16" s="27">
        <f>D12-D13-D14-D15</f>
        <v>1442057000</v>
      </c>
      <c r="E16" s="27">
        <f t="shared" si="0"/>
        <v>123479000</v>
      </c>
      <c r="F16" s="28">
        <f t="shared" si="1"/>
        <v>9.3645578797765472E-2</v>
      </c>
    </row>
    <row r="17" spans="1:7" ht="23.1" customHeight="1" x14ac:dyDescent="0.2">
      <c r="A17" s="25">
        <v>5</v>
      </c>
      <c r="B17" s="48" t="s">
        <v>76</v>
      </c>
      <c r="C17" s="51">
        <v>21010000</v>
      </c>
      <c r="D17" s="51">
        <v>24660000</v>
      </c>
      <c r="E17" s="51">
        <f t="shared" si="0"/>
        <v>3650000</v>
      </c>
      <c r="F17" s="70">
        <f t="shared" si="1"/>
        <v>0.17372679676344599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27415000</v>
      </c>
      <c r="D18" s="51">
        <v>21980000</v>
      </c>
      <c r="E18" s="51">
        <f t="shared" si="0"/>
        <v>-5435000</v>
      </c>
      <c r="F18" s="70">
        <f t="shared" si="1"/>
        <v>-0.19824913368593836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1367003000</v>
      </c>
      <c r="D19" s="27">
        <f>SUM(D16:D18)</f>
        <v>1488697000</v>
      </c>
      <c r="E19" s="27">
        <f t="shared" si="0"/>
        <v>121694000</v>
      </c>
      <c r="F19" s="28">
        <f t="shared" si="1"/>
        <v>8.9022482028203301E-2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488275000</v>
      </c>
      <c r="D22" s="51">
        <v>537063000</v>
      </c>
      <c r="E22" s="51">
        <f t="shared" ref="E22:E31" si="2">D22-C22</f>
        <v>48788000</v>
      </c>
      <c r="F22" s="70">
        <f t="shared" ref="F22:F31" si="3">IF(C22=0,0,E22/C22)</f>
        <v>9.9919102964517947E-2</v>
      </c>
    </row>
    <row r="23" spans="1:7" ht="23.1" customHeight="1" x14ac:dyDescent="0.2">
      <c r="A23" s="25">
        <v>2</v>
      </c>
      <c r="B23" s="48" t="s">
        <v>81</v>
      </c>
      <c r="C23" s="51">
        <v>137200000</v>
      </c>
      <c r="D23" s="51">
        <v>153251000</v>
      </c>
      <c r="E23" s="51">
        <f t="shared" si="2"/>
        <v>16051000</v>
      </c>
      <c r="F23" s="70">
        <f t="shared" si="3"/>
        <v>0.11698979591836735</v>
      </c>
    </row>
    <row r="24" spans="1:7" ht="23.1" customHeight="1" x14ac:dyDescent="0.2">
      <c r="A24" s="25">
        <v>3</v>
      </c>
      <c r="B24" s="48" t="s">
        <v>82</v>
      </c>
      <c r="C24" s="51">
        <v>70728000</v>
      </c>
      <c r="D24" s="51">
        <v>58800000</v>
      </c>
      <c r="E24" s="51">
        <f t="shared" si="2"/>
        <v>-11928000</v>
      </c>
      <c r="F24" s="70">
        <f t="shared" si="3"/>
        <v>-0.16864608076009502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209331000</v>
      </c>
      <c r="D25" s="51">
        <v>227696000</v>
      </c>
      <c r="E25" s="51">
        <f t="shared" si="2"/>
        <v>18365000</v>
      </c>
      <c r="F25" s="70">
        <f t="shared" si="3"/>
        <v>8.7731869622750577E-2</v>
      </c>
    </row>
    <row r="26" spans="1:7" ht="23.1" customHeight="1" x14ac:dyDescent="0.2">
      <c r="A26" s="25">
        <v>5</v>
      </c>
      <c r="B26" s="48" t="s">
        <v>84</v>
      </c>
      <c r="C26" s="51">
        <v>51660000</v>
      </c>
      <c r="D26" s="51">
        <v>67948000</v>
      </c>
      <c r="E26" s="51">
        <f t="shared" si="2"/>
        <v>16288000</v>
      </c>
      <c r="F26" s="70">
        <f t="shared" si="3"/>
        <v>0.31529229578010065</v>
      </c>
    </row>
    <row r="27" spans="1:7" ht="23.1" customHeight="1" x14ac:dyDescent="0.2">
      <c r="A27" s="25">
        <v>6</v>
      </c>
      <c r="B27" s="48" t="s">
        <v>85</v>
      </c>
      <c r="C27" s="51">
        <v>27440000</v>
      </c>
      <c r="D27" s="51">
        <v>26390000</v>
      </c>
      <c r="E27" s="51">
        <f t="shared" si="2"/>
        <v>-1050000</v>
      </c>
      <c r="F27" s="70">
        <f t="shared" si="3"/>
        <v>-3.826530612244898E-2</v>
      </c>
    </row>
    <row r="28" spans="1:7" ht="23.1" customHeight="1" x14ac:dyDescent="0.2">
      <c r="A28" s="25">
        <v>7</v>
      </c>
      <c r="B28" s="48" t="s">
        <v>86</v>
      </c>
      <c r="C28" s="51">
        <v>12306000</v>
      </c>
      <c r="D28" s="51">
        <v>16867000</v>
      </c>
      <c r="E28" s="51">
        <f t="shared" si="2"/>
        <v>4561000</v>
      </c>
      <c r="F28" s="70">
        <f t="shared" si="3"/>
        <v>0.37063221192914025</v>
      </c>
    </row>
    <row r="29" spans="1:7" ht="23.1" customHeight="1" x14ac:dyDescent="0.2">
      <c r="A29" s="25">
        <v>8</v>
      </c>
      <c r="B29" s="48" t="s">
        <v>87</v>
      </c>
      <c r="C29" s="51">
        <v>16754000</v>
      </c>
      <c r="D29" s="51">
        <v>13376000</v>
      </c>
      <c r="E29" s="51">
        <f t="shared" si="2"/>
        <v>-3378000</v>
      </c>
      <c r="F29" s="70">
        <f t="shared" si="3"/>
        <v>-0.20162349289721856</v>
      </c>
    </row>
    <row r="30" spans="1:7" ht="23.1" customHeight="1" x14ac:dyDescent="0.2">
      <c r="A30" s="25">
        <v>9</v>
      </c>
      <c r="B30" s="48" t="s">
        <v>88</v>
      </c>
      <c r="C30" s="51">
        <v>284242000</v>
      </c>
      <c r="D30" s="51">
        <v>334416000</v>
      </c>
      <c r="E30" s="51">
        <f t="shared" si="2"/>
        <v>50174000</v>
      </c>
      <c r="F30" s="70">
        <f t="shared" si="3"/>
        <v>0.17651860034759115</v>
      </c>
    </row>
    <row r="31" spans="1:7" ht="23.1" customHeight="1" x14ac:dyDescent="0.25">
      <c r="A31" s="29"/>
      <c r="B31" s="71" t="s">
        <v>89</v>
      </c>
      <c r="C31" s="27">
        <f>SUM(C22:C30)</f>
        <v>1297936000</v>
      </c>
      <c r="D31" s="27">
        <f>SUM(D22:D30)</f>
        <v>1435807000</v>
      </c>
      <c r="E31" s="27">
        <f t="shared" si="2"/>
        <v>137871000</v>
      </c>
      <c r="F31" s="28">
        <f t="shared" si="3"/>
        <v>0.10622326524574401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69067000</v>
      </c>
      <c r="D33" s="27">
        <f>+D19-D31</f>
        <v>52890000</v>
      </c>
      <c r="E33" s="27">
        <f>D33-C33</f>
        <v>-16177000</v>
      </c>
      <c r="F33" s="28">
        <f>IF(C33=0,0,E33/C33)</f>
        <v>-0.2342218425586749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10104000</v>
      </c>
      <c r="D36" s="51">
        <v>21138000</v>
      </c>
      <c r="E36" s="51">
        <f>D36-C36</f>
        <v>11034000</v>
      </c>
      <c r="F36" s="70">
        <f>IF(C36=0,0,E36/C36)</f>
        <v>1.0920427553444181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-16515000</v>
      </c>
      <c r="D38" s="51">
        <v>-4917000</v>
      </c>
      <c r="E38" s="51">
        <f>D38-C38</f>
        <v>11598000</v>
      </c>
      <c r="F38" s="70">
        <f>IF(C38=0,0,E38/C38)</f>
        <v>-0.70227066303360586</v>
      </c>
    </row>
    <row r="39" spans="1:6" ht="23.1" customHeight="1" x14ac:dyDescent="0.25">
      <c r="A39" s="20"/>
      <c r="B39" s="71" t="s">
        <v>95</v>
      </c>
      <c r="C39" s="27">
        <f>SUM(C36:C38)</f>
        <v>-6411000</v>
      </c>
      <c r="D39" s="27">
        <f>SUM(D36:D38)</f>
        <v>16221000</v>
      </c>
      <c r="E39" s="27">
        <f>D39-C39</f>
        <v>22632000</v>
      </c>
      <c r="F39" s="28">
        <f>IF(C39=0,0,E39/C39)</f>
        <v>-3.5301824988301358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62656000</v>
      </c>
      <c r="D41" s="27">
        <f>D33+D39</f>
        <v>69111000</v>
      </c>
      <c r="E41" s="27">
        <f>D41-C41</f>
        <v>6455000</v>
      </c>
      <c r="F41" s="28">
        <f>IF(C41=0,0,E41/C41)</f>
        <v>0.10302285495403472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22044000</v>
      </c>
      <c r="D44" s="51">
        <v>-1949000</v>
      </c>
      <c r="E44" s="51">
        <f>D44-C44</f>
        <v>-23993000</v>
      </c>
      <c r="F44" s="70">
        <f>IF(C44=0,0,E44/C44)</f>
        <v>-1.088414080929051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22044000</v>
      </c>
      <c r="D46" s="27">
        <f>SUM(D44:D45)</f>
        <v>-1949000</v>
      </c>
      <c r="E46" s="27">
        <f>D46-C46</f>
        <v>-23993000</v>
      </c>
      <c r="F46" s="28">
        <f>IF(C46=0,0,E46/C46)</f>
        <v>-1.088414080929051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84700000</v>
      </c>
      <c r="D48" s="27">
        <f>D41+D46</f>
        <v>67162000</v>
      </c>
      <c r="E48" s="27">
        <f>D48-C48</f>
        <v>-17538000</v>
      </c>
      <c r="F48" s="28">
        <f>IF(C48=0,0,E48/C48)</f>
        <v>-0.20706021251475798</v>
      </c>
    </row>
    <row r="49" spans="1:6" ht="23.1" customHeight="1" x14ac:dyDescent="0.2">
      <c r="A49" s="44"/>
      <c r="B49" s="48" t="s">
        <v>102</v>
      </c>
      <c r="C49" s="51">
        <v>11075000</v>
      </c>
      <c r="D49" s="51">
        <v>13577000</v>
      </c>
      <c r="E49" s="51">
        <f>D49-C49</f>
        <v>2502000</v>
      </c>
      <c r="F49" s="70">
        <f>IF(C49=0,0,E49/C49)</f>
        <v>0.22591422121896163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FILING&amp;RYALE-NEW HAVEN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22" style="75" bestFit="1" customWidth="1"/>
    <col min="5" max="5" width="20" style="75" bestFit="1" customWidth="1"/>
    <col min="6" max="6" width="18.71093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778247217</v>
      </c>
      <c r="D14" s="97">
        <v>929043993</v>
      </c>
      <c r="E14" s="97">
        <f t="shared" ref="E14:E25" si="0">D14-C14</f>
        <v>150796776</v>
      </c>
      <c r="F14" s="98">
        <f t="shared" ref="F14:F25" si="1">IF(C14=0,0,E14/C14)</f>
        <v>0.19376461965555605</v>
      </c>
    </row>
    <row r="15" spans="1:6" ht="18" customHeight="1" x14ac:dyDescent="0.25">
      <c r="A15" s="99">
        <v>2</v>
      </c>
      <c r="B15" s="100" t="s">
        <v>113</v>
      </c>
      <c r="C15" s="97">
        <v>147412203</v>
      </c>
      <c r="D15" s="97">
        <v>179777258</v>
      </c>
      <c r="E15" s="97">
        <f t="shared" si="0"/>
        <v>32365055</v>
      </c>
      <c r="F15" s="98">
        <f t="shared" si="1"/>
        <v>0.21955478814735574</v>
      </c>
    </row>
    <row r="16" spans="1:6" ht="18" customHeight="1" x14ac:dyDescent="0.25">
      <c r="A16" s="99">
        <v>3</v>
      </c>
      <c r="B16" s="100" t="s">
        <v>114</v>
      </c>
      <c r="C16" s="97">
        <v>286203012</v>
      </c>
      <c r="D16" s="97">
        <v>468198791</v>
      </c>
      <c r="E16" s="97">
        <f t="shared" si="0"/>
        <v>181995779</v>
      </c>
      <c r="F16" s="98">
        <f t="shared" si="1"/>
        <v>0.63589749712347543</v>
      </c>
    </row>
    <row r="17" spans="1:6" ht="18" customHeight="1" x14ac:dyDescent="0.25">
      <c r="A17" s="99">
        <v>4</v>
      </c>
      <c r="B17" s="100" t="s">
        <v>115</v>
      </c>
      <c r="C17" s="97">
        <v>267069837</v>
      </c>
      <c r="D17" s="97">
        <v>319762915</v>
      </c>
      <c r="E17" s="97">
        <f t="shared" si="0"/>
        <v>52693078</v>
      </c>
      <c r="F17" s="98">
        <f t="shared" si="1"/>
        <v>0.19730074572217604</v>
      </c>
    </row>
    <row r="18" spans="1:6" ht="18" customHeight="1" x14ac:dyDescent="0.25">
      <c r="A18" s="99">
        <v>5</v>
      </c>
      <c r="B18" s="100" t="s">
        <v>116</v>
      </c>
      <c r="C18" s="97">
        <v>16820452</v>
      </c>
      <c r="D18" s="97">
        <v>19854188</v>
      </c>
      <c r="E18" s="97">
        <f t="shared" si="0"/>
        <v>3033736</v>
      </c>
      <c r="F18" s="98">
        <f t="shared" si="1"/>
        <v>0.18035995703325927</v>
      </c>
    </row>
    <row r="19" spans="1:6" ht="18" customHeight="1" x14ac:dyDescent="0.25">
      <c r="A19" s="99">
        <v>6</v>
      </c>
      <c r="B19" s="100" t="s">
        <v>117</v>
      </c>
      <c r="C19" s="97">
        <v>56188720</v>
      </c>
      <c r="D19" s="97">
        <v>79059351</v>
      </c>
      <c r="E19" s="97">
        <f t="shared" si="0"/>
        <v>22870631</v>
      </c>
      <c r="F19" s="98">
        <f t="shared" si="1"/>
        <v>0.40703242572530574</v>
      </c>
    </row>
    <row r="20" spans="1:6" ht="18" customHeight="1" x14ac:dyDescent="0.25">
      <c r="A20" s="99">
        <v>7</v>
      </c>
      <c r="B20" s="100" t="s">
        <v>118</v>
      </c>
      <c r="C20" s="97">
        <v>878507681</v>
      </c>
      <c r="D20" s="97">
        <v>943757720</v>
      </c>
      <c r="E20" s="97">
        <f t="shared" si="0"/>
        <v>65250039</v>
      </c>
      <c r="F20" s="98">
        <f t="shared" si="1"/>
        <v>7.4273726241899526E-2</v>
      </c>
    </row>
    <row r="21" spans="1:6" ht="18" customHeight="1" x14ac:dyDescent="0.25">
      <c r="A21" s="99">
        <v>8</v>
      </c>
      <c r="B21" s="100" t="s">
        <v>119</v>
      </c>
      <c r="C21" s="97">
        <v>10950780</v>
      </c>
      <c r="D21" s="97">
        <v>12837189</v>
      </c>
      <c r="E21" s="97">
        <f t="shared" si="0"/>
        <v>1886409</v>
      </c>
      <c r="F21" s="98">
        <f t="shared" si="1"/>
        <v>0.17226252376543041</v>
      </c>
    </row>
    <row r="22" spans="1:6" ht="18" customHeight="1" x14ac:dyDescent="0.25">
      <c r="A22" s="99">
        <v>9</v>
      </c>
      <c r="B22" s="100" t="s">
        <v>120</v>
      </c>
      <c r="C22" s="97">
        <v>51128104</v>
      </c>
      <c r="D22" s="97">
        <v>32517553</v>
      </c>
      <c r="E22" s="97">
        <f t="shared" si="0"/>
        <v>-18610551</v>
      </c>
      <c r="F22" s="98">
        <f t="shared" si="1"/>
        <v>-0.36399845767799249</v>
      </c>
    </row>
    <row r="23" spans="1:6" ht="18" customHeight="1" x14ac:dyDescent="0.25">
      <c r="A23" s="99">
        <v>10</v>
      </c>
      <c r="B23" s="100" t="s">
        <v>121</v>
      </c>
      <c r="C23" s="97">
        <v>134657674</v>
      </c>
      <c r="D23" s="97">
        <v>0</v>
      </c>
      <c r="E23" s="97">
        <f t="shared" si="0"/>
        <v>-134657674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2627185680</v>
      </c>
      <c r="D25" s="103">
        <f>SUM(D14:D24)</f>
        <v>2984808958</v>
      </c>
      <c r="E25" s="103">
        <f t="shared" si="0"/>
        <v>357623278</v>
      </c>
      <c r="F25" s="104">
        <f t="shared" si="1"/>
        <v>0.13612409687007734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273606698</v>
      </c>
      <c r="D27" s="97">
        <v>323419118</v>
      </c>
      <c r="E27" s="97">
        <f t="shared" ref="E27:E38" si="2">D27-C27</f>
        <v>49812420</v>
      </c>
      <c r="F27" s="98">
        <f t="shared" ref="F27:F38" si="3">IF(C27=0,0,E27/C27)</f>
        <v>0.18205848162386726</v>
      </c>
    </row>
    <row r="28" spans="1:6" ht="18" customHeight="1" x14ac:dyDescent="0.25">
      <c r="A28" s="99">
        <v>2</v>
      </c>
      <c r="B28" s="100" t="s">
        <v>113</v>
      </c>
      <c r="C28" s="97">
        <v>55347990</v>
      </c>
      <c r="D28" s="97">
        <v>69635362</v>
      </c>
      <c r="E28" s="97">
        <f t="shared" si="2"/>
        <v>14287372</v>
      </c>
      <c r="F28" s="98">
        <f t="shared" si="3"/>
        <v>0.2581371428302997</v>
      </c>
    </row>
    <row r="29" spans="1:6" ht="18" customHeight="1" x14ac:dyDescent="0.25">
      <c r="A29" s="99">
        <v>3</v>
      </c>
      <c r="B29" s="100" t="s">
        <v>114</v>
      </c>
      <c r="C29" s="97">
        <v>66631076</v>
      </c>
      <c r="D29" s="97">
        <v>135818950</v>
      </c>
      <c r="E29" s="97">
        <f t="shared" si="2"/>
        <v>69187874</v>
      </c>
      <c r="F29" s="98">
        <f t="shared" si="3"/>
        <v>1.0383724555191034</v>
      </c>
    </row>
    <row r="30" spans="1:6" ht="18" customHeight="1" x14ac:dyDescent="0.25">
      <c r="A30" s="99">
        <v>4</v>
      </c>
      <c r="B30" s="100" t="s">
        <v>115</v>
      </c>
      <c r="C30" s="97">
        <v>134537496</v>
      </c>
      <c r="D30" s="97">
        <v>160165229</v>
      </c>
      <c r="E30" s="97">
        <f t="shared" si="2"/>
        <v>25627733</v>
      </c>
      <c r="F30" s="98">
        <f t="shared" si="3"/>
        <v>0.19048766152151367</v>
      </c>
    </row>
    <row r="31" spans="1:6" ht="18" customHeight="1" x14ac:dyDescent="0.25">
      <c r="A31" s="99">
        <v>5</v>
      </c>
      <c r="B31" s="100" t="s">
        <v>116</v>
      </c>
      <c r="C31" s="97">
        <v>6247026</v>
      </c>
      <c r="D31" s="97">
        <v>7091654</v>
      </c>
      <c r="E31" s="97">
        <f t="shared" si="2"/>
        <v>844628</v>
      </c>
      <c r="F31" s="98">
        <f t="shared" si="3"/>
        <v>0.13520481585957861</v>
      </c>
    </row>
    <row r="32" spans="1:6" ht="18" customHeight="1" x14ac:dyDescent="0.25">
      <c r="A32" s="99">
        <v>6</v>
      </c>
      <c r="B32" s="100" t="s">
        <v>117</v>
      </c>
      <c r="C32" s="97">
        <v>30536890</v>
      </c>
      <c r="D32" s="97">
        <v>36026050</v>
      </c>
      <c r="E32" s="97">
        <f t="shared" si="2"/>
        <v>5489160</v>
      </c>
      <c r="F32" s="98">
        <f t="shared" si="3"/>
        <v>0.17975504381749419</v>
      </c>
    </row>
    <row r="33" spans="1:6" ht="18" customHeight="1" x14ac:dyDescent="0.25">
      <c r="A33" s="99">
        <v>7</v>
      </c>
      <c r="B33" s="100" t="s">
        <v>118</v>
      </c>
      <c r="C33" s="97">
        <v>599631883</v>
      </c>
      <c r="D33" s="97">
        <v>658091458</v>
      </c>
      <c r="E33" s="97">
        <f t="shared" si="2"/>
        <v>58459575</v>
      </c>
      <c r="F33" s="98">
        <f t="shared" si="3"/>
        <v>9.7492439373841638E-2</v>
      </c>
    </row>
    <row r="34" spans="1:6" ht="18" customHeight="1" x14ac:dyDescent="0.25">
      <c r="A34" s="99">
        <v>8</v>
      </c>
      <c r="B34" s="100" t="s">
        <v>119</v>
      </c>
      <c r="C34" s="97">
        <v>11361380</v>
      </c>
      <c r="D34" s="97">
        <v>6752171</v>
      </c>
      <c r="E34" s="97">
        <f t="shared" si="2"/>
        <v>-4609209</v>
      </c>
      <c r="F34" s="98">
        <f t="shared" si="3"/>
        <v>-0.40569094599423661</v>
      </c>
    </row>
    <row r="35" spans="1:6" ht="18" customHeight="1" x14ac:dyDescent="0.25">
      <c r="A35" s="99">
        <v>9</v>
      </c>
      <c r="B35" s="100" t="s">
        <v>120</v>
      </c>
      <c r="C35" s="97">
        <v>54157729</v>
      </c>
      <c r="D35" s="97">
        <v>61487497</v>
      </c>
      <c r="E35" s="97">
        <f t="shared" si="2"/>
        <v>7329768</v>
      </c>
      <c r="F35" s="98">
        <f t="shared" si="3"/>
        <v>0.13534112554830355</v>
      </c>
    </row>
    <row r="36" spans="1:6" ht="18" customHeight="1" x14ac:dyDescent="0.25">
      <c r="A36" s="99">
        <v>10</v>
      </c>
      <c r="B36" s="100" t="s">
        <v>121</v>
      </c>
      <c r="C36" s="97">
        <v>42816317</v>
      </c>
      <c r="D36" s="97">
        <v>0</v>
      </c>
      <c r="E36" s="97">
        <f t="shared" si="2"/>
        <v>-42816317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1274874485</v>
      </c>
      <c r="D38" s="103">
        <f>SUM(D27:D37)</f>
        <v>1458487489</v>
      </c>
      <c r="E38" s="103">
        <f t="shared" si="2"/>
        <v>183613004</v>
      </c>
      <c r="F38" s="104">
        <f t="shared" si="3"/>
        <v>0.14402437742724139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1051853915</v>
      </c>
      <c r="D41" s="103">
        <f t="shared" si="4"/>
        <v>1252463111</v>
      </c>
      <c r="E41" s="107">
        <f t="shared" ref="E41:E52" si="5">D41-C41</f>
        <v>200609196</v>
      </c>
      <c r="F41" s="108">
        <f t="shared" ref="F41:F52" si="6">IF(C41=0,0,E41/C41)</f>
        <v>0.19071963619586851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202760193</v>
      </c>
      <c r="D42" s="103">
        <f t="shared" si="4"/>
        <v>249412620</v>
      </c>
      <c r="E42" s="107">
        <f t="shared" si="5"/>
        <v>46652427</v>
      </c>
      <c r="F42" s="108">
        <f t="shared" si="6"/>
        <v>0.23008671628163227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352834088</v>
      </c>
      <c r="D43" s="103">
        <f t="shared" si="4"/>
        <v>604017741</v>
      </c>
      <c r="E43" s="107">
        <f t="shared" si="5"/>
        <v>251183653</v>
      </c>
      <c r="F43" s="108">
        <f t="shared" si="6"/>
        <v>0.71190302054942034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401607333</v>
      </c>
      <c r="D44" s="103">
        <f t="shared" si="4"/>
        <v>479928144</v>
      </c>
      <c r="E44" s="107">
        <f t="shared" si="5"/>
        <v>78320811</v>
      </c>
      <c r="F44" s="108">
        <f t="shared" si="6"/>
        <v>0.19501837881032913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23067478</v>
      </c>
      <c r="D45" s="103">
        <f t="shared" si="4"/>
        <v>26945842</v>
      </c>
      <c r="E45" s="107">
        <f t="shared" si="5"/>
        <v>3878364</v>
      </c>
      <c r="F45" s="108">
        <f t="shared" si="6"/>
        <v>0.16813125388046321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86725610</v>
      </c>
      <c r="D46" s="103">
        <f t="shared" si="4"/>
        <v>115085401</v>
      </c>
      <c r="E46" s="107">
        <f t="shared" si="5"/>
        <v>28359791</v>
      </c>
      <c r="F46" s="108">
        <f t="shared" si="6"/>
        <v>0.32700595591083187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1478139564</v>
      </c>
      <c r="D47" s="103">
        <f t="shared" si="4"/>
        <v>1601849178</v>
      </c>
      <c r="E47" s="107">
        <f t="shared" si="5"/>
        <v>123709614</v>
      </c>
      <c r="F47" s="108">
        <f t="shared" si="6"/>
        <v>8.3692783153188094E-2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22312160</v>
      </c>
      <c r="D48" s="103">
        <f t="shared" si="4"/>
        <v>19589360</v>
      </c>
      <c r="E48" s="107">
        <f t="shared" si="5"/>
        <v>-2722800</v>
      </c>
      <c r="F48" s="108">
        <f t="shared" si="6"/>
        <v>-0.12203211163777958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105285833</v>
      </c>
      <c r="D49" s="103">
        <f t="shared" si="4"/>
        <v>94005050</v>
      </c>
      <c r="E49" s="107">
        <f t="shared" si="5"/>
        <v>-11280783</v>
      </c>
      <c r="F49" s="108">
        <f t="shared" si="6"/>
        <v>-0.10714435815880376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177473991</v>
      </c>
      <c r="D50" s="103">
        <f t="shared" si="4"/>
        <v>0</v>
      </c>
      <c r="E50" s="107">
        <f t="shared" si="5"/>
        <v>-177473991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3902060165</v>
      </c>
      <c r="D52" s="112">
        <f>SUM(D41:D51)</f>
        <v>4443296447</v>
      </c>
      <c r="E52" s="111">
        <f t="shared" si="5"/>
        <v>541236282</v>
      </c>
      <c r="F52" s="113">
        <f t="shared" si="6"/>
        <v>0.13870526314655121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274134769</v>
      </c>
      <c r="D57" s="97">
        <v>285631989</v>
      </c>
      <c r="E57" s="97">
        <f t="shared" ref="E57:E68" si="7">D57-C57</f>
        <v>11497220</v>
      </c>
      <c r="F57" s="98">
        <f t="shared" ref="F57:F68" si="8">IF(C57=0,0,E57/C57)</f>
        <v>4.194002840989499E-2</v>
      </c>
    </row>
    <row r="58" spans="1:6" ht="18" customHeight="1" x14ac:dyDescent="0.25">
      <c r="A58" s="99">
        <v>2</v>
      </c>
      <c r="B58" s="100" t="s">
        <v>113</v>
      </c>
      <c r="C58" s="97">
        <v>49049996</v>
      </c>
      <c r="D58" s="97">
        <v>62713408</v>
      </c>
      <c r="E58" s="97">
        <f t="shared" si="7"/>
        <v>13663412</v>
      </c>
      <c r="F58" s="98">
        <f t="shared" si="8"/>
        <v>0.27856091976031966</v>
      </c>
    </row>
    <row r="59" spans="1:6" ht="18" customHeight="1" x14ac:dyDescent="0.25">
      <c r="A59" s="99">
        <v>3</v>
      </c>
      <c r="B59" s="100" t="s">
        <v>114</v>
      </c>
      <c r="C59" s="97">
        <v>52895962</v>
      </c>
      <c r="D59" s="97">
        <v>87614426</v>
      </c>
      <c r="E59" s="97">
        <f t="shared" si="7"/>
        <v>34718464</v>
      </c>
      <c r="F59" s="98">
        <f t="shared" si="8"/>
        <v>0.65635376855420458</v>
      </c>
    </row>
    <row r="60" spans="1:6" ht="18" customHeight="1" x14ac:dyDescent="0.25">
      <c r="A60" s="99">
        <v>4</v>
      </c>
      <c r="B60" s="100" t="s">
        <v>115</v>
      </c>
      <c r="C60" s="97">
        <v>44101768</v>
      </c>
      <c r="D60" s="97">
        <v>49995089</v>
      </c>
      <c r="E60" s="97">
        <f t="shared" si="7"/>
        <v>5893321</v>
      </c>
      <c r="F60" s="98">
        <f t="shared" si="8"/>
        <v>0.1336300395031782</v>
      </c>
    </row>
    <row r="61" spans="1:6" ht="18" customHeight="1" x14ac:dyDescent="0.25">
      <c r="A61" s="99">
        <v>5</v>
      </c>
      <c r="B61" s="100" t="s">
        <v>116</v>
      </c>
      <c r="C61" s="97">
        <v>3524787</v>
      </c>
      <c r="D61" s="97">
        <v>4756382</v>
      </c>
      <c r="E61" s="97">
        <f t="shared" si="7"/>
        <v>1231595</v>
      </c>
      <c r="F61" s="98">
        <f t="shared" si="8"/>
        <v>0.34940976575322141</v>
      </c>
    </row>
    <row r="62" spans="1:6" ht="18" customHeight="1" x14ac:dyDescent="0.25">
      <c r="A62" s="99">
        <v>6</v>
      </c>
      <c r="B62" s="100" t="s">
        <v>117</v>
      </c>
      <c r="C62" s="97">
        <v>27444432</v>
      </c>
      <c r="D62" s="97">
        <v>20902472</v>
      </c>
      <c r="E62" s="97">
        <f t="shared" si="7"/>
        <v>-6541960</v>
      </c>
      <c r="F62" s="98">
        <f t="shared" si="8"/>
        <v>-0.23837112023305856</v>
      </c>
    </row>
    <row r="63" spans="1:6" ht="18" customHeight="1" x14ac:dyDescent="0.25">
      <c r="A63" s="99">
        <v>7</v>
      </c>
      <c r="B63" s="100" t="s">
        <v>118</v>
      </c>
      <c r="C63" s="97">
        <v>336852447</v>
      </c>
      <c r="D63" s="97">
        <v>357978398</v>
      </c>
      <c r="E63" s="97">
        <f t="shared" si="7"/>
        <v>21125951</v>
      </c>
      <c r="F63" s="98">
        <f t="shared" si="8"/>
        <v>6.2715741530593658E-2</v>
      </c>
    </row>
    <row r="64" spans="1:6" ht="18" customHeight="1" x14ac:dyDescent="0.25">
      <c r="A64" s="99">
        <v>8</v>
      </c>
      <c r="B64" s="100" t="s">
        <v>119</v>
      </c>
      <c r="C64" s="97">
        <v>4944260</v>
      </c>
      <c r="D64" s="97">
        <v>5619299</v>
      </c>
      <c r="E64" s="97">
        <f t="shared" si="7"/>
        <v>675039</v>
      </c>
      <c r="F64" s="98">
        <f t="shared" si="8"/>
        <v>0.13652983459607707</v>
      </c>
    </row>
    <row r="65" spans="1:6" ht="18" customHeight="1" x14ac:dyDescent="0.25">
      <c r="A65" s="99">
        <v>9</v>
      </c>
      <c r="B65" s="100" t="s">
        <v>120</v>
      </c>
      <c r="C65" s="97">
        <v>2292001</v>
      </c>
      <c r="D65" s="97">
        <v>8949293</v>
      </c>
      <c r="E65" s="97">
        <f t="shared" si="7"/>
        <v>6657292</v>
      </c>
      <c r="F65" s="98">
        <f t="shared" si="8"/>
        <v>2.9045763941638767</v>
      </c>
    </row>
    <row r="66" spans="1:6" ht="18" customHeight="1" x14ac:dyDescent="0.25">
      <c r="A66" s="99">
        <v>10</v>
      </c>
      <c r="B66" s="100" t="s">
        <v>121</v>
      </c>
      <c r="C66" s="97">
        <v>21404615</v>
      </c>
      <c r="D66" s="97">
        <v>0</v>
      </c>
      <c r="E66" s="97">
        <f t="shared" si="7"/>
        <v>-21404615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816645037</v>
      </c>
      <c r="D68" s="103">
        <f>SUM(D57:D67)</f>
        <v>884160756</v>
      </c>
      <c r="E68" s="103">
        <f t="shared" si="7"/>
        <v>67515719</v>
      </c>
      <c r="F68" s="104">
        <f t="shared" si="8"/>
        <v>8.2674498638996813E-2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58820799</v>
      </c>
      <c r="D70" s="97">
        <v>72941378</v>
      </c>
      <c r="E70" s="97">
        <f t="shared" ref="E70:E81" si="9">D70-C70</f>
        <v>14120579</v>
      </c>
      <c r="F70" s="98">
        <f t="shared" ref="F70:F81" si="10">IF(C70=0,0,E70/C70)</f>
        <v>0.24006098591078301</v>
      </c>
    </row>
    <row r="71" spans="1:6" ht="18" customHeight="1" x14ac:dyDescent="0.25">
      <c r="A71" s="99">
        <v>2</v>
      </c>
      <c r="B71" s="100" t="s">
        <v>113</v>
      </c>
      <c r="C71" s="97">
        <v>14587047</v>
      </c>
      <c r="D71" s="97">
        <v>12862858</v>
      </c>
      <c r="E71" s="97">
        <f t="shared" si="9"/>
        <v>-1724189</v>
      </c>
      <c r="F71" s="98">
        <f t="shared" si="10"/>
        <v>-0.11820000305750712</v>
      </c>
    </row>
    <row r="72" spans="1:6" ht="18" customHeight="1" x14ac:dyDescent="0.25">
      <c r="A72" s="99">
        <v>3</v>
      </c>
      <c r="B72" s="100" t="s">
        <v>114</v>
      </c>
      <c r="C72" s="97">
        <v>15808903</v>
      </c>
      <c r="D72" s="97">
        <v>32308023</v>
      </c>
      <c r="E72" s="97">
        <f t="shared" si="9"/>
        <v>16499120</v>
      </c>
      <c r="F72" s="98">
        <f t="shared" si="10"/>
        <v>1.0436600186616365</v>
      </c>
    </row>
    <row r="73" spans="1:6" ht="18" customHeight="1" x14ac:dyDescent="0.25">
      <c r="A73" s="99">
        <v>4</v>
      </c>
      <c r="B73" s="100" t="s">
        <v>115</v>
      </c>
      <c r="C73" s="97">
        <v>38328157</v>
      </c>
      <c r="D73" s="97">
        <v>44010630</v>
      </c>
      <c r="E73" s="97">
        <f t="shared" si="9"/>
        <v>5682473</v>
      </c>
      <c r="F73" s="98">
        <f t="shared" si="10"/>
        <v>0.14825844613400013</v>
      </c>
    </row>
    <row r="74" spans="1:6" ht="18" customHeight="1" x14ac:dyDescent="0.25">
      <c r="A74" s="99">
        <v>5</v>
      </c>
      <c r="B74" s="100" t="s">
        <v>116</v>
      </c>
      <c r="C74" s="97">
        <v>2463260</v>
      </c>
      <c r="D74" s="97">
        <v>1497774</v>
      </c>
      <c r="E74" s="97">
        <f t="shared" si="9"/>
        <v>-965486</v>
      </c>
      <c r="F74" s="98">
        <f t="shared" si="10"/>
        <v>-0.39195456427660907</v>
      </c>
    </row>
    <row r="75" spans="1:6" ht="18" customHeight="1" x14ac:dyDescent="0.25">
      <c r="A75" s="99">
        <v>6</v>
      </c>
      <c r="B75" s="100" t="s">
        <v>117</v>
      </c>
      <c r="C75" s="97">
        <v>28969885</v>
      </c>
      <c r="D75" s="97">
        <v>14017151</v>
      </c>
      <c r="E75" s="97">
        <f t="shared" si="9"/>
        <v>-14952734</v>
      </c>
      <c r="F75" s="98">
        <f t="shared" si="10"/>
        <v>-0.51614750973295198</v>
      </c>
    </row>
    <row r="76" spans="1:6" ht="18" customHeight="1" x14ac:dyDescent="0.25">
      <c r="A76" s="99">
        <v>7</v>
      </c>
      <c r="B76" s="100" t="s">
        <v>118</v>
      </c>
      <c r="C76" s="97">
        <v>265209847</v>
      </c>
      <c r="D76" s="97">
        <v>313570621</v>
      </c>
      <c r="E76" s="97">
        <f t="shared" si="9"/>
        <v>48360774</v>
      </c>
      <c r="F76" s="98">
        <f t="shared" si="10"/>
        <v>0.18234908902157015</v>
      </c>
    </row>
    <row r="77" spans="1:6" ht="18" customHeight="1" x14ac:dyDescent="0.25">
      <c r="A77" s="99">
        <v>8</v>
      </c>
      <c r="B77" s="100" t="s">
        <v>119</v>
      </c>
      <c r="C77" s="97">
        <v>2876886</v>
      </c>
      <c r="D77" s="97">
        <v>4138830</v>
      </c>
      <c r="E77" s="97">
        <f t="shared" si="9"/>
        <v>1261944</v>
      </c>
      <c r="F77" s="98">
        <f t="shared" si="10"/>
        <v>0.43864928954431981</v>
      </c>
    </row>
    <row r="78" spans="1:6" ht="18" customHeight="1" x14ac:dyDescent="0.25">
      <c r="A78" s="99">
        <v>9</v>
      </c>
      <c r="B78" s="100" t="s">
        <v>120</v>
      </c>
      <c r="C78" s="97">
        <v>17830957</v>
      </c>
      <c r="D78" s="97">
        <v>7969346</v>
      </c>
      <c r="E78" s="97">
        <f t="shared" si="9"/>
        <v>-9861611</v>
      </c>
      <c r="F78" s="98">
        <f t="shared" si="10"/>
        <v>-0.55306122941129854</v>
      </c>
    </row>
    <row r="79" spans="1:6" ht="18" customHeight="1" x14ac:dyDescent="0.25">
      <c r="A79" s="99">
        <v>10</v>
      </c>
      <c r="B79" s="100" t="s">
        <v>121</v>
      </c>
      <c r="C79" s="97">
        <v>8339594</v>
      </c>
      <c r="D79" s="97">
        <v>0</v>
      </c>
      <c r="E79" s="97">
        <f t="shared" si="9"/>
        <v>-8339594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453235335</v>
      </c>
      <c r="D81" s="103">
        <f>SUM(D70:D80)</f>
        <v>503316611</v>
      </c>
      <c r="E81" s="103">
        <f t="shared" si="9"/>
        <v>50081276</v>
      </c>
      <c r="F81" s="104">
        <f t="shared" si="10"/>
        <v>0.11049728944897909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332955568</v>
      </c>
      <c r="D84" s="103">
        <f t="shared" si="11"/>
        <v>358573367</v>
      </c>
      <c r="E84" s="103">
        <f t="shared" ref="E84:E95" si="12">D84-C84</f>
        <v>25617799</v>
      </c>
      <c r="F84" s="104">
        <f t="shared" ref="F84:F95" si="13">IF(C84=0,0,E84/C84)</f>
        <v>7.6940593466813562E-2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63637043</v>
      </c>
      <c r="D85" s="103">
        <f t="shared" si="11"/>
        <v>75576266</v>
      </c>
      <c r="E85" s="103">
        <f t="shared" si="12"/>
        <v>11939223</v>
      </c>
      <c r="F85" s="104">
        <f t="shared" si="13"/>
        <v>0.18761435851128405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68704865</v>
      </c>
      <c r="D86" s="103">
        <f t="shared" si="11"/>
        <v>119922449</v>
      </c>
      <c r="E86" s="103">
        <f t="shared" si="12"/>
        <v>51217584</v>
      </c>
      <c r="F86" s="104">
        <f t="shared" si="13"/>
        <v>0.74547244944007973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82429925</v>
      </c>
      <c r="D87" s="103">
        <f t="shared" si="11"/>
        <v>94005719</v>
      </c>
      <c r="E87" s="103">
        <f t="shared" si="12"/>
        <v>11575794</v>
      </c>
      <c r="F87" s="104">
        <f t="shared" si="13"/>
        <v>0.14043193658128406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5988047</v>
      </c>
      <c r="D88" s="103">
        <f t="shared" si="11"/>
        <v>6254156</v>
      </c>
      <c r="E88" s="103">
        <f t="shared" si="12"/>
        <v>266109</v>
      </c>
      <c r="F88" s="104">
        <f t="shared" si="13"/>
        <v>4.4440031950317024E-2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56414317</v>
      </c>
      <c r="D89" s="103">
        <f t="shared" si="11"/>
        <v>34919623</v>
      </c>
      <c r="E89" s="103">
        <f t="shared" si="12"/>
        <v>-21494694</v>
      </c>
      <c r="F89" s="104">
        <f t="shared" si="13"/>
        <v>-0.38101487606417356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602062294</v>
      </c>
      <c r="D90" s="103">
        <f t="shared" si="11"/>
        <v>671549019</v>
      </c>
      <c r="E90" s="103">
        <f t="shared" si="12"/>
        <v>69486725</v>
      </c>
      <c r="F90" s="104">
        <f t="shared" si="13"/>
        <v>0.1154145105788671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7821146</v>
      </c>
      <c r="D91" s="103">
        <f t="shared" si="11"/>
        <v>9758129</v>
      </c>
      <c r="E91" s="103">
        <f t="shared" si="12"/>
        <v>1936983</v>
      </c>
      <c r="F91" s="104">
        <f t="shared" si="13"/>
        <v>0.24765974193551687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20122958</v>
      </c>
      <c r="D92" s="103">
        <f t="shared" si="11"/>
        <v>16918639</v>
      </c>
      <c r="E92" s="103">
        <f t="shared" si="12"/>
        <v>-3204319</v>
      </c>
      <c r="F92" s="104">
        <f t="shared" si="13"/>
        <v>-0.15923697698916831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29744209</v>
      </c>
      <c r="D93" s="103">
        <f t="shared" si="11"/>
        <v>0</v>
      </c>
      <c r="E93" s="103">
        <f t="shared" si="12"/>
        <v>-29744209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1269880372</v>
      </c>
      <c r="D95" s="112">
        <f>SUM(D84:D94)</f>
        <v>1387477367</v>
      </c>
      <c r="E95" s="112">
        <f t="shared" si="12"/>
        <v>117596995</v>
      </c>
      <c r="F95" s="113">
        <f t="shared" si="13"/>
        <v>9.2604781988078477E-2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14616</v>
      </c>
      <c r="D100" s="117">
        <v>14890</v>
      </c>
      <c r="E100" s="117">
        <f t="shared" ref="E100:E111" si="14">D100-C100</f>
        <v>274</v>
      </c>
      <c r="F100" s="98">
        <f t="shared" ref="F100:F111" si="15">IF(C100=0,0,E100/C100)</f>
        <v>1.8746579091406677E-2</v>
      </c>
    </row>
    <row r="101" spans="1:6" ht="18" customHeight="1" x14ac:dyDescent="0.25">
      <c r="A101" s="99">
        <v>2</v>
      </c>
      <c r="B101" s="100" t="s">
        <v>113</v>
      </c>
      <c r="C101" s="117">
        <v>2741</v>
      </c>
      <c r="D101" s="117">
        <v>2857</v>
      </c>
      <c r="E101" s="117">
        <f t="shared" si="14"/>
        <v>116</v>
      </c>
      <c r="F101" s="98">
        <f t="shared" si="15"/>
        <v>4.2320321050711422E-2</v>
      </c>
    </row>
    <row r="102" spans="1:6" ht="18" customHeight="1" x14ac:dyDescent="0.25">
      <c r="A102" s="99">
        <v>3</v>
      </c>
      <c r="B102" s="100" t="s">
        <v>114</v>
      </c>
      <c r="C102" s="117">
        <v>5257</v>
      </c>
      <c r="D102" s="117">
        <v>8557</v>
      </c>
      <c r="E102" s="117">
        <f t="shared" si="14"/>
        <v>3300</v>
      </c>
      <c r="F102" s="98">
        <f t="shared" si="15"/>
        <v>0.62773444930568767</v>
      </c>
    </row>
    <row r="103" spans="1:6" ht="18" customHeight="1" x14ac:dyDescent="0.25">
      <c r="A103" s="99">
        <v>4</v>
      </c>
      <c r="B103" s="100" t="s">
        <v>115</v>
      </c>
      <c r="C103" s="117">
        <v>7139</v>
      </c>
      <c r="D103" s="117">
        <v>7692</v>
      </c>
      <c r="E103" s="117">
        <f t="shared" si="14"/>
        <v>553</v>
      </c>
      <c r="F103" s="98">
        <f t="shared" si="15"/>
        <v>7.7461829387869455E-2</v>
      </c>
    </row>
    <row r="104" spans="1:6" ht="18" customHeight="1" x14ac:dyDescent="0.25">
      <c r="A104" s="99">
        <v>5</v>
      </c>
      <c r="B104" s="100" t="s">
        <v>116</v>
      </c>
      <c r="C104" s="117">
        <v>323</v>
      </c>
      <c r="D104" s="117">
        <v>347</v>
      </c>
      <c r="E104" s="117">
        <f t="shared" si="14"/>
        <v>24</v>
      </c>
      <c r="F104" s="98">
        <f t="shared" si="15"/>
        <v>7.4303405572755415E-2</v>
      </c>
    </row>
    <row r="105" spans="1:6" ht="18" customHeight="1" x14ac:dyDescent="0.25">
      <c r="A105" s="99">
        <v>6</v>
      </c>
      <c r="B105" s="100" t="s">
        <v>117</v>
      </c>
      <c r="C105" s="117">
        <v>1121</v>
      </c>
      <c r="D105" s="117">
        <v>1246</v>
      </c>
      <c r="E105" s="117">
        <f t="shared" si="14"/>
        <v>125</v>
      </c>
      <c r="F105" s="98">
        <f t="shared" si="15"/>
        <v>0.11150758251561106</v>
      </c>
    </row>
    <row r="106" spans="1:6" ht="18" customHeight="1" x14ac:dyDescent="0.25">
      <c r="A106" s="99">
        <v>7</v>
      </c>
      <c r="B106" s="100" t="s">
        <v>118</v>
      </c>
      <c r="C106" s="117">
        <v>20649</v>
      </c>
      <c r="D106" s="117">
        <v>20717</v>
      </c>
      <c r="E106" s="117">
        <f t="shared" si="14"/>
        <v>68</v>
      </c>
      <c r="F106" s="98">
        <f t="shared" si="15"/>
        <v>3.2931376822122136E-3</v>
      </c>
    </row>
    <row r="107" spans="1:6" ht="18" customHeight="1" x14ac:dyDescent="0.25">
      <c r="A107" s="99">
        <v>8</v>
      </c>
      <c r="B107" s="100" t="s">
        <v>119</v>
      </c>
      <c r="C107" s="117">
        <v>195</v>
      </c>
      <c r="D107" s="117">
        <v>206</v>
      </c>
      <c r="E107" s="117">
        <f t="shared" si="14"/>
        <v>11</v>
      </c>
      <c r="F107" s="98">
        <f t="shared" si="15"/>
        <v>5.6410256410256411E-2</v>
      </c>
    </row>
    <row r="108" spans="1:6" ht="18" customHeight="1" x14ac:dyDescent="0.25">
      <c r="A108" s="99">
        <v>9</v>
      </c>
      <c r="B108" s="100" t="s">
        <v>120</v>
      </c>
      <c r="C108" s="117">
        <v>1436</v>
      </c>
      <c r="D108" s="117">
        <v>939</v>
      </c>
      <c r="E108" s="117">
        <f t="shared" si="14"/>
        <v>-497</v>
      </c>
      <c r="F108" s="98">
        <f t="shared" si="15"/>
        <v>-0.34610027855153203</v>
      </c>
    </row>
    <row r="109" spans="1:6" ht="18" customHeight="1" x14ac:dyDescent="0.25">
      <c r="A109" s="99">
        <v>10</v>
      </c>
      <c r="B109" s="100" t="s">
        <v>121</v>
      </c>
      <c r="C109" s="117">
        <v>3125</v>
      </c>
      <c r="D109" s="117">
        <v>0</v>
      </c>
      <c r="E109" s="117">
        <f t="shared" si="14"/>
        <v>-3125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56602</v>
      </c>
      <c r="D111" s="118">
        <f>SUM(D100:D110)</f>
        <v>57451</v>
      </c>
      <c r="E111" s="118">
        <f t="shared" si="14"/>
        <v>849</v>
      </c>
      <c r="F111" s="104">
        <f t="shared" si="15"/>
        <v>1.4999469983392813E-2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84097</v>
      </c>
      <c r="D113" s="117">
        <v>92341</v>
      </c>
      <c r="E113" s="117">
        <f t="shared" ref="E113:E124" si="16">D113-C113</f>
        <v>8244</v>
      </c>
      <c r="F113" s="98">
        <f t="shared" ref="F113:F124" si="17">IF(C113=0,0,E113/C113)</f>
        <v>9.8029656230305476E-2</v>
      </c>
    </row>
    <row r="114" spans="1:6" ht="18" customHeight="1" x14ac:dyDescent="0.25">
      <c r="A114" s="99">
        <v>2</v>
      </c>
      <c r="B114" s="100" t="s">
        <v>113</v>
      </c>
      <c r="C114" s="117">
        <v>14095</v>
      </c>
      <c r="D114" s="117">
        <v>17165</v>
      </c>
      <c r="E114" s="117">
        <f t="shared" si="16"/>
        <v>3070</v>
      </c>
      <c r="F114" s="98">
        <f t="shared" si="17"/>
        <v>0.21780773323873714</v>
      </c>
    </row>
    <row r="115" spans="1:6" ht="18" customHeight="1" x14ac:dyDescent="0.25">
      <c r="A115" s="99">
        <v>3</v>
      </c>
      <c r="B115" s="100" t="s">
        <v>114</v>
      </c>
      <c r="C115" s="117">
        <v>36943</v>
      </c>
      <c r="D115" s="117">
        <v>55785</v>
      </c>
      <c r="E115" s="117">
        <f t="shared" si="16"/>
        <v>18842</v>
      </c>
      <c r="F115" s="98">
        <f t="shared" si="17"/>
        <v>0.51002896353842408</v>
      </c>
    </row>
    <row r="116" spans="1:6" ht="18" customHeight="1" x14ac:dyDescent="0.25">
      <c r="A116" s="99">
        <v>4</v>
      </c>
      <c r="B116" s="100" t="s">
        <v>115</v>
      </c>
      <c r="C116" s="117">
        <v>33522</v>
      </c>
      <c r="D116" s="117">
        <v>36302</v>
      </c>
      <c r="E116" s="117">
        <f t="shared" si="16"/>
        <v>2780</v>
      </c>
      <c r="F116" s="98">
        <f t="shared" si="17"/>
        <v>8.2930612731937234E-2</v>
      </c>
    </row>
    <row r="117" spans="1:6" ht="18" customHeight="1" x14ac:dyDescent="0.25">
      <c r="A117" s="99">
        <v>5</v>
      </c>
      <c r="B117" s="100" t="s">
        <v>116</v>
      </c>
      <c r="C117" s="117">
        <v>1728</v>
      </c>
      <c r="D117" s="117">
        <v>1731</v>
      </c>
      <c r="E117" s="117">
        <f t="shared" si="16"/>
        <v>3</v>
      </c>
      <c r="F117" s="98">
        <f t="shared" si="17"/>
        <v>1.736111111111111E-3</v>
      </c>
    </row>
    <row r="118" spans="1:6" ht="18" customHeight="1" x14ac:dyDescent="0.25">
      <c r="A118" s="99">
        <v>6</v>
      </c>
      <c r="B118" s="100" t="s">
        <v>117</v>
      </c>
      <c r="C118" s="117">
        <v>5407</v>
      </c>
      <c r="D118" s="117">
        <v>6602</v>
      </c>
      <c r="E118" s="117">
        <f t="shared" si="16"/>
        <v>1195</v>
      </c>
      <c r="F118" s="98">
        <f t="shared" si="17"/>
        <v>0.22100980210837803</v>
      </c>
    </row>
    <row r="119" spans="1:6" ht="18" customHeight="1" x14ac:dyDescent="0.25">
      <c r="A119" s="99">
        <v>7</v>
      </c>
      <c r="B119" s="100" t="s">
        <v>118</v>
      </c>
      <c r="C119" s="117">
        <v>85692</v>
      </c>
      <c r="D119" s="117">
        <v>87113</v>
      </c>
      <c r="E119" s="117">
        <f t="shared" si="16"/>
        <v>1421</v>
      </c>
      <c r="F119" s="98">
        <f t="shared" si="17"/>
        <v>1.658264482098679E-2</v>
      </c>
    </row>
    <row r="120" spans="1:6" ht="18" customHeight="1" x14ac:dyDescent="0.25">
      <c r="A120" s="99">
        <v>8</v>
      </c>
      <c r="B120" s="100" t="s">
        <v>119</v>
      </c>
      <c r="C120" s="117">
        <v>785</v>
      </c>
      <c r="D120" s="117">
        <v>900</v>
      </c>
      <c r="E120" s="117">
        <f t="shared" si="16"/>
        <v>115</v>
      </c>
      <c r="F120" s="98">
        <f t="shared" si="17"/>
        <v>0.1464968152866242</v>
      </c>
    </row>
    <row r="121" spans="1:6" ht="18" customHeight="1" x14ac:dyDescent="0.25">
      <c r="A121" s="99">
        <v>9</v>
      </c>
      <c r="B121" s="100" t="s">
        <v>120</v>
      </c>
      <c r="C121" s="117">
        <v>5967</v>
      </c>
      <c r="D121" s="117">
        <v>3050</v>
      </c>
      <c r="E121" s="117">
        <f t="shared" si="16"/>
        <v>-2917</v>
      </c>
      <c r="F121" s="98">
        <f t="shared" si="17"/>
        <v>-0.48885537120831241</v>
      </c>
    </row>
    <row r="122" spans="1:6" ht="18" customHeight="1" x14ac:dyDescent="0.25">
      <c r="A122" s="99">
        <v>10</v>
      </c>
      <c r="B122" s="100" t="s">
        <v>121</v>
      </c>
      <c r="C122" s="117">
        <v>16469</v>
      </c>
      <c r="D122" s="117">
        <v>0</v>
      </c>
      <c r="E122" s="117">
        <f t="shared" si="16"/>
        <v>-16469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284705</v>
      </c>
      <c r="D124" s="118">
        <f>SUM(D113:D123)</f>
        <v>300989</v>
      </c>
      <c r="E124" s="118">
        <f t="shared" si="16"/>
        <v>16284</v>
      </c>
      <c r="F124" s="104">
        <f t="shared" si="17"/>
        <v>5.7196045029065175E-2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104564</v>
      </c>
      <c r="D126" s="117">
        <v>114332</v>
      </c>
      <c r="E126" s="117">
        <f t="shared" ref="E126:E137" si="18">D126-C126</f>
        <v>9768</v>
      </c>
      <c r="F126" s="98">
        <f t="shared" ref="F126:F137" si="19">IF(C126=0,0,E126/C126)</f>
        <v>9.3416472208408249E-2</v>
      </c>
    </row>
    <row r="127" spans="1:6" ht="18" customHeight="1" x14ac:dyDescent="0.25">
      <c r="A127" s="99">
        <v>2</v>
      </c>
      <c r="B127" s="100" t="s">
        <v>113</v>
      </c>
      <c r="C127" s="117">
        <v>21861</v>
      </c>
      <c r="D127" s="117">
        <v>26757</v>
      </c>
      <c r="E127" s="117">
        <f t="shared" si="18"/>
        <v>4896</v>
      </c>
      <c r="F127" s="98">
        <f t="shared" si="19"/>
        <v>0.22396047756278303</v>
      </c>
    </row>
    <row r="128" spans="1:6" ht="18" customHeight="1" x14ac:dyDescent="0.25">
      <c r="A128" s="99">
        <v>3</v>
      </c>
      <c r="B128" s="100" t="s">
        <v>114</v>
      </c>
      <c r="C128" s="117">
        <v>34426</v>
      </c>
      <c r="D128" s="117">
        <v>65306</v>
      </c>
      <c r="E128" s="117">
        <f t="shared" si="18"/>
        <v>30880</v>
      </c>
      <c r="F128" s="98">
        <f t="shared" si="19"/>
        <v>0.89699645616685064</v>
      </c>
    </row>
    <row r="129" spans="1:6" ht="18" customHeight="1" x14ac:dyDescent="0.25">
      <c r="A129" s="99">
        <v>4</v>
      </c>
      <c r="B129" s="100" t="s">
        <v>115</v>
      </c>
      <c r="C129" s="117">
        <v>124830</v>
      </c>
      <c r="D129" s="117">
        <v>110633</v>
      </c>
      <c r="E129" s="117">
        <f t="shared" si="18"/>
        <v>-14197</v>
      </c>
      <c r="F129" s="98">
        <f t="shared" si="19"/>
        <v>-0.1137306737162541</v>
      </c>
    </row>
    <row r="130" spans="1:6" ht="18" customHeight="1" x14ac:dyDescent="0.25">
      <c r="A130" s="99">
        <v>5</v>
      </c>
      <c r="B130" s="100" t="s">
        <v>116</v>
      </c>
      <c r="C130" s="117">
        <v>2974</v>
      </c>
      <c r="D130" s="117">
        <v>3030</v>
      </c>
      <c r="E130" s="117">
        <f t="shared" si="18"/>
        <v>56</v>
      </c>
      <c r="F130" s="98">
        <f t="shared" si="19"/>
        <v>1.882985877605918E-2</v>
      </c>
    </row>
    <row r="131" spans="1:6" ht="18" customHeight="1" x14ac:dyDescent="0.25">
      <c r="A131" s="99">
        <v>6</v>
      </c>
      <c r="B131" s="100" t="s">
        <v>117</v>
      </c>
      <c r="C131" s="117">
        <v>11908</v>
      </c>
      <c r="D131" s="117">
        <v>13719</v>
      </c>
      <c r="E131" s="117">
        <f t="shared" si="18"/>
        <v>1811</v>
      </c>
      <c r="F131" s="98">
        <f t="shared" si="19"/>
        <v>0.15208263352368157</v>
      </c>
    </row>
    <row r="132" spans="1:6" ht="18" customHeight="1" x14ac:dyDescent="0.25">
      <c r="A132" s="99">
        <v>7</v>
      </c>
      <c r="B132" s="100" t="s">
        <v>118</v>
      </c>
      <c r="C132" s="117">
        <v>240708</v>
      </c>
      <c r="D132" s="117">
        <v>272664</v>
      </c>
      <c r="E132" s="117">
        <f t="shared" si="18"/>
        <v>31956</v>
      </c>
      <c r="F132" s="98">
        <f t="shared" si="19"/>
        <v>0.13275836282965253</v>
      </c>
    </row>
    <row r="133" spans="1:6" ht="18" customHeight="1" x14ac:dyDescent="0.25">
      <c r="A133" s="99">
        <v>8</v>
      </c>
      <c r="B133" s="100" t="s">
        <v>119</v>
      </c>
      <c r="C133" s="117">
        <v>3062</v>
      </c>
      <c r="D133" s="117">
        <v>2932</v>
      </c>
      <c r="E133" s="117">
        <f t="shared" si="18"/>
        <v>-130</v>
      </c>
      <c r="F133" s="98">
        <f t="shared" si="19"/>
        <v>-4.2455911169170475E-2</v>
      </c>
    </row>
    <row r="134" spans="1:6" ht="18" customHeight="1" x14ac:dyDescent="0.25">
      <c r="A134" s="99">
        <v>9</v>
      </c>
      <c r="B134" s="100" t="s">
        <v>120</v>
      </c>
      <c r="C134" s="117">
        <v>34442</v>
      </c>
      <c r="D134" s="117">
        <v>34578</v>
      </c>
      <c r="E134" s="117">
        <f t="shared" si="18"/>
        <v>136</v>
      </c>
      <c r="F134" s="98">
        <f t="shared" si="19"/>
        <v>3.9486673247778872E-3</v>
      </c>
    </row>
    <row r="135" spans="1:6" ht="18" customHeight="1" x14ac:dyDescent="0.25">
      <c r="A135" s="99">
        <v>10</v>
      </c>
      <c r="B135" s="100" t="s">
        <v>121</v>
      </c>
      <c r="C135" s="117">
        <v>21370</v>
      </c>
      <c r="D135" s="117">
        <v>0</v>
      </c>
      <c r="E135" s="117">
        <f t="shared" si="18"/>
        <v>-21370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600145</v>
      </c>
      <c r="D137" s="118">
        <f>SUM(D126:D136)</f>
        <v>643951</v>
      </c>
      <c r="E137" s="118">
        <f t="shared" si="18"/>
        <v>43806</v>
      </c>
      <c r="F137" s="104">
        <f t="shared" si="19"/>
        <v>7.2992360179623253E-2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28448872</v>
      </c>
      <c r="D142" s="97">
        <v>33849421</v>
      </c>
      <c r="E142" s="97">
        <f t="shared" ref="E142:E153" si="20">D142-C142</f>
        <v>5400549</v>
      </c>
      <c r="F142" s="98">
        <f t="shared" ref="F142:F153" si="21">IF(C142=0,0,E142/C142)</f>
        <v>0.18983350201020271</v>
      </c>
    </row>
    <row r="143" spans="1:6" ht="18" customHeight="1" x14ac:dyDescent="0.25">
      <c r="A143" s="99">
        <v>2</v>
      </c>
      <c r="B143" s="100" t="s">
        <v>113</v>
      </c>
      <c r="C143" s="97">
        <v>5332887</v>
      </c>
      <c r="D143" s="97">
        <v>7245460</v>
      </c>
      <c r="E143" s="97">
        <f t="shared" si="20"/>
        <v>1912573</v>
      </c>
      <c r="F143" s="98">
        <f t="shared" si="21"/>
        <v>0.35863745097167821</v>
      </c>
    </row>
    <row r="144" spans="1:6" ht="18" customHeight="1" x14ac:dyDescent="0.25">
      <c r="A144" s="99">
        <v>3</v>
      </c>
      <c r="B144" s="100" t="s">
        <v>114</v>
      </c>
      <c r="C144" s="97">
        <v>13932352</v>
      </c>
      <c r="D144" s="97">
        <v>39634547</v>
      </c>
      <c r="E144" s="97">
        <f t="shared" si="20"/>
        <v>25702195</v>
      </c>
      <c r="F144" s="98">
        <f t="shared" si="21"/>
        <v>1.8447850729008282</v>
      </c>
    </row>
    <row r="145" spans="1:6" ht="18" customHeight="1" x14ac:dyDescent="0.25">
      <c r="A145" s="99">
        <v>4</v>
      </c>
      <c r="B145" s="100" t="s">
        <v>115</v>
      </c>
      <c r="C145" s="97">
        <v>38997436</v>
      </c>
      <c r="D145" s="97">
        <v>38103212</v>
      </c>
      <c r="E145" s="97">
        <f t="shared" si="20"/>
        <v>-894224</v>
      </c>
      <c r="F145" s="98">
        <f t="shared" si="21"/>
        <v>-2.2930328034899524E-2</v>
      </c>
    </row>
    <row r="146" spans="1:6" ht="18" customHeight="1" x14ac:dyDescent="0.25">
      <c r="A146" s="99">
        <v>5</v>
      </c>
      <c r="B146" s="100" t="s">
        <v>116</v>
      </c>
      <c r="C146" s="97">
        <v>702218</v>
      </c>
      <c r="D146" s="97">
        <v>700596</v>
      </c>
      <c r="E146" s="97">
        <f t="shared" si="20"/>
        <v>-1622</v>
      </c>
      <c r="F146" s="98">
        <f t="shared" si="21"/>
        <v>-2.3098240147646459E-3</v>
      </c>
    </row>
    <row r="147" spans="1:6" ht="18" customHeight="1" x14ac:dyDescent="0.25">
      <c r="A147" s="99">
        <v>6</v>
      </c>
      <c r="B147" s="100" t="s">
        <v>117</v>
      </c>
      <c r="C147" s="97">
        <v>5349145</v>
      </c>
      <c r="D147" s="97">
        <v>5768574</v>
      </c>
      <c r="E147" s="97">
        <f t="shared" si="20"/>
        <v>419429</v>
      </c>
      <c r="F147" s="98">
        <f t="shared" si="21"/>
        <v>7.8410474945061315E-2</v>
      </c>
    </row>
    <row r="148" spans="1:6" ht="18" customHeight="1" x14ac:dyDescent="0.25">
      <c r="A148" s="99">
        <v>7</v>
      </c>
      <c r="B148" s="100" t="s">
        <v>118</v>
      </c>
      <c r="C148" s="97">
        <v>62778824</v>
      </c>
      <c r="D148" s="97">
        <v>71299820</v>
      </c>
      <c r="E148" s="97">
        <f t="shared" si="20"/>
        <v>8520996</v>
      </c>
      <c r="F148" s="98">
        <f t="shared" si="21"/>
        <v>0.13573041763254437</v>
      </c>
    </row>
    <row r="149" spans="1:6" ht="18" customHeight="1" x14ac:dyDescent="0.25">
      <c r="A149" s="99">
        <v>8</v>
      </c>
      <c r="B149" s="100" t="s">
        <v>119</v>
      </c>
      <c r="C149" s="97">
        <v>2198322</v>
      </c>
      <c r="D149" s="97">
        <v>2189812</v>
      </c>
      <c r="E149" s="97">
        <f t="shared" si="20"/>
        <v>-8510</v>
      </c>
      <c r="F149" s="98">
        <f t="shared" si="21"/>
        <v>-3.8711344379940699E-3</v>
      </c>
    </row>
    <row r="150" spans="1:6" ht="18" customHeight="1" x14ac:dyDescent="0.25">
      <c r="A150" s="99">
        <v>9</v>
      </c>
      <c r="B150" s="100" t="s">
        <v>120</v>
      </c>
      <c r="C150" s="97">
        <v>21503622</v>
      </c>
      <c r="D150" s="97">
        <v>20746981</v>
      </c>
      <c r="E150" s="97">
        <f t="shared" si="20"/>
        <v>-756641</v>
      </c>
      <c r="F150" s="98">
        <f t="shared" si="21"/>
        <v>-3.5186676923543395E-2</v>
      </c>
    </row>
    <row r="151" spans="1:6" ht="18" customHeight="1" x14ac:dyDescent="0.25">
      <c r="A151" s="99">
        <v>10</v>
      </c>
      <c r="B151" s="100" t="s">
        <v>121</v>
      </c>
      <c r="C151" s="97">
        <v>16985743</v>
      </c>
      <c r="D151" s="97">
        <v>0</v>
      </c>
      <c r="E151" s="97">
        <f t="shared" si="20"/>
        <v>-16985743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196229421</v>
      </c>
      <c r="D153" s="103">
        <f>SUM(D142:D152)</f>
        <v>219538423</v>
      </c>
      <c r="E153" s="103">
        <f t="shared" si="20"/>
        <v>23309002</v>
      </c>
      <c r="F153" s="104">
        <f t="shared" si="21"/>
        <v>0.11878444058600163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5249567</v>
      </c>
      <c r="D155" s="97">
        <v>6398011</v>
      </c>
      <c r="E155" s="97">
        <f t="shared" ref="E155:E166" si="22">D155-C155</f>
        <v>1148444</v>
      </c>
      <c r="F155" s="98">
        <f t="shared" ref="F155:F166" si="23">IF(C155=0,0,E155/C155)</f>
        <v>0.21876928135215723</v>
      </c>
    </row>
    <row r="156" spans="1:6" ht="18" customHeight="1" x14ac:dyDescent="0.25">
      <c r="A156" s="99">
        <v>2</v>
      </c>
      <c r="B156" s="100" t="s">
        <v>113</v>
      </c>
      <c r="C156" s="97">
        <v>1182478</v>
      </c>
      <c r="D156" s="97">
        <v>1118305</v>
      </c>
      <c r="E156" s="97">
        <f t="shared" si="22"/>
        <v>-64173</v>
      </c>
      <c r="F156" s="98">
        <f t="shared" si="23"/>
        <v>-5.4269931449041756E-2</v>
      </c>
    </row>
    <row r="157" spans="1:6" ht="18" customHeight="1" x14ac:dyDescent="0.25">
      <c r="A157" s="99">
        <v>3</v>
      </c>
      <c r="B157" s="100" t="s">
        <v>114</v>
      </c>
      <c r="C157" s="97">
        <v>2812437</v>
      </c>
      <c r="D157" s="97">
        <v>6986787</v>
      </c>
      <c r="E157" s="97">
        <f t="shared" si="22"/>
        <v>4174350</v>
      </c>
      <c r="F157" s="98">
        <f t="shared" si="23"/>
        <v>1.4842465804567355</v>
      </c>
    </row>
    <row r="158" spans="1:6" ht="18" customHeight="1" x14ac:dyDescent="0.25">
      <c r="A158" s="99">
        <v>4</v>
      </c>
      <c r="B158" s="100" t="s">
        <v>115</v>
      </c>
      <c r="C158" s="97">
        <v>9452187</v>
      </c>
      <c r="D158" s="97">
        <v>7050207</v>
      </c>
      <c r="E158" s="97">
        <f t="shared" si="22"/>
        <v>-2401980</v>
      </c>
      <c r="F158" s="98">
        <f t="shared" si="23"/>
        <v>-0.25411896738818224</v>
      </c>
    </row>
    <row r="159" spans="1:6" ht="18" customHeight="1" x14ac:dyDescent="0.25">
      <c r="A159" s="99">
        <v>5</v>
      </c>
      <c r="B159" s="100" t="s">
        <v>116</v>
      </c>
      <c r="C159" s="97">
        <v>201154</v>
      </c>
      <c r="D159" s="97">
        <v>165362</v>
      </c>
      <c r="E159" s="97">
        <f t="shared" si="22"/>
        <v>-35792</v>
      </c>
      <c r="F159" s="98">
        <f t="shared" si="23"/>
        <v>-0.17793332471638645</v>
      </c>
    </row>
    <row r="160" spans="1:6" ht="18" customHeight="1" x14ac:dyDescent="0.25">
      <c r="A160" s="99">
        <v>6</v>
      </c>
      <c r="B160" s="100" t="s">
        <v>117</v>
      </c>
      <c r="C160" s="97">
        <v>3146651</v>
      </c>
      <c r="D160" s="97">
        <v>2417475</v>
      </c>
      <c r="E160" s="97">
        <f t="shared" si="22"/>
        <v>-729176</v>
      </c>
      <c r="F160" s="98">
        <f t="shared" si="23"/>
        <v>-0.23173081476147181</v>
      </c>
    </row>
    <row r="161" spans="1:6" ht="18" customHeight="1" x14ac:dyDescent="0.25">
      <c r="A161" s="99">
        <v>7</v>
      </c>
      <c r="B161" s="100" t="s">
        <v>118</v>
      </c>
      <c r="C161" s="97">
        <v>26791476</v>
      </c>
      <c r="D161" s="97">
        <v>32565781</v>
      </c>
      <c r="E161" s="97">
        <f t="shared" si="22"/>
        <v>5774305</v>
      </c>
      <c r="F161" s="98">
        <f t="shared" si="23"/>
        <v>0.21552769246457343</v>
      </c>
    </row>
    <row r="162" spans="1:6" ht="18" customHeight="1" x14ac:dyDescent="0.25">
      <c r="A162" s="99">
        <v>8</v>
      </c>
      <c r="B162" s="100" t="s">
        <v>119</v>
      </c>
      <c r="C162" s="97">
        <v>1346491</v>
      </c>
      <c r="D162" s="97">
        <v>1264655</v>
      </c>
      <c r="E162" s="97">
        <f t="shared" si="22"/>
        <v>-81836</v>
      </c>
      <c r="F162" s="98">
        <f t="shared" si="23"/>
        <v>-6.0777235050215705E-2</v>
      </c>
    </row>
    <row r="163" spans="1:6" ht="18" customHeight="1" x14ac:dyDescent="0.25">
      <c r="A163" s="99">
        <v>9</v>
      </c>
      <c r="B163" s="100" t="s">
        <v>120</v>
      </c>
      <c r="C163" s="97">
        <v>3463222</v>
      </c>
      <c r="D163" s="97">
        <v>3151540</v>
      </c>
      <c r="E163" s="97">
        <f t="shared" si="22"/>
        <v>-311682</v>
      </c>
      <c r="F163" s="98">
        <f t="shared" si="23"/>
        <v>-8.9997695787333298E-2</v>
      </c>
    </row>
    <row r="164" spans="1:6" ht="18" customHeight="1" x14ac:dyDescent="0.25">
      <c r="A164" s="99">
        <v>10</v>
      </c>
      <c r="B164" s="100" t="s">
        <v>121</v>
      </c>
      <c r="C164" s="97">
        <v>2662694</v>
      </c>
      <c r="D164" s="97">
        <v>0</v>
      </c>
      <c r="E164" s="97">
        <f t="shared" si="22"/>
        <v>-2662694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56308357</v>
      </c>
      <c r="D166" s="103">
        <f>SUM(D155:D165)</f>
        <v>61118123</v>
      </c>
      <c r="E166" s="103">
        <f t="shared" si="22"/>
        <v>4809766</v>
      </c>
      <c r="F166" s="104">
        <f t="shared" si="23"/>
        <v>8.5418333196971105E-2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10111</v>
      </c>
      <c r="D168" s="117">
        <v>10143</v>
      </c>
      <c r="E168" s="117">
        <f t="shared" ref="E168:E179" si="24">D168-C168</f>
        <v>32</v>
      </c>
      <c r="F168" s="98">
        <f t="shared" ref="F168:F179" si="25">IF(C168=0,0,E168/C168)</f>
        <v>3.1648699436257542E-3</v>
      </c>
    </row>
    <row r="169" spans="1:6" ht="18" customHeight="1" x14ac:dyDescent="0.25">
      <c r="A169" s="99">
        <v>2</v>
      </c>
      <c r="B169" s="100" t="s">
        <v>113</v>
      </c>
      <c r="C169" s="117">
        <v>1853</v>
      </c>
      <c r="D169" s="117">
        <v>2021</v>
      </c>
      <c r="E169" s="117">
        <f t="shared" si="24"/>
        <v>168</v>
      </c>
      <c r="F169" s="98">
        <f t="shared" si="25"/>
        <v>9.0663788451160285E-2</v>
      </c>
    </row>
    <row r="170" spans="1:6" ht="18" customHeight="1" x14ac:dyDescent="0.25">
      <c r="A170" s="99">
        <v>3</v>
      </c>
      <c r="B170" s="100" t="s">
        <v>114</v>
      </c>
      <c r="C170" s="117">
        <v>6277</v>
      </c>
      <c r="D170" s="117">
        <v>15612</v>
      </c>
      <c r="E170" s="117">
        <f t="shared" si="24"/>
        <v>9335</v>
      </c>
      <c r="F170" s="98">
        <f t="shared" si="25"/>
        <v>1.4871754022622272</v>
      </c>
    </row>
    <row r="171" spans="1:6" ht="18" customHeight="1" x14ac:dyDescent="0.25">
      <c r="A171" s="99">
        <v>4</v>
      </c>
      <c r="B171" s="100" t="s">
        <v>115</v>
      </c>
      <c r="C171" s="117">
        <v>24514</v>
      </c>
      <c r="D171" s="117">
        <v>22242</v>
      </c>
      <c r="E171" s="117">
        <f t="shared" si="24"/>
        <v>-2272</v>
      </c>
      <c r="F171" s="98">
        <f t="shared" si="25"/>
        <v>-9.2681732887329685E-2</v>
      </c>
    </row>
    <row r="172" spans="1:6" ht="18" customHeight="1" x14ac:dyDescent="0.25">
      <c r="A172" s="99">
        <v>5</v>
      </c>
      <c r="B172" s="100" t="s">
        <v>116</v>
      </c>
      <c r="C172" s="117">
        <v>425</v>
      </c>
      <c r="D172" s="117">
        <v>331</v>
      </c>
      <c r="E172" s="117">
        <f t="shared" si="24"/>
        <v>-94</v>
      </c>
      <c r="F172" s="98">
        <f t="shared" si="25"/>
        <v>-0.22117647058823531</v>
      </c>
    </row>
    <row r="173" spans="1:6" ht="18" customHeight="1" x14ac:dyDescent="0.25">
      <c r="A173" s="99">
        <v>6</v>
      </c>
      <c r="B173" s="100" t="s">
        <v>117</v>
      </c>
      <c r="C173" s="117">
        <v>2205</v>
      </c>
      <c r="D173" s="117">
        <v>2188</v>
      </c>
      <c r="E173" s="117">
        <f t="shared" si="24"/>
        <v>-17</v>
      </c>
      <c r="F173" s="98">
        <f t="shared" si="25"/>
        <v>-7.7097505668934242E-3</v>
      </c>
    </row>
    <row r="174" spans="1:6" ht="18" customHeight="1" x14ac:dyDescent="0.25">
      <c r="A174" s="99">
        <v>7</v>
      </c>
      <c r="B174" s="100" t="s">
        <v>118</v>
      </c>
      <c r="C174" s="117">
        <v>28079</v>
      </c>
      <c r="D174" s="117">
        <v>28798</v>
      </c>
      <c r="E174" s="117">
        <f t="shared" si="24"/>
        <v>719</v>
      </c>
      <c r="F174" s="98">
        <f t="shared" si="25"/>
        <v>2.5606325011574487E-2</v>
      </c>
    </row>
    <row r="175" spans="1:6" ht="18" customHeight="1" x14ac:dyDescent="0.25">
      <c r="A175" s="99">
        <v>8</v>
      </c>
      <c r="B175" s="100" t="s">
        <v>119</v>
      </c>
      <c r="C175" s="117">
        <v>1128</v>
      </c>
      <c r="D175" s="117">
        <v>1069</v>
      </c>
      <c r="E175" s="117">
        <f t="shared" si="24"/>
        <v>-59</v>
      </c>
      <c r="F175" s="98">
        <f t="shared" si="25"/>
        <v>-5.2304964539007091E-2</v>
      </c>
    </row>
    <row r="176" spans="1:6" ht="18" customHeight="1" x14ac:dyDescent="0.25">
      <c r="A176" s="99">
        <v>9</v>
      </c>
      <c r="B176" s="100" t="s">
        <v>120</v>
      </c>
      <c r="C176" s="117">
        <v>10868</v>
      </c>
      <c r="D176" s="117">
        <v>9724</v>
      </c>
      <c r="E176" s="117">
        <f t="shared" si="24"/>
        <v>-1144</v>
      </c>
      <c r="F176" s="98">
        <f t="shared" si="25"/>
        <v>-0.10526315789473684</v>
      </c>
    </row>
    <row r="177" spans="1:6" ht="18" customHeight="1" x14ac:dyDescent="0.25">
      <c r="A177" s="99">
        <v>10</v>
      </c>
      <c r="B177" s="100" t="s">
        <v>121</v>
      </c>
      <c r="C177" s="117">
        <v>8119</v>
      </c>
      <c r="D177" s="117">
        <v>0</v>
      </c>
      <c r="E177" s="117">
        <f t="shared" si="24"/>
        <v>-8119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93579</v>
      </c>
      <c r="D179" s="118">
        <f>SUM(D168:D178)</f>
        <v>92128</v>
      </c>
      <c r="E179" s="118">
        <f t="shared" si="24"/>
        <v>-1451</v>
      </c>
      <c r="F179" s="104">
        <f t="shared" si="25"/>
        <v>-1.5505615576144221E-2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4" fitToHeight="0" orientation="portrait" horizontalDpi="1200" verticalDpi="1200" r:id="rId1"/>
  <headerFooter>
    <oddHeader>&amp;LOFFICE OF HEALTH CARE ACCESS&amp;CTWELVE MONTHS ACTUAL FILING&amp;RYALE-NEW HAVEN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192479000</v>
      </c>
      <c r="D15" s="146">
        <v>210845000</v>
      </c>
      <c r="E15" s="146">
        <f>+D15-C15</f>
        <v>18366000</v>
      </c>
      <c r="F15" s="150">
        <f>IF(C15=0,0,E15/C15)</f>
        <v>9.5418201466133973E-2</v>
      </c>
    </row>
    <row r="16" spans="1:7" ht="15" customHeight="1" x14ac:dyDescent="0.2">
      <c r="A16" s="141">
        <v>2</v>
      </c>
      <c r="B16" s="149" t="s">
        <v>158</v>
      </c>
      <c r="C16" s="146">
        <v>50936000</v>
      </c>
      <c r="D16" s="146">
        <v>50618000</v>
      </c>
      <c r="E16" s="146">
        <f>+D16-C16</f>
        <v>-318000</v>
      </c>
      <c r="F16" s="150">
        <f>IF(C16=0,0,E16/C16)</f>
        <v>-6.2431286320087957E-3</v>
      </c>
    </row>
    <row r="17" spans="1:7" ht="15" customHeight="1" x14ac:dyDescent="0.2">
      <c r="A17" s="141">
        <v>3</v>
      </c>
      <c r="B17" s="149" t="s">
        <v>159</v>
      </c>
      <c r="C17" s="146">
        <v>244860000</v>
      </c>
      <c r="D17" s="146">
        <v>275600000</v>
      </c>
      <c r="E17" s="146">
        <f>+D17-C17</f>
        <v>30740000</v>
      </c>
      <c r="F17" s="150">
        <f>IF(C17=0,0,E17/C17)</f>
        <v>0.12554112554112554</v>
      </c>
    </row>
    <row r="18" spans="1:7" ht="15.75" customHeight="1" x14ac:dyDescent="0.25">
      <c r="A18" s="141"/>
      <c r="B18" s="151" t="s">
        <v>160</v>
      </c>
      <c r="C18" s="147">
        <f>SUM(C15:C17)</f>
        <v>488275000</v>
      </c>
      <c r="D18" s="147">
        <f>SUM(D15:D17)</f>
        <v>537063000</v>
      </c>
      <c r="E18" s="147">
        <f>+D18-C18</f>
        <v>48788000</v>
      </c>
      <c r="F18" s="148">
        <f>IF(C18=0,0,E18/C18)</f>
        <v>9.9919102964517947E-2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54085000</v>
      </c>
      <c r="D21" s="146">
        <v>60165000</v>
      </c>
      <c r="E21" s="146">
        <f>+D21-C21</f>
        <v>6080000</v>
      </c>
      <c r="F21" s="150">
        <f>IF(C21=0,0,E21/C21)</f>
        <v>0.11241564204492928</v>
      </c>
    </row>
    <row r="22" spans="1:7" ht="15" customHeight="1" x14ac:dyDescent="0.2">
      <c r="A22" s="141">
        <v>2</v>
      </c>
      <c r="B22" s="149" t="s">
        <v>163</v>
      </c>
      <c r="C22" s="146">
        <v>14312000</v>
      </c>
      <c r="D22" s="146">
        <v>14444000</v>
      </c>
      <c r="E22" s="146">
        <f>+D22-C22</f>
        <v>132000</v>
      </c>
      <c r="F22" s="150">
        <f>IF(C22=0,0,E22/C22)</f>
        <v>9.2230296254891004E-3</v>
      </c>
    </row>
    <row r="23" spans="1:7" ht="15" customHeight="1" x14ac:dyDescent="0.2">
      <c r="A23" s="141">
        <v>3</v>
      </c>
      <c r="B23" s="149" t="s">
        <v>164</v>
      </c>
      <c r="C23" s="146">
        <v>68803000</v>
      </c>
      <c r="D23" s="146">
        <v>78642000</v>
      </c>
      <c r="E23" s="146">
        <f>+D23-C23</f>
        <v>9839000</v>
      </c>
      <c r="F23" s="150">
        <f>IF(C23=0,0,E23/C23)</f>
        <v>0.14300248535674318</v>
      </c>
    </row>
    <row r="24" spans="1:7" ht="15.75" customHeight="1" x14ac:dyDescent="0.25">
      <c r="A24" s="141"/>
      <c r="B24" s="151" t="s">
        <v>165</v>
      </c>
      <c r="C24" s="147">
        <f>SUM(C21:C23)</f>
        <v>137200000</v>
      </c>
      <c r="D24" s="147">
        <f>SUM(D21:D23)</f>
        <v>153251000</v>
      </c>
      <c r="E24" s="147">
        <f>+D24-C24</f>
        <v>16051000</v>
      </c>
      <c r="F24" s="148">
        <f>IF(C24=0,0,E24/C24)</f>
        <v>0.11698979591836735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3819000</v>
      </c>
      <c r="D27" s="146">
        <v>4917000</v>
      </c>
      <c r="E27" s="146">
        <f>+D27-C27</f>
        <v>1098000</v>
      </c>
      <c r="F27" s="150">
        <f>IF(C27=0,0,E27/C27)</f>
        <v>0.28750981932443048</v>
      </c>
    </row>
    <row r="28" spans="1:7" ht="15" customHeight="1" x14ac:dyDescent="0.2">
      <c r="A28" s="141">
        <v>2</v>
      </c>
      <c r="B28" s="149" t="s">
        <v>168</v>
      </c>
      <c r="C28" s="146">
        <v>70728000</v>
      </c>
      <c r="D28" s="146">
        <v>58800000</v>
      </c>
      <c r="E28" s="146">
        <f>+D28-C28</f>
        <v>-11928000</v>
      </c>
      <c r="F28" s="150">
        <f>IF(C28=0,0,E28/C28)</f>
        <v>-0.16864608076009502</v>
      </c>
    </row>
    <row r="29" spans="1:7" ht="15" customHeight="1" x14ac:dyDescent="0.2">
      <c r="A29" s="141">
        <v>3</v>
      </c>
      <c r="B29" s="149" t="s">
        <v>169</v>
      </c>
      <c r="C29" s="146">
        <v>12158000</v>
      </c>
      <c r="D29" s="146">
        <v>27352000</v>
      </c>
      <c r="E29" s="146">
        <f>+D29-C29</f>
        <v>15194000</v>
      </c>
      <c r="F29" s="150">
        <f>IF(C29=0,0,E29/C29)</f>
        <v>1.2497121237045568</v>
      </c>
    </row>
    <row r="30" spans="1:7" ht="15.75" customHeight="1" x14ac:dyDescent="0.25">
      <c r="A30" s="141"/>
      <c r="B30" s="151" t="s">
        <v>170</v>
      </c>
      <c r="C30" s="147">
        <f>SUM(C27:C29)</f>
        <v>86705000</v>
      </c>
      <c r="D30" s="147">
        <f>SUM(D27:D29)</f>
        <v>91069000</v>
      </c>
      <c r="E30" s="147">
        <f>+D30-C30</f>
        <v>4364000</v>
      </c>
      <c r="F30" s="148">
        <f>IF(C30=0,0,E30/C30)</f>
        <v>5.0331584107029585E-2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136210000</v>
      </c>
      <c r="D33" s="146">
        <v>148565000</v>
      </c>
      <c r="E33" s="146">
        <f>+D33-C33</f>
        <v>12355000</v>
      </c>
      <c r="F33" s="150">
        <f>IF(C33=0,0,E33/C33)</f>
        <v>9.070552822847075E-2</v>
      </c>
    </row>
    <row r="34" spans="1:7" ht="15" customHeight="1" x14ac:dyDescent="0.2">
      <c r="A34" s="141">
        <v>2</v>
      </c>
      <c r="B34" s="149" t="s">
        <v>174</v>
      </c>
      <c r="C34" s="146">
        <v>73121000</v>
      </c>
      <c r="D34" s="146">
        <v>79131000</v>
      </c>
      <c r="E34" s="146">
        <f>+D34-C34</f>
        <v>6010000</v>
      </c>
      <c r="F34" s="150">
        <f>IF(C34=0,0,E34/C34)</f>
        <v>8.2192530189685586E-2</v>
      </c>
    </row>
    <row r="35" spans="1:7" ht="15.75" customHeight="1" x14ac:dyDescent="0.25">
      <c r="A35" s="141"/>
      <c r="B35" s="151" t="s">
        <v>175</v>
      </c>
      <c r="C35" s="147">
        <f>SUM(C33:C34)</f>
        <v>209331000</v>
      </c>
      <c r="D35" s="147">
        <f>SUM(D33:D34)</f>
        <v>227696000</v>
      </c>
      <c r="E35" s="147">
        <f>+D35-C35</f>
        <v>18365000</v>
      </c>
      <c r="F35" s="148">
        <f>IF(C35=0,0,E35/C35)</f>
        <v>8.7731869622750577E-2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22945000</v>
      </c>
      <c r="D38" s="146">
        <v>26344000</v>
      </c>
      <c r="E38" s="146">
        <f>+D38-C38</f>
        <v>3399000</v>
      </c>
      <c r="F38" s="150">
        <f>IF(C38=0,0,E38/C38)</f>
        <v>0.14813684898670734</v>
      </c>
    </row>
    <row r="39" spans="1:7" ht="15" customHeight="1" x14ac:dyDescent="0.2">
      <c r="A39" s="141">
        <v>2</v>
      </c>
      <c r="B39" s="149" t="s">
        <v>179</v>
      </c>
      <c r="C39" s="146">
        <v>28715000</v>
      </c>
      <c r="D39" s="146">
        <v>41604000</v>
      </c>
      <c r="E39" s="146">
        <f>+D39-C39</f>
        <v>12889000</v>
      </c>
      <c r="F39" s="150">
        <f>IF(C39=0,0,E39/C39)</f>
        <v>0.44885948110743512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51660000</v>
      </c>
      <c r="D41" s="147">
        <f>SUM(D38:D40)</f>
        <v>67948000</v>
      </c>
      <c r="E41" s="147">
        <f>+D41-C41</f>
        <v>16288000</v>
      </c>
      <c r="F41" s="148">
        <f>IF(C41=0,0,E41/C41)</f>
        <v>0.31529229578010065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27440000</v>
      </c>
      <c r="D44" s="146">
        <v>26390000</v>
      </c>
      <c r="E44" s="146">
        <f>+D44-C44</f>
        <v>-1050000</v>
      </c>
      <c r="F44" s="150">
        <f>IF(C44=0,0,E44/C44)</f>
        <v>-3.826530612244898E-2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12306000</v>
      </c>
      <c r="D47" s="146">
        <v>16867000</v>
      </c>
      <c r="E47" s="146">
        <f>+D47-C47</f>
        <v>4561000</v>
      </c>
      <c r="F47" s="150">
        <f>IF(C47=0,0,E47/C47)</f>
        <v>0.37063221192914025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16754000</v>
      </c>
      <c r="D50" s="146">
        <v>13376000</v>
      </c>
      <c r="E50" s="146">
        <f>+D50-C50</f>
        <v>-3378000</v>
      </c>
      <c r="F50" s="150">
        <f>IF(C50=0,0,E50/C50)</f>
        <v>-0.20162349289721856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872000</v>
      </c>
      <c r="D53" s="146">
        <v>815000</v>
      </c>
      <c r="E53" s="146">
        <f t="shared" ref="E53:E59" si="0">+D53-C53</f>
        <v>-57000</v>
      </c>
      <c r="F53" s="150">
        <f t="shared" ref="F53:F59" si="1">IF(C53=0,0,E53/C53)</f>
        <v>-6.5366972477064217E-2</v>
      </c>
    </row>
    <row r="54" spans="1:7" ht="15" customHeight="1" x14ac:dyDescent="0.2">
      <c r="A54" s="141">
        <v>2</v>
      </c>
      <c r="B54" s="149" t="s">
        <v>193</v>
      </c>
      <c r="C54" s="146">
        <v>370000</v>
      </c>
      <c r="D54" s="146">
        <v>555000</v>
      </c>
      <c r="E54" s="146">
        <f t="shared" si="0"/>
        <v>185000</v>
      </c>
      <c r="F54" s="150">
        <f t="shared" si="1"/>
        <v>0.5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13928000</v>
      </c>
      <c r="D56" s="146">
        <v>14281000</v>
      </c>
      <c r="E56" s="146">
        <f t="shared" si="0"/>
        <v>353000</v>
      </c>
      <c r="F56" s="150">
        <f t="shared" si="1"/>
        <v>2.5344629523262493E-2</v>
      </c>
    </row>
    <row r="57" spans="1:7" ht="15" customHeight="1" x14ac:dyDescent="0.2">
      <c r="A57" s="141">
        <v>5</v>
      </c>
      <c r="B57" s="149" t="s">
        <v>196</v>
      </c>
      <c r="C57" s="146">
        <v>8836000</v>
      </c>
      <c r="D57" s="146">
        <v>7469000</v>
      </c>
      <c r="E57" s="146">
        <f t="shared" si="0"/>
        <v>-1367000</v>
      </c>
      <c r="F57" s="150">
        <f t="shared" si="1"/>
        <v>-0.15470801267541875</v>
      </c>
    </row>
    <row r="58" spans="1:7" ht="15" customHeight="1" x14ac:dyDescent="0.2">
      <c r="A58" s="141">
        <v>6</v>
      </c>
      <c r="B58" s="149" t="s">
        <v>197</v>
      </c>
      <c r="C58" s="146">
        <v>806000</v>
      </c>
      <c r="D58" s="146">
        <v>992000</v>
      </c>
      <c r="E58" s="146">
        <f t="shared" si="0"/>
        <v>186000</v>
      </c>
      <c r="F58" s="150">
        <f t="shared" si="1"/>
        <v>0.23076923076923078</v>
      </c>
    </row>
    <row r="59" spans="1:7" ht="15.75" customHeight="1" x14ac:dyDescent="0.25">
      <c r="A59" s="141"/>
      <c r="B59" s="151" t="s">
        <v>198</v>
      </c>
      <c r="C59" s="147">
        <f>SUM(C53:C58)</f>
        <v>24812000</v>
      </c>
      <c r="D59" s="147">
        <f>SUM(D53:D58)</f>
        <v>24112000</v>
      </c>
      <c r="E59" s="147">
        <f t="shared" si="0"/>
        <v>-700000</v>
      </c>
      <c r="F59" s="148">
        <f t="shared" si="1"/>
        <v>-2.8212155408673223E-2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825000</v>
      </c>
      <c r="D62" s="146">
        <v>622000</v>
      </c>
      <c r="E62" s="146">
        <f t="shared" ref="E62:E78" si="2">+D62-C62</f>
        <v>-203000</v>
      </c>
      <c r="F62" s="150">
        <f t="shared" ref="F62:F78" si="3">IF(C62=0,0,E62/C62)</f>
        <v>-0.24606060606060606</v>
      </c>
    </row>
    <row r="63" spans="1:7" ht="15" customHeight="1" x14ac:dyDescent="0.2">
      <c r="A63" s="141">
        <v>2</v>
      </c>
      <c r="B63" s="149" t="s">
        <v>202</v>
      </c>
      <c r="C63" s="146">
        <v>995000</v>
      </c>
      <c r="D63" s="146">
        <v>2260000</v>
      </c>
      <c r="E63" s="146">
        <f t="shared" si="2"/>
        <v>1265000</v>
      </c>
      <c r="F63" s="150">
        <f t="shared" si="3"/>
        <v>1.2713567839195981</v>
      </c>
    </row>
    <row r="64" spans="1:7" ht="15" customHeight="1" x14ac:dyDescent="0.2">
      <c r="A64" s="141">
        <v>3</v>
      </c>
      <c r="B64" s="149" t="s">
        <v>203</v>
      </c>
      <c r="C64" s="146">
        <v>628000</v>
      </c>
      <c r="D64" s="146">
        <v>505000</v>
      </c>
      <c r="E64" s="146">
        <f t="shared" si="2"/>
        <v>-123000</v>
      </c>
      <c r="F64" s="150">
        <f t="shared" si="3"/>
        <v>-0.19585987261146498</v>
      </c>
    </row>
    <row r="65" spans="1:7" ht="15" customHeight="1" x14ac:dyDescent="0.2">
      <c r="A65" s="141">
        <v>4</v>
      </c>
      <c r="B65" s="149" t="s">
        <v>204</v>
      </c>
      <c r="C65" s="146">
        <v>1752000</v>
      </c>
      <c r="D65" s="146">
        <v>2228000</v>
      </c>
      <c r="E65" s="146">
        <f t="shared" si="2"/>
        <v>476000</v>
      </c>
      <c r="F65" s="150">
        <f t="shared" si="3"/>
        <v>0.27168949771689499</v>
      </c>
    </row>
    <row r="66" spans="1:7" ht="15" customHeight="1" x14ac:dyDescent="0.2">
      <c r="A66" s="141">
        <v>5</v>
      </c>
      <c r="B66" s="149" t="s">
        <v>205</v>
      </c>
      <c r="C66" s="146">
        <v>2203000</v>
      </c>
      <c r="D66" s="146">
        <v>2785000</v>
      </c>
      <c r="E66" s="146">
        <f t="shared" si="2"/>
        <v>582000</v>
      </c>
      <c r="F66" s="150">
        <f t="shared" si="3"/>
        <v>0.26418520199727646</v>
      </c>
    </row>
    <row r="67" spans="1:7" ht="15" customHeight="1" x14ac:dyDescent="0.2">
      <c r="A67" s="141">
        <v>6</v>
      </c>
      <c r="B67" s="149" t="s">
        <v>206</v>
      </c>
      <c r="C67" s="146">
        <v>9648000</v>
      </c>
      <c r="D67" s="146">
        <v>9140000</v>
      </c>
      <c r="E67" s="146">
        <f t="shared" si="2"/>
        <v>-508000</v>
      </c>
      <c r="F67" s="150">
        <f t="shared" si="3"/>
        <v>-5.2653399668325045E-2</v>
      </c>
    </row>
    <row r="68" spans="1:7" ht="15" customHeight="1" x14ac:dyDescent="0.2">
      <c r="A68" s="141">
        <v>7</v>
      </c>
      <c r="B68" s="149" t="s">
        <v>207</v>
      </c>
      <c r="C68" s="146">
        <v>18981000</v>
      </c>
      <c r="D68" s="146">
        <v>22036000</v>
      </c>
      <c r="E68" s="146">
        <f t="shared" si="2"/>
        <v>3055000</v>
      </c>
      <c r="F68" s="150">
        <f t="shared" si="3"/>
        <v>0.16095042410831883</v>
      </c>
    </row>
    <row r="69" spans="1:7" ht="15" customHeight="1" x14ac:dyDescent="0.2">
      <c r="A69" s="141">
        <v>8</v>
      </c>
      <c r="B69" s="149" t="s">
        <v>208</v>
      </c>
      <c r="C69" s="146">
        <v>0</v>
      </c>
      <c r="D69" s="146">
        <v>0</v>
      </c>
      <c r="E69" s="146">
        <f t="shared" si="2"/>
        <v>0</v>
      </c>
      <c r="F69" s="150">
        <f t="shared" si="3"/>
        <v>0</v>
      </c>
    </row>
    <row r="70" spans="1:7" ht="15" customHeight="1" x14ac:dyDescent="0.2">
      <c r="A70" s="141">
        <v>9</v>
      </c>
      <c r="B70" s="149" t="s">
        <v>209</v>
      </c>
      <c r="C70" s="146">
        <v>32000</v>
      </c>
      <c r="D70" s="146">
        <v>23000</v>
      </c>
      <c r="E70" s="146">
        <f t="shared" si="2"/>
        <v>-9000</v>
      </c>
      <c r="F70" s="150">
        <f t="shared" si="3"/>
        <v>-0.28125</v>
      </c>
    </row>
    <row r="71" spans="1:7" ht="15" customHeight="1" x14ac:dyDescent="0.2">
      <c r="A71" s="141">
        <v>10</v>
      </c>
      <c r="B71" s="149" t="s">
        <v>210</v>
      </c>
      <c r="C71" s="146">
        <v>1774000</v>
      </c>
      <c r="D71" s="146">
        <v>2055000</v>
      </c>
      <c r="E71" s="146">
        <f t="shared" si="2"/>
        <v>281000</v>
      </c>
      <c r="F71" s="150">
        <f t="shared" si="3"/>
        <v>0.15839909808342728</v>
      </c>
    </row>
    <row r="72" spans="1:7" ht="15" customHeight="1" x14ac:dyDescent="0.2">
      <c r="A72" s="141">
        <v>11</v>
      </c>
      <c r="B72" s="149" t="s">
        <v>211</v>
      </c>
      <c r="C72" s="146">
        <v>17000</v>
      </c>
      <c r="D72" s="146">
        <v>0</v>
      </c>
      <c r="E72" s="146">
        <f t="shared" si="2"/>
        <v>-17000</v>
      </c>
      <c r="F72" s="150">
        <f t="shared" si="3"/>
        <v>-1</v>
      </c>
    </row>
    <row r="73" spans="1:7" ht="15" customHeight="1" x14ac:dyDescent="0.2">
      <c r="A73" s="141">
        <v>12</v>
      </c>
      <c r="B73" s="149" t="s">
        <v>212</v>
      </c>
      <c r="C73" s="146">
        <v>13830000</v>
      </c>
      <c r="D73" s="146">
        <v>15965000</v>
      </c>
      <c r="E73" s="146">
        <f t="shared" si="2"/>
        <v>2135000</v>
      </c>
      <c r="F73" s="150">
        <f t="shared" si="3"/>
        <v>0.15437454808387563</v>
      </c>
    </row>
    <row r="74" spans="1:7" ht="15" customHeight="1" x14ac:dyDescent="0.2">
      <c r="A74" s="141">
        <v>13</v>
      </c>
      <c r="B74" s="149" t="s">
        <v>213</v>
      </c>
      <c r="C74" s="146">
        <v>1250000</v>
      </c>
      <c r="D74" s="146">
        <v>1176000</v>
      </c>
      <c r="E74" s="146">
        <f t="shared" si="2"/>
        <v>-74000</v>
      </c>
      <c r="F74" s="150">
        <f t="shared" si="3"/>
        <v>-5.9200000000000003E-2</v>
      </c>
    </row>
    <row r="75" spans="1:7" ht="15" customHeight="1" x14ac:dyDescent="0.2">
      <c r="A75" s="141">
        <v>14</v>
      </c>
      <c r="B75" s="149" t="s">
        <v>214</v>
      </c>
      <c r="C75" s="146">
        <v>533000</v>
      </c>
      <c r="D75" s="146">
        <v>589000</v>
      </c>
      <c r="E75" s="146">
        <f t="shared" si="2"/>
        <v>56000</v>
      </c>
      <c r="F75" s="150">
        <f t="shared" si="3"/>
        <v>0.1050656660412758</v>
      </c>
    </row>
    <row r="76" spans="1:7" ht="15" customHeight="1" x14ac:dyDescent="0.2">
      <c r="A76" s="141">
        <v>15</v>
      </c>
      <c r="B76" s="149" t="s">
        <v>215</v>
      </c>
      <c r="C76" s="146">
        <v>1446000</v>
      </c>
      <c r="D76" s="146">
        <v>639000</v>
      </c>
      <c r="E76" s="146">
        <f t="shared" si="2"/>
        <v>-807000</v>
      </c>
      <c r="F76" s="150">
        <f t="shared" si="3"/>
        <v>-0.55809128630705396</v>
      </c>
    </row>
    <row r="77" spans="1:7" ht="15" customHeight="1" x14ac:dyDescent="0.2">
      <c r="A77" s="141">
        <v>16</v>
      </c>
      <c r="B77" s="149" t="s">
        <v>216</v>
      </c>
      <c r="C77" s="146">
        <v>189539000</v>
      </c>
      <c r="D77" s="146">
        <v>218012000</v>
      </c>
      <c r="E77" s="146">
        <f t="shared" si="2"/>
        <v>28473000</v>
      </c>
      <c r="F77" s="150">
        <f t="shared" si="3"/>
        <v>0.15022238167342869</v>
      </c>
    </row>
    <row r="78" spans="1:7" ht="15.75" customHeight="1" x14ac:dyDescent="0.25">
      <c r="A78" s="141"/>
      <c r="B78" s="151" t="s">
        <v>217</v>
      </c>
      <c r="C78" s="147">
        <f>SUM(C62:C77)</f>
        <v>243453000</v>
      </c>
      <c r="D78" s="147">
        <f>SUM(D62:D77)</f>
        <v>278035000</v>
      </c>
      <c r="E78" s="147">
        <f t="shared" si="2"/>
        <v>34582000</v>
      </c>
      <c r="F78" s="148">
        <f t="shared" si="3"/>
        <v>0.14204795176070945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1297936000</v>
      </c>
      <c r="D83" s="147">
        <f>+D81+D78+D59+D50+D47+D44+D41+D35+D30+D24+D18</f>
        <v>1435807000</v>
      </c>
      <c r="E83" s="147">
        <f>+D83-C83</f>
        <v>137871000</v>
      </c>
      <c r="F83" s="148">
        <f>IF(C83=0,0,E83/C83)</f>
        <v>0.10622326524574401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53823489</v>
      </c>
      <c r="D91" s="146">
        <v>46683880</v>
      </c>
      <c r="E91" s="146">
        <f t="shared" ref="E91:E109" si="4">D91-C91</f>
        <v>-7139609</v>
      </c>
      <c r="F91" s="150">
        <f t="shared" ref="F91:F109" si="5">IF(C91=0,0,E91/C91)</f>
        <v>-0.13264857281920167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4755040</v>
      </c>
      <c r="D92" s="146">
        <v>5170448</v>
      </c>
      <c r="E92" s="146">
        <f t="shared" si="4"/>
        <v>415408</v>
      </c>
      <c r="F92" s="150">
        <f t="shared" si="5"/>
        <v>8.7361620512130284E-2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15583502</v>
      </c>
      <c r="D93" s="146">
        <v>17092847</v>
      </c>
      <c r="E93" s="146">
        <f t="shared" si="4"/>
        <v>1509345</v>
      </c>
      <c r="F93" s="150">
        <f t="shared" si="5"/>
        <v>9.6855315320009586E-2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7883525</v>
      </c>
      <c r="D94" s="146">
        <v>9394792</v>
      </c>
      <c r="E94" s="146">
        <f t="shared" si="4"/>
        <v>1511267</v>
      </c>
      <c r="F94" s="150">
        <f t="shared" si="5"/>
        <v>0.19169939842900224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0</v>
      </c>
      <c r="D95" s="146">
        <v>0</v>
      </c>
      <c r="E95" s="146">
        <f t="shared" si="4"/>
        <v>0</v>
      </c>
      <c r="F95" s="150">
        <f t="shared" si="5"/>
        <v>0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5441796</v>
      </c>
      <c r="D96" s="146">
        <v>4141542</v>
      </c>
      <c r="E96" s="146">
        <f t="shared" si="4"/>
        <v>-1300254</v>
      </c>
      <c r="F96" s="150">
        <f t="shared" si="5"/>
        <v>-0.23893839460354632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4471815</v>
      </c>
      <c r="D97" s="146">
        <v>4628400</v>
      </c>
      <c r="E97" s="146">
        <f t="shared" si="4"/>
        <v>156585</v>
      </c>
      <c r="F97" s="150">
        <f t="shared" si="5"/>
        <v>3.5015983442964436E-2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914045</v>
      </c>
      <c r="D98" s="146">
        <v>1156680</v>
      </c>
      <c r="E98" s="146">
        <f t="shared" si="4"/>
        <v>242635</v>
      </c>
      <c r="F98" s="150">
        <f t="shared" si="5"/>
        <v>0.26545191976325017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1591100</v>
      </c>
      <c r="D99" s="146">
        <v>1788819</v>
      </c>
      <c r="E99" s="146">
        <f t="shared" si="4"/>
        <v>197719</v>
      </c>
      <c r="F99" s="150">
        <f t="shared" si="5"/>
        <v>0.12426560241342467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17151966</v>
      </c>
      <c r="D100" s="146">
        <v>18890156</v>
      </c>
      <c r="E100" s="146">
        <f t="shared" si="4"/>
        <v>1738190</v>
      </c>
      <c r="F100" s="150">
        <f t="shared" si="5"/>
        <v>0.10134056935513981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15192209</v>
      </c>
      <c r="D101" s="146">
        <v>17991331</v>
      </c>
      <c r="E101" s="146">
        <f t="shared" si="4"/>
        <v>2799122</v>
      </c>
      <c r="F101" s="150">
        <f t="shared" si="5"/>
        <v>0.18424720197043104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30134</v>
      </c>
      <c r="D102" s="146">
        <v>172650</v>
      </c>
      <c r="E102" s="146">
        <f t="shared" si="4"/>
        <v>142516</v>
      </c>
      <c r="F102" s="150">
        <f t="shared" si="5"/>
        <v>4.7294086414017391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18259750</v>
      </c>
      <c r="D103" s="146">
        <v>18102291</v>
      </c>
      <c r="E103" s="146">
        <f t="shared" si="4"/>
        <v>-157459</v>
      </c>
      <c r="F103" s="150">
        <f t="shared" si="5"/>
        <v>-8.6232834513068363E-3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6199398</v>
      </c>
      <c r="D104" s="146">
        <v>6790756</v>
      </c>
      <c r="E104" s="146">
        <f t="shared" si="4"/>
        <v>591358</v>
      </c>
      <c r="F104" s="150">
        <f t="shared" si="5"/>
        <v>9.5389584601601643E-2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11620349</v>
      </c>
      <c r="D105" s="146">
        <v>13557650</v>
      </c>
      <c r="E105" s="146">
        <f t="shared" si="4"/>
        <v>1937301</v>
      </c>
      <c r="F105" s="150">
        <f t="shared" si="5"/>
        <v>0.16671624922797068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3411793</v>
      </c>
      <c r="D106" s="146">
        <v>6329698</v>
      </c>
      <c r="E106" s="146">
        <f t="shared" si="4"/>
        <v>2917905</v>
      </c>
      <c r="F106" s="150">
        <f t="shared" si="5"/>
        <v>0.85524092463991808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31878196</v>
      </c>
      <c r="D107" s="146">
        <v>34072892</v>
      </c>
      <c r="E107" s="146">
        <f t="shared" si="4"/>
        <v>2194696</v>
      </c>
      <c r="F107" s="150">
        <f t="shared" si="5"/>
        <v>6.8846304853637269E-2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334520791</v>
      </c>
      <c r="D108" s="146">
        <v>392289903</v>
      </c>
      <c r="E108" s="146">
        <f t="shared" si="4"/>
        <v>57769112</v>
      </c>
      <c r="F108" s="150">
        <f t="shared" si="5"/>
        <v>0.17269214217540219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532728898</v>
      </c>
      <c r="D109" s="147">
        <f>SUM(D91:D108)</f>
        <v>598254735</v>
      </c>
      <c r="E109" s="147">
        <f t="shared" si="4"/>
        <v>65525837</v>
      </c>
      <c r="F109" s="148">
        <f t="shared" si="5"/>
        <v>0.12300034266209452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22719257</v>
      </c>
      <c r="D112" s="146">
        <v>26206137</v>
      </c>
      <c r="E112" s="146">
        <f t="shared" ref="E112:E118" si="6">D112-C112</f>
        <v>3486880</v>
      </c>
      <c r="F112" s="150">
        <f t="shared" ref="F112:F118" si="7">IF(C112=0,0,E112/C112)</f>
        <v>0.15347685005720038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45632006</v>
      </c>
      <c r="D113" s="146">
        <v>48335580</v>
      </c>
      <c r="E113" s="146">
        <f t="shared" si="6"/>
        <v>2703574</v>
      </c>
      <c r="F113" s="150">
        <f t="shared" si="7"/>
        <v>5.9247318647354663E-2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10836632</v>
      </c>
      <c r="D114" s="146">
        <v>12891102</v>
      </c>
      <c r="E114" s="146">
        <f t="shared" si="6"/>
        <v>2054470</v>
      </c>
      <c r="F114" s="150">
        <f t="shared" si="7"/>
        <v>0.1895856572411059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7082376</v>
      </c>
      <c r="D115" s="146">
        <v>7541448</v>
      </c>
      <c r="E115" s="146">
        <f t="shared" si="6"/>
        <v>459072</v>
      </c>
      <c r="F115" s="150">
        <f t="shared" si="7"/>
        <v>6.4818925174263547E-2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2497298</v>
      </c>
      <c r="D116" s="146">
        <v>2694815</v>
      </c>
      <c r="E116" s="146">
        <f t="shared" si="6"/>
        <v>197517</v>
      </c>
      <c r="F116" s="150">
        <f t="shared" si="7"/>
        <v>7.9092282939400904E-2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88767569</v>
      </c>
      <c r="D118" s="147">
        <f>SUM(D112:D117)</f>
        <v>97669082</v>
      </c>
      <c r="E118" s="147">
        <f t="shared" si="6"/>
        <v>8901513</v>
      </c>
      <c r="F118" s="148">
        <f t="shared" si="7"/>
        <v>0.10027888676325021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69632265</v>
      </c>
      <c r="D121" s="146">
        <v>82905135</v>
      </c>
      <c r="E121" s="146">
        <f t="shared" ref="E121:E155" si="8">D121-C121</f>
        <v>13272870</v>
      </c>
      <c r="F121" s="150">
        <f t="shared" ref="F121:F155" si="9">IF(C121=0,0,E121/C121)</f>
        <v>0.19061379089133465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5736603</v>
      </c>
      <c r="D122" s="146">
        <v>6292847</v>
      </c>
      <c r="E122" s="146">
        <f t="shared" si="8"/>
        <v>556244</v>
      </c>
      <c r="F122" s="150">
        <f t="shared" si="9"/>
        <v>9.6964004655716987E-2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20390950</v>
      </c>
      <c r="D123" s="146">
        <v>16595179</v>
      </c>
      <c r="E123" s="146">
        <f t="shared" si="8"/>
        <v>-3795771</v>
      </c>
      <c r="F123" s="150">
        <f t="shared" si="9"/>
        <v>-0.1861497870378771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7413522</v>
      </c>
      <c r="D124" s="146">
        <v>8723974</v>
      </c>
      <c r="E124" s="146">
        <f t="shared" si="8"/>
        <v>1310452</v>
      </c>
      <c r="F124" s="150">
        <f t="shared" si="9"/>
        <v>0.17676510570819107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64574357</v>
      </c>
      <c r="D125" s="146">
        <v>31413856</v>
      </c>
      <c r="E125" s="146">
        <f t="shared" si="8"/>
        <v>-33160501</v>
      </c>
      <c r="F125" s="150">
        <f t="shared" si="9"/>
        <v>-0.51352429262284405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2461753</v>
      </c>
      <c r="D126" s="146">
        <v>4350695</v>
      </c>
      <c r="E126" s="146">
        <f t="shared" si="8"/>
        <v>1888942</v>
      </c>
      <c r="F126" s="150">
        <f t="shared" si="9"/>
        <v>0.76731581113133607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9513801</v>
      </c>
      <c r="D127" s="146">
        <v>10534404</v>
      </c>
      <c r="E127" s="146">
        <f t="shared" si="8"/>
        <v>1020603</v>
      </c>
      <c r="F127" s="150">
        <f t="shared" si="9"/>
        <v>0.10727605086547427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5490340</v>
      </c>
      <c r="D128" s="146">
        <v>31212629</v>
      </c>
      <c r="E128" s="146">
        <f t="shared" si="8"/>
        <v>25722289</v>
      </c>
      <c r="F128" s="150">
        <f t="shared" si="9"/>
        <v>4.6850083965656042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3388345</v>
      </c>
      <c r="D129" s="146">
        <v>4208293</v>
      </c>
      <c r="E129" s="146">
        <f t="shared" si="8"/>
        <v>819948</v>
      </c>
      <c r="F129" s="150">
        <f t="shared" si="9"/>
        <v>0.24199070637730219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47440091</v>
      </c>
      <c r="D130" s="146">
        <v>50431510</v>
      </c>
      <c r="E130" s="146">
        <f t="shared" si="8"/>
        <v>2991419</v>
      </c>
      <c r="F130" s="150">
        <f t="shared" si="9"/>
        <v>6.3056771961082447E-2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17381761</v>
      </c>
      <c r="D131" s="146">
        <v>17219593</v>
      </c>
      <c r="E131" s="146">
        <f t="shared" si="8"/>
        <v>-162168</v>
      </c>
      <c r="F131" s="150">
        <f t="shared" si="9"/>
        <v>-9.329779646607729E-3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172847</v>
      </c>
      <c r="D133" s="146">
        <v>12064264</v>
      </c>
      <c r="E133" s="146">
        <f t="shared" si="8"/>
        <v>11891417</v>
      </c>
      <c r="F133" s="150">
        <f t="shared" si="9"/>
        <v>68.797358357391218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273515</v>
      </c>
      <c r="D134" s="146">
        <v>3038260</v>
      </c>
      <c r="E134" s="146">
        <f t="shared" si="8"/>
        <v>2764745</v>
      </c>
      <c r="F134" s="150">
        <f t="shared" si="9"/>
        <v>10.108202475184177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10676700</v>
      </c>
      <c r="D138" s="146">
        <v>12310526</v>
      </c>
      <c r="E138" s="146">
        <f t="shared" si="8"/>
        <v>1633826</v>
      </c>
      <c r="F138" s="150">
        <f t="shared" si="9"/>
        <v>0.15302724624649938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5658512</v>
      </c>
      <c r="D142" s="146">
        <v>2960528</v>
      </c>
      <c r="E142" s="146">
        <f t="shared" si="8"/>
        <v>-2697984</v>
      </c>
      <c r="F142" s="150">
        <f t="shared" si="9"/>
        <v>-0.47680096816972378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3018253</v>
      </c>
      <c r="D143" s="146">
        <v>2828217</v>
      </c>
      <c r="E143" s="146">
        <f t="shared" si="8"/>
        <v>-190036</v>
      </c>
      <c r="F143" s="150">
        <f t="shared" si="9"/>
        <v>-6.2962250016814367E-2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38708830</v>
      </c>
      <c r="D144" s="146">
        <v>43851104</v>
      </c>
      <c r="E144" s="146">
        <f t="shared" si="8"/>
        <v>5142274</v>
      </c>
      <c r="F144" s="150">
        <f t="shared" si="9"/>
        <v>0.13284498653149682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4246746</v>
      </c>
      <c r="D145" s="146">
        <v>5066627</v>
      </c>
      <c r="E145" s="146">
        <f t="shared" si="8"/>
        <v>819881</v>
      </c>
      <c r="F145" s="150">
        <f t="shared" si="9"/>
        <v>0.19306099305209212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2398882</v>
      </c>
      <c r="D148" s="146">
        <v>2587841</v>
      </c>
      <c r="E148" s="146">
        <f t="shared" si="8"/>
        <v>188959</v>
      </c>
      <c r="F148" s="150">
        <f t="shared" si="9"/>
        <v>7.8769610176740668E-2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97504</v>
      </c>
      <c r="D150" s="146">
        <v>81457</v>
      </c>
      <c r="E150" s="146">
        <f t="shared" si="8"/>
        <v>-16047</v>
      </c>
      <c r="F150" s="150">
        <f t="shared" si="9"/>
        <v>-0.1645778634722678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2843389</v>
      </c>
      <c r="D151" s="146">
        <v>3134089</v>
      </c>
      <c r="E151" s="146">
        <f t="shared" si="8"/>
        <v>290700</v>
      </c>
      <c r="F151" s="150">
        <f t="shared" si="9"/>
        <v>0.10223715432534908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4015412</v>
      </c>
      <c r="D152" s="146">
        <v>4541890</v>
      </c>
      <c r="E152" s="146">
        <f t="shared" si="8"/>
        <v>526478</v>
      </c>
      <c r="F152" s="150">
        <f t="shared" si="9"/>
        <v>0.13111431653837763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1928640</v>
      </c>
      <c r="D153" s="146">
        <v>2371523</v>
      </c>
      <c r="E153" s="146">
        <f t="shared" si="8"/>
        <v>442883</v>
      </c>
      <c r="F153" s="150">
        <f t="shared" si="9"/>
        <v>0.22963487224157955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3723168</v>
      </c>
      <c r="D154" s="146">
        <v>5402917</v>
      </c>
      <c r="E154" s="146">
        <f t="shared" si="8"/>
        <v>1679749</v>
      </c>
      <c r="F154" s="150">
        <f t="shared" si="9"/>
        <v>0.45116121539506143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331186186</v>
      </c>
      <c r="D155" s="147">
        <f>SUM(D121:D154)</f>
        <v>364127358</v>
      </c>
      <c r="E155" s="147">
        <f t="shared" si="8"/>
        <v>32941172</v>
      </c>
      <c r="F155" s="148">
        <f t="shared" si="9"/>
        <v>9.946420893291727E-2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109939065</v>
      </c>
      <c r="D158" s="146">
        <v>118103763</v>
      </c>
      <c r="E158" s="146">
        <f t="shared" ref="E158:E171" si="10">D158-C158</f>
        <v>8164698</v>
      </c>
      <c r="F158" s="150">
        <f t="shared" ref="F158:F171" si="11">IF(C158=0,0,E158/C158)</f>
        <v>7.4265667076575559E-2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38952388</v>
      </c>
      <c r="D159" s="146">
        <v>46278268</v>
      </c>
      <c r="E159" s="146">
        <f t="shared" si="10"/>
        <v>7325880</v>
      </c>
      <c r="F159" s="150">
        <f t="shared" si="11"/>
        <v>0.18807267990861049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5189086</v>
      </c>
      <c r="D160" s="146">
        <v>5469859</v>
      </c>
      <c r="E160" s="146">
        <f t="shared" si="10"/>
        <v>280773</v>
      </c>
      <c r="F160" s="150">
        <f t="shared" si="11"/>
        <v>5.4108372842539131E-2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12654635</v>
      </c>
      <c r="D161" s="146">
        <v>16504533</v>
      </c>
      <c r="E161" s="146">
        <f t="shared" si="10"/>
        <v>3849898</v>
      </c>
      <c r="F161" s="150">
        <f t="shared" si="11"/>
        <v>0.30422829263744072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12011131</v>
      </c>
      <c r="D162" s="146">
        <v>9285483</v>
      </c>
      <c r="E162" s="146">
        <f t="shared" si="10"/>
        <v>-2725648</v>
      </c>
      <c r="F162" s="150">
        <f t="shared" si="11"/>
        <v>-0.22692683977886846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5571054</v>
      </c>
      <c r="D163" s="146">
        <v>6078359</v>
      </c>
      <c r="E163" s="146">
        <f t="shared" si="10"/>
        <v>507305</v>
      </c>
      <c r="F163" s="150">
        <f t="shared" si="11"/>
        <v>9.1060865681790198E-2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3218869</v>
      </c>
      <c r="D164" s="146">
        <v>3611357</v>
      </c>
      <c r="E164" s="146">
        <f t="shared" si="10"/>
        <v>392488</v>
      </c>
      <c r="F164" s="150">
        <f t="shared" si="11"/>
        <v>0.12193351142901435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16384316</v>
      </c>
      <c r="D165" s="146">
        <v>17204227</v>
      </c>
      <c r="E165" s="146">
        <f t="shared" si="10"/>
        <v>819911</v>
      </c>
      <c r="F165" s="150">
        <f t="shared" si="11"/>
        <v>5.0042430822257088E-2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17295367</v>
      </c>
      <c r="D167" s="146">
        <v>12095787</v>
      </c>
      <c r="E167" s="146">
        <f t="shared" si="10"/>
        <v>-5199580</v>
      </c>
      <c r="F167" s="150">
        <f t="shared" si="11"/>
        <v>-0.30063426812509964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80483359</v>
      </c>
      <c r="D169" s="146">
        <v>93074492</v>
      </c>
      <c r="E169" s="146">
        <f t="shared" si="10"/>
        <v>12591133</v>
      </c>
      <c r="F169" s="150">
        <f t="shared" si="11"/>
        <v>0.15644393022910488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301699270</v>
      </c>
      <c r="D171" s="147">
        <f>SUM(D158:D170)</f>
        <v>327706128</v>
      </c>
      <c r="E171" s="147">
        <f t="shared" si="10"/>
        <v>26006858</v>
      </c>
      <c r="F171" s="148">
        <f t="shared" si="11"/>
        <v>8.6201262601662901E-2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43554077</v>
      </c>
      <c r="D174" s="146">
        <v>48049697</v>
      </c>
      <c r="E174" s="146">
        <f>D174-C174</f>
        <v>4495620</v>
      </c>
      <c r="F174" s="150">
        <f>IF(C174=0,0,E174/C174)</f>
        <v>0.10321926923167261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1297936000</v>
      </c>
      <c r="D176" s="147">
        <f>+D174+D171+D155+D118+D109</f>
        <v>1435807000</v>
      </c>
      <c r="E176" s="147">
        <f>D176-C176</f>
        <v>137871000</v>
      </c>
      <c r="F176" s="148">
        <f>IF(C176=0,0,E176/C176)</f>
        <v>0.10622326524574401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FILING&amp;RYALE-NEW HAVEN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1196644000</v>
      </c>
      <c r="D11" s="164">
        <v>1318578000</v>
      </c>
      <c r="E11" s="51">
        <v>1442057000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40468000</v>
      </c>
      <c r="D12" s="49">
        <v>48425000</v>
      </c>
      <c r="E12" s="49">
        <v>46640000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1237112000</v>
      </c>
      <c r="D13" s="51">
        <f>+D11+D12</f>
        <v>1367003000</v>
      </c>
      <c r="E13" s="51">
        <f>+E11+E12</f>
        <v>1488697000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1169696000</v>
      </c>
      <c r="D14" s="49">
        <v>1297936000</v>
      </c>
      <c r="E14" s="49">
        <v>1435807000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67416000</v>
      </c>
      <c r="D15" s="51">
        <f>+D13-D14</f>
        <v>69067000</v>
      </c>
      <c r="E15" s="51">
        <f>+E13-E14</f>
        <v>52890000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-14515000</v>
      </c>
      <c r="D16" s="49">
        <v>15633000</v>
      </c>
      <c r="E16" s="49">
        <v>14272000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52901000</v>
      </c>
      <c r="D17" s="51">
        <f>D15+D16</f>
        <v>84700000</v>
      </c>
      <c r="E17" s="51">
        <f>E15+E16</f>
        <v>67162000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5.5141637023483618E-2</v>
      </c>
      <c r="D20" s="169">
        <f>IF(+D27=0,0,+D24/+D27)</f>
        <v>4.9953133001021235E-2</v>
      </c>
      <c r="E20" s="169">
        <f>IF(+E27=0,0,+E24/+E27)</f>
        <v>3.51903465740145E-2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-1.1872268621630841E-2</v>
      </c>
      <c r="D21" s="169">
        <f>IF(D27=0,0,+D26/D27)</f>
        <v>1.1306663503626406E-2</v>
      </c>
      <c r="E21" s="169">
        <f>IF(E27=0,0,+E26/E27)</f>
        <v>9.495871172326243E-3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4.3269368401852776E-2</v>
      </c>
      <c r="D22" s="169">
        <f>IF(D27=0,0,+D28/D27)</f>
        <v>6.1259796504647641E-2</v>
      </c>
      <c r="E22" s="169">
        <f>IF(E27=0,0,+E28/E27)</f>
        <v>4.468621774634074E-2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67416000</v>
      </c>
      <c r="D24" s="51">
        <f>+D15</f>
        <v>69067000</v>
      </c>
      <c r="E24" s="51">
        <f>+E15</f>
        <v>52890000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1237112000</v>
      </c>
      <c r="D25" s="51">
        <f>+D13</f>
        <v>1367003000</v>
      </c>
      <c r="E25" s="51">
        <f>+E13</f>
        <v>1488697000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-14515000</v>
      </c>
      <c r="D26" s="51">
        <f>+D16</f>
        <v>15633000</v>
      </c>
      <c r="E26" s="51">
        <f>+E16</f>
        <v>14272000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1222597000</v>
      </c>
      <c r="D27" s="51">
        <f>+D25+D26</f>
        <v>1382636000</v>
      </c>
      <c r="E27" s="51">
        <f>+E25+E26</f>
        <v>1502969000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52901000</v>
      </c>
      <c r="D28" s="51">
        <f>+D17</f>
        <v>84700000</v>
      </c>
      <c r="E28" s="51">
        <f>+E17</f>
        <v>67162000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514304000</v>
      </c>
      <c r="D31" s="51">
        <v>567531000</v>
      </c>
      <c r="E31" s="51">
        <v>604617000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587531000</v>
      </c>
      <c r="D32" s="51">
        <v>642312000</v>
      </c>
      <c r="E32" s="51">
        <v>674087000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-32892000</v>
      </c>
      <c r="D33" s="51">
        <f>+D32-C32</f>
        <v>54781000</v>
      </c>
      <c r="E33" s="51">
        <f>+E32-D32</f>
        <v>31775000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0.94689999999999996</v>
      </c>
      <c r="D34" s="171">
        <f>IF(C32=0,0,+D33/C32)</f>
        <v>9.3239335456341874E-2</v>
      </c>
      <c r="E34" s="171">
        <f>IF(D32=0,0,+E33/D32)</f>
        <v>4.9469728107212695E-2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0.3315523957836814</v>
      </c>
      <c r="D38" s="172">
        <f>IF((D40+D41)=0,0,+D39/(D40+D41))</f>
        <v>0.33166033516054122</v>
      </c>
      <c r="E38" s="172">
        <f>IF((E40+E41)=0,0,+E39/(E40+E41))</f>
        <v>0.32245538429631887</v>
      </c>
      <c r="F38" s="5"/>
    </row>
    <row r="39" spans="1:6" ht="24" customHeight="1" x14ac:dyDescent="0.2">
      <c r="A39" s="21">
        <v>2</v>
      </c>
      <c r="B39" s="48" t="s">
        <v>324</v>
      </c>
      <c r="C39" s="51">
        <v>1169696000</v>
      </c>
      <c r="D39" s="51">
        <v>1297936000</v>
      </c>
      <c r="E39" s="23">
        <v>1435807000</v>
      </c>
      <c r="F39" s="5"/>
    </row>
    <row r="40" spans="1:6" ht="24" customHeight="1" x14ac:dyDescent="0.2">
      <c r="A40" s="21">
        <v>3</v>
      </c>
      <c r="B40" s="48" t="s">
        <v>325</v>
      </c>
      <c r="C40" s="51">
        <v>3516547690</v>
      </c>
      <c r="D40" s="51">
        <v>3902060165</v>
      </c>
      <c r="E40" s="23">
        <v>4443296447</v>
      </c>
      <c r="F40" s="5"/>
    </row>
    <row r="41" spans="1:6" ht="24" customHeight="1" x14ac:dyDescent="0.2">
      <c r="A41" s="21">
        <v>4</v>
      </c>
      <c r="B41" s="48" t="s">
        <v>326</v>
      </c>
      <c r="C41" s="51">
        <v>11389417</v>
      </c>
      <c r="D41" s="51">
        <v>11389417</v>
      </c>
      <c r="E41" s="23">
        <v>9434287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1.2376456132401215</v>
      </c>
      <c r="D43" s="173">
        <f>IF(D38=0,0,IF((D46-D47)=0,0,((+D44-D45)/(D46-D47)/D38)))</f>
        <v>1.2657541593256949</v>
      </c>
      <c r="E43" s="173">
        <f>IF(E38=0,0,IF((E46-E47)=0,0,((+E44-E45)/(E46-E47)/E38)))</f>
        <v>1.2790871683697644</v>
      </c>
      <c r="F43" s="5"/>
    </row>
    <row r="44" spans="1:6" ht="24" customHeight="1" x14ac:dyDescent="0.2">
      <c r="A44" s="21">
        <v>6</v>
      </c>
      <c r="B44" s="48" t="s">
        <v>328</v>
      </c>
      <c r="C44" s="51">
        <v>629812305</v>
      </c>
      <c r="D44" s="51">
        <v>686420715</v>
      </c>
      <c r="E44" s="23">
        <v>733145410</v>
      </c>
      <c r="F44" s="5"/>
    </row>
    <row r="45" spans="1:6" ht="24" customHeight="1" x14ac:dyDescent="0.2">
      <c r="A45" s="21">
        <v>7</v>
      </c>
      <c r="B45" s="48" t="s">
        <v>329</v>
      </c>
      <c r="C45" s="51">
        <v>18923994</v>
      </c>
      <c r="D45" s="51">
        <v>20122958</v>
      </c>
      <c r="E45" s="23">
        <v>16918639</v>
      </c>
      <c r="F45" s="5"/>
    </row>
    <row r="46" spans="1:6" ht="24" customHeight="1" x14ac:dyDescent="0.2">
      <c r="A46" s="21">
        <v>8</v>
      </c>
      <c r="B46" s="48" t="s">
        <v>330</v>
      </c>
      <c r="C46" s="51">
        <v>1598088351</v>
      </c>
      <c r="D46" s="51">
        <v>1692463167</v>
      </c>
      <c r="E46" s="23">
        <v>1830528989</v>
      </c>
      <c r="F46" s="5"/>
    </row>
    <row r="47" spans="1:6" ht="24" customHeight="1" x14ac:dyDescent="0.2">
      <c r="A47" s="21">
        <v>9</v>
      </c>
      <c r="B47" s="48" t="s">
        <v>331</v>
      </c>
      <c r="C47" s="51">
        <v>109367271</v>
      </c>
      <c r="D47" s="51">
        <v>105285833</v>
      </c>
      <c r="E47" s="174">
        <v>94005050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0.96813686974527469</v>
      </c>
      <c r="D49" s="175">
        <f>IF(D38=0,0,IF(D51=0,0,(D50/D51)/D38))</f>
        <v>0.95310536988794392</v>
      </c>
      <c r="E49" s="175">
        <f>IF(E38=0,0,IF(E51=0,0,(E50/E51)/E38))</f>
        <v>0.89647009279411694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364716072</v>
      </c>
      <c r="D50" s="176">
        <v>396592611</v>
      </c>
      <c r="E50" s="176">
        <v>434149633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1136229267</v>
      </c>
      <c r="D51" s="176">
        <v>1254614108</v>
      </c>
      <c r="E51" s="176">
        <v>1501875731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0.63334033900438225</v>
      </c>
      <c r="D53" s="175">
        <f>IF(D38=0,0,IF(D55=0,0,(D54/D55)/D38))</f>
        <v>0.60401175011244046</v>
      </c>
      <c r="E53" s="175">
        <f>IF(E38=0,0,IF(E55=0,0,(E54/E55)/E38))</f>
        <v>0.61205540564980465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130684650</v>
      </c>
      <c r="D54" s="176">
        <v>151134790</v>
      </c>
      <c r="E54" s="176">
        <v>213928168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622350809</v>
      </c>
      <c r="D55" s="176">
        <v>754441421</v>
      </c>
      <c r="E55" s="176">
        <v>1083945885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32346107.507363793</v>
      </c>
      <c r="D57" s="53">
        <f>+D60*D38</f>
        <v>29587927.598286353</v>
      </c>
      <c r="E57" s="53">
        <f>+E60*E38</f>
        <v>28023511.419458762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27032315</v>
      </c>
      <c r="D58" s="51">
        <v>28159845</v>
      </c>
      <c r="E58" s="52">
        <v>31059911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70527250</v>
      </c>
      <c r="D59" s="51">
        <v>61051690</v>
      </c>
      <c r="E59" s="52">
        <v>55846721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97559565</v>
      </c>
      <c r="D60" s="51">
        <v>89211535</v>
      </c>
      <c r="E60" s="52">
        <v>86906632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2.7653430897740774E-2</v>
      </c>
      <c r="D62" s="178">
        <f>IF(D63=0,0,+D57/D63)</f>
        <v>2.2796137558621036E-2</v>
      </c>
      <c r="E62" s="178">
        <f>IF(E63=0,0,+E57/E63)</f>
        <v>1.9517603284744233E-2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1169696000</v>
      </c>
      <c r="D63" s="176">
        <v>1297936000</v>
      </c>
      <c r="E63" s="176">
        <v>1435807000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3.3329203832177074</v>
      </c>
      <c r="D67" s="179">
        <f>IF(D69=0,0,D68/D69)</f>
        <v>2.7212623932462945</v>
      </c>
      <c r="E67" s="179">
        <f>IF(E69=0,0,E68/E69)</f>
        <v>3.0475098530992475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686035000</v>
      </c>
      <c r="D68" s="180">
        <v>609873000</v>
      </c>
      <c r="E68" s="180">
        <v>722976000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205836000</v>
      </c>
      <c r="D69" s="180">
        <v>224114000</v>
      </c>
      <c r="E69" s="180">
        <v>237235000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164.72730564880183</v>
      </c>
      <c r="D71" s="181">
        <f>IF((D77/365)=0,0,+D74/(D77/365))</f>
        <v>119.90289069194945</v>
      </c>
      <c r="E71" s="181">
        <f>IF((E77/365)=0,0,+E74/(E77/365))</f>
        <v>124.99923603236884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51804000</v>
      </c>
      <c r="D72" s="182">
        <v>66556000</v>
      </c>
      <c r="E72" s="182">
        <v>65883000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456660000</v>
      </c>
      <c r="D73" s="184">
        <v>342847000</v>
      </c>
      <c r="E73" s="184">
        <v>402559000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508464000</v>
      </c>
      <c r="D74" s="180">
        <f>+D72+D73</f>
        <v>409403000</v>
      </c>
      <c r="E74" s="180">
        <f>+E72+E73</f>
        <v>468442000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1169696000</v>
      </c>
      <c r="D75" s="180">
        <f>+D14</f>
        <v>1297936000</v>
      </c>
      <c r="E75" s="180">
        <f>+E14</f>
        <v>1435807000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43050000</v>
      </c>
      <c r="D76" s="180">
        <v>51660000</v>
      </c>
      <c r="E76" s="180">
        <v>67948000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1126646000</v>
      </c>
      <c r="D77" s="180">
        <f>+D75-D76</f>
        <v>1246276000</v>
      </c>
      <c r="E77" s="180">
        <f>+E75-E76</f>
        <v>1367859000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37.716601595796249</v>
      </c>
      <c r="D79" s="179">
        <f>IF((D84/365)=0,0,+D83/(D84/365))</f>
        <v>37.492984867030998</v>
      </c>
      <c r="E79" s="179">
        <f>IF((E84/365)=0,0,+E83/(E84/365))</f>
        <v>42.366421715646467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123653000</v>
      </c>
      <c r="D80" s="189">
        <v>135445000</v>
      </c>
      <c r="E80" s="189">
        <v>167383000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0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123653000</v>
      </c>
      <c r="D83" s="191">
        <f>+D80+D81-D82</f>
        <v>135445000</v>
      </c>
      <c r="E83" s="191">
        <f>+E80+E81-E82</f>
        <v>167383000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1196644000</v>
      </c>
      <c r="D84" s="191">
        <f>+D11</f>
        <v>1318578000</v>
      </c>
      <c r="E84" s="191">
        <f>+E11</f>
        <v>1442057000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66.684779424948033</v>
      </c>
      <c r="D86" s="179">
        <f>IF((D90/365)=0,0,+D87/(D90/365))</f>
        <v>65.636833253629206</v>
      </c>
      <c r="E86" s="179">
        <f>IF((E90/365)=0,0,+E87/(E90/365))</f>
        <v>63.303874887689453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205836000</v>
      </c>
      <c r="D87" s="51">
        <f>+D69</f>
        <v>224114000</v>
      </c>
      <c r="E87" s="51">
        <f>+E69</f>
        <v>237235000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1169696000</v>
      </c>
      <c r="D88" s="51">
        <f t="shared" si="0"/>
        <v>1297936000</v>
      </c>
      <c r="E88" s="51">
        <f t="shared" si="0"/>
        <v>1435807000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43050000</v>
      </c>
      <c r="D89" s="52">
        <f t="shared" si="0"/>
        <v>51660000</v>
      </c>
      <c r="E89" s="52">
        <f t="shared" si="0"/>
        <v>67948000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1126646000</v>
      </c>
      <c r="D90" s="51">
        <f>+D88-D89</f>
        <v>1246276000</v>
      </c>
      <c r="E90" s="51">
        <f>+E88-E89</f>
        <v>1367859000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37.410680742952835</v>
      </c>
      <c r="D94" s="192">
        <f>IF(D96=0,0,(D95/D96)*100)</f>
        <v>36.388130541608199</v>
      </c>
      <c r="E94" s="192">
        <f>IF(E96=0,0,(E95/E96)*100)</f>
        <v>33.745418173917656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587531000</v>
      </c>
      <c r="D95" s="51">
        <f>+D32</f>
        <v>642312000</v>
      </c>
      <c r="E95" s="51">
        <f>+E32</f>
        <v>674087000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1570490000</v>
      </c>
      <c r="D96" s="51">
        <v>1765169000</v>
      </c>
      <c r="E96" s="51">
        <v>1997566000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16.131586645640063</v>
      </c>
      <c r="D98" s="192">
        <f>IF(D104=0,0,(D101/D104)*100)</f>
        <v>19.159085320875338</v>
      </c>
      <c r="E98" s="192">
        <f>IF(E104=0,0,(E101/E104)*100)</f>
        <v>15.824808558584937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52901000</v>
      </c>
      <c r="D99" s="51">
        <f>+D28</f>
        <v>84700000</v>
      </c>
      <c r="E99" s="51">
        <f>+E28</f>
        <v>67162000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43050000</v>
      </c>
      <c r="D100" s="52">
        <f>+D76</f>
        <v>51660000</v>
      </c>
      <c r="E100" s="52">
        <f>+E76</f>
        <v>67948000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95951000</v>
      </c>
      <c r="D101" s="51">
        <f>+D99+D100</f>
        <v>136360000</v>
      </c>
      <c r="E101" s="51">
        <f>+E99+E100</f>
        <v>135110000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205836000</v>
      </c>
      <c r="D102" s="180">
        <f>+D69</f>
        <v>224114000</v>
      </c>
      <c r="E102" s="180">
        <f>+E69</f>
        <v>237235000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388966000</v>
      </c>
      <c r="D103" s="194">
        <v>487611000</v>
      </c>
      <c r="E103" s="194">
        <v>616551000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594802000</v>
      </c>
      <c r="D104" s="180">
        <f>+D102+D103</f>
        <v>711725000</v>
      </c>
      <c r="E104" s="180">
        <f>+E102+E103</f>
        <v>853786000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39.832790064895235</v>
      </c>
      <c r="D106" s="197">
        <f>IF(D109=0,0,(D107/D109)*100)</f>
        <v>43.154356535799344</v>
      </c>
      <c r="E106" s="197">
        <f>IF(E109=0,0,(E107/E109)*100)</f>
        <v>47.771024872969804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388966000</v>
      </c>
      <c r="D107" s="180">
        <f>+D103</f>
        <v>487611000</v>
      </c>
      <c r="E107" s="180">
        <f>+E103</f>
        <v>616551000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587531000</v>
      </c>
      <c r="D108" s="180">
        <f>+D32</f>
        <v>642312000</v>
      </c>
      <c r="E108" s="180">
        <f>+E32</f>
        <v>674087000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976497000</v>
      </c>
      <c r="D109" s="180">
        <f>+D107+D108</f>
        <v>1129923000</v>
      </c>
      <c r="E109" s="180">
        <f>+E107+E108</f>
        <v>1290638000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23.499638467100507</v>
      </c>
      <c r="D111" s="197">
        <f>IF((+D113+D115)=0,0,((+D112+D113+D114)/(+D113+D115)))</f>
        <v>6.3584106753346736</v>
      </c>
      <c r="E111" s="197">
        <f>IF((+E113+E115)=0,0,((+E112+E113+E114)/(+E113+E115)))</f>
        <v>4.9920181316515571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52901000</v>
      </c>
      <c r="D112" s="180">
        <f>+D17</f>
        <v>84700000</v>
      </c>
      <c r="E112" s="180">
        <f>+E17</f>
        <v>67162000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1549000</v>
      </c>
      <c r="D113" s="180">
        <v>12306000</v>
      </c>
      <c r="E113" s="180">
        <v>16867000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43050000</v>
      </c>
      <c r="D114" s="180">
        <v>51660000</v>
      </c>
      <c r="E114" s="180">
        <v>67948000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2600000</v>
      </c>
      <c r="D115" s="180">
        <v>11075000</v>
      </c>
      <c r="E115" s="180">
        <v>13577000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12.863368176538907</v>
      </c>
      <c r="D119" s="197">
        <f>IF(+D121=0,0,(+D120)/(+D121))</f>
        <v>10.169725125822687</v>
      </c>
      <c r="E119" s="197">
        <f>IF(+E121=0,0,(+E120)/(+E121))</f>
        <v>8.3424089009242355</v>
      </c>
    </row>
    <row r="120" spans="1:8" ht="24" customHeight="1" x14ac:dyDescent="0.25">
      <c r="A120" s="17">
        <v>21</v>
      </c>
      <c r="B120" s="48" t="s">
        <v>369</v>
      </c>
      <c r="C120" s="180">
        <v>553768000</v>
      </c>
      <c r="D120" s="180">
        <v>525368000</v>
      </c>
      <c r="E120" s="180">
        <v>566850000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43050000</v>
      </c>
      <c r="D121" s="180">
        <v>51660000</v>
      </c>
      <c r="E121" s="180">
        <v>67948000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279599</v>
      </c>
      <c r="D124" s="198">
        <v>284705</v>
      </c>
      <c r="E124" s="198">
        <v>300989</v>
      </c>
    </row>
    <row r="125" spans="1:8" ht="24" customHeight="1" x14ac:dyDescent="0.2">
      <c r="A125" s="44">
        <v>2</v>
      </c>
      <c r="B125" s="48" t="s">
        <v>373</v>
      </c>
      <c r="C125" s="198">
        <v>54408</v>
      </c>
      <c r="D125" s="198">
        <v>56602</v>
      </c>
      <c r="E125" s="198">
        <v>57451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5.1389317747390093</v>
      </c>
      <c r="D126" s="199">
        <f>IF(D125=0,0,D124/D125)</f>
        <v>5.0299459383060672</v>
      </c>
      <c r="E126" s="199">
        <f>IF(E125=0,0,E124/E125)</f>
        <v>5.2390558911072045</v>
      </c>
    </row>
    <row r="127" spans="1:8" ht="24" customHeight="1" x14ac:dyDescent="0.2">
      <c r="A127" s="44">
        <v>4</v>
      </c>
      <c r="B127" s="48" t="s">
        <v>375</v>
      </c>
      <c r="C127" s="198">
        <v>851</v>
      </c>
      <c r="D127" s="198">
        <v>871</v>
      </c>
      <c r="E127" s="198">
        <v>827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919</v>
      </c>
      <c r="E128" s="198">
        <v>918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944</v>
      </c>
      <c r="D129" s="198">
        <v>944</v>
      </c>
      <c r="E129" s="198">
        <v>944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0.90010000000000001</v>
      </c>
      <c r="D130" s="171">
        <v>0.89549999999999996</v>
      </c>
      <c r="E130" s="171">
        <v>0.99709999999999999</v>
      </c>
    </row>
    <row r="131" spans="1:8" ht="24" customHeight="1" x14ac:dyDescent="0.2">
      <c r="A131" s="44">
        <v>7</v>
      </c>
      <c r="B131" s="48" t="s">
        <v>379</v>
      </c>
      <c r="C131" s="171">
        <v>0.85580000000000001</v>
      </c>
      <c r="D131" s="171">
        <v>0.84870000000000001</v>
      </c>
      <c r="E131" s="171">
        <v>0.8982</v>
      </c>
    </row>
    <row r="132" spans="1:8" ht="24" customHeight="1" x14ac:dyDescent="0.2">
      <c r="A132" s="44">
        <v>8</v>
      </c>
      <c r="B132" s="48" t="s">
        <v>380</v>
      </c>
      <c r="C132" s="199">
        <v>6648</v>
      </c>
      <c r="D132" s="199">
        <v>7078.8</v>
      </c>
      <c r="E132" s="199">
        <v>7611.1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0.42334733131402519</v>
      </c>
      <c r="D135" s="203">
        <f>IF(D149=0,0,D143/D149)</f>
        <v>0.40675368059067329</v>
      </c>
      <c r="E135" s="203">
        <f>IF(E149=0,0,E143/E149)</f>
        <v>0.3908188345552448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0.32310930127041732</v>
      </c>
      <c r="D136" s="203">
        <f>IF(D149=0,0,D144/D149)</f>
        <v>0.32152607980097608</v>
      </c>
      <c r="E136" s="203">
        <f>IF(E149=0,0,E144/E149)</f>
        <v>0.33800934709499925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0.1769777815810028</v>
      </c>
      <c r="D137" s="203">
        <f>IF(D149=0,0,D145/D149)</f>
        <v>0.19334438452975519</v>
      </c>
      <c r="E137" s="203">
        <f>IF(E149=0,0,E145/E149)</f>
        <v>0.24395083648579255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4.032144378511187E-2</v>
      </c>
      <c r="D138" s="203">
        <f>IF(D149=0,0,D146/D149)</f>
        <v>4.5482125722169635E-2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3.1100750122345134E-2</v>
      </c>
      <c r="D139" s="203">
        <f>IF(D149=0,0,D147/D149)</f>
        <v>2.6982114203254474E-2</v>
      </c>
      <c r="E139" s="203">
        <f>IF(E149=0,0,E147/E149)</f>
        <v>2.115660098787012E-2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5.1433919270976814E-3</v>
      </c>
      <c r="D140" s="203">
        <f>IF(D149=0,0,D148/D149)</f>
        <v>5.9116151531712737E-3</v>
      </c>
      <c r="E140" s="203">
        <f>IF(E149=0,0,E148/E149)</f>
        <v>6.0643808760932755E-3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0.99999999999999989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1488721080</v>
      </c>
      <c r="D143" s="205">
        <f>+D46-D147</f>
        <v>1587177334</v>
      </c>
      <c r="E143" s="205">
        <f>+E46-E147</f>
        <v>1736523939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1136229267</v>
      </c>
      <c r="D144" s="205">
        <f>+D51</f>
        <v>1254614108</v>
      </c>
      <c r="E144" s="205">
        <f>+E51</f>
        <v>1501875731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622350809</v>
      </c>
      <c r="D145" s="205">
        <f>+D55</f>
        <v>754441421</v>
      </c>
      <c r="E145" s="205">
        <f>+E55</f>
        <v>1083945885</v>
      </c>
    </row>
    <row r="146" spans="1:7" ht="20.100000000000001" customHeight="1" x14ac:dyDescent="0.2">
      <c r="A146" s="202">
        <v>11</v>
      </c>
      <c r="B146" s="201" t="s">
        <v>392</v>
      </c>
      <c r="C146" s="204">
        <v>141792280</v>
      </c>
      <c r="D146" s="205">
        <v>177473991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109367271</v>
      </c>
      <c r="D147" s="205">
        <f>+D47</f>
        <v>105285833</v>
      </c>
      <c r="E147" s="205">
        <f>+E47</f>
        <v>94005050</v>
      </c>
    </row>
    <row r="148" spans="1:7" ht="20.100000000000001" customHeight="1" x14ac:dyDescent="0.2">
      <c r="A148" s="202">
        <v>13</v>
      </c>
      <c r="B148" s="201" t="s">
        <v>394</v>
      </c>
      <c r="C148" s="206">
        <v>18086983</v>
      </c>
      <c r="D148" s="205">
        <v>23067478</v>
      </c>
      <c r="E148" s="205">
        <v>26945842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3516547690</v>
      </c>
      <c r="D149" s="205">
        <f>SUM(D143:D148)</f>
        <v>3902060165</v>
      </c>
      <c r="E149" s="205">
        <f>SUM(E143:E148)</f>
        <v>4443296447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0.53085897008526739</v>
      </c>
      <c r="D152" s="203">
        <f>IF(D166=0,0,D160/D166)</f>
        <v>0.5246933267821231</v>
      </c>
      <c r="E152" s="203">
        <f>IF(E166=0,0,E160/E166)</f>
        <v>0.51620789501498221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0.31693649210365105</v>
      </c>
      <c r="D153" s="203">
        <f>IF(D166=0,0,D161/D166)</f>
        <v>0.31230706430668415</v>
      </c>
      <c r="E153" s="203">
        <f>IF(E166=0,0,E161/E166)</f>
        <v>0.31290574053738779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0.11356432502594348</v>
      </c>
      <c r="D154" s="203">
        <f>IF(D166=0,0,D162/D166)</f>
        <v>0.1190149823026007</v>
      </c>
      <c r="E154" s="203">
        <f>IF(E166=0,0,E162/E166)</f>
        <v>0.15418497849990515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1.7845888299422744E-2</v>
      </c>
      <c r="D155" s="203">
        <f>IF(D166=0,0,D163/D166)</f>
        <v>2.342284332905651E-2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1.6444858714508584E-2</v>
      </c>
      <c r="D156" s="203">
        <f>IF(D166=0,0,D164/D166)</f>
        <v>1.584634146939945E-2</v>
      </c>
      <c r="E156" s="203">
        <f>IF(E166=0,0,E164/E166)</f>
        <v>1.2193812600043659E-2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4.3494657712066908E-3</v>
      </c>
      <c r="D157" s="203">
        <f>IF(D166=0,0,D165/D166)</f>
        <v>4.7154418101361126E-3</v>
      </c>
      <c r="E157" s="203">
        <f>IF(E166=0,0,E165/E166)</f>
        <v>4.5075733476811373E-3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610888311</v>
      </c>
      <c r="D160" s="208">
        <f>+D44-D164</f>
        <v>666297757</v>
      </c>
      <c r="E160" s="208">
        <f>+E44-E164</f>
        <v>716226771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364716072</v>
      </c>
      <c r="D161" s="208">
        <f>+D50</f>
        <v>396592611</v>
      </c>
      <c r="E161" s="208">
        <f>+E50</f>
        <v>434149633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130684650</v>
      </c>
      <c r="D162" s="208">
        <f>+D54</f>
        <v>151134790</v>
      </c>
      <c r="E162" s="208">
        <f>+E54</f>
        <v>213928168</v>
      </c>
    </row>
    <row r="163" spans="1:6" ht="20.100000000000001" customHeight="1" x14ac:dyDescent="0.2">
      <c r="A163" s="202">
        <v>11</v>
      </c>
      <c r="B163" s="201" t="s">
        <v>408</v>
      </c>
      <c r="C163" s="207">
        <v>20536235</v>
      </c>
      <c r="D163" s="208">
        <v>29744209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18923994</v>
      </c>
      <c r="D164" s="208">
        <f>+D45</f>
        <v>20122958</v>
      </c>
      <c r="E164" s="208">
        <f>+E45</f>
        <v>16918639</v>
      </c>
    </row>
    <row r="165" spans="1:6" ht="20.100000000000001" customHeight="1" x14ac:dyDescent="0.2">
      <c r="A165" s="202">
        <v>13</v>
      </c>
      <c r="B165" s="201" t="s">
        <v>410</v>
      </c>
      <c r="C165" s="209">
        <v>5005167</v>
      </c>
      <c r="D165" s="208">
        <v>5988047</v>
      </c>
      <c r="E165" s="208">
        <v>6254156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1150754429</v>
      </c>
      <c r="D166" s="208">
        <f>SUM(D160:D165)</f>
        <v>1269880372</v>
      </c>
      <c r="E166" s="208">
        <f>SUM(E160:E165)</f>
        <v>1387477367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23910</v>
      </c>
      <c r="D169" s="198">
        <v>23401</v>
      </c>
      <c r="E169" s="198">
        <v>23108</v>
      </c>
    </row>
    <row r="170" spans="1:6" ht="20.100000000000001" customHeight="1" x14ac:dyDescent="0.2">
      <c r="A170" s="202">
        <v>2</v>
      </c>
      <c r="B170" s="201" t="s">
        <v>414</v>
      </c>
      <c r="C170" s="198">
        <v>16762</v>
      </c>
      <c r="D170" s="198">
        <v>17357</v>
      </c>
      <c r="E170" s="198">
        <v>17747</v>
      </c>
    </row>
    <row r="171" spans="1:6" ht="20.100000000000001" customHeight="1" x14ac:dyDescent="0.2">
      <c r="A171" s="202">
        <v>3</v>
      </c>
      <c r="B171" s="201" t="s">
        <v>415</v>
      </c>
      <c r="C171" s="198">
        <v>13431</v>
      </c>
      <c r="D171" s="198">
        <v>15521</v>
      </c>
      <c r="E171" s="198">
        <v>16249</v>
      </c>
    </row>
    <row r="172" spans="1:6" ht="20.100000000000001" customHeight="1" x14ac:dyDescent="0.2">
      <c r="A172" s="202">
        <v>4</v>
      </c>
      <c r="B172" s="201" t="s">
        <v>416</v>
      </c>
      <c r="C172" s="198">
        <v>10822</v>
      </c>
      <c r="D172" s="198">
        <v>12396</v>
      </c>
      <c r="E172" s="198">
        <v>16249</v>
      </c>
    </row>
    <row r="173" spans="1:6" ht="20.100000000000001" customHeight="1" x14ac:dyDescent="0.2">
      <c r="A173" s="202">
        <v>5</v>
      </c>
      <c r="B173" s="201" t="s">
        <v>417</v>
      </c>
      <c r="C173" s="198">
        <v>2609</v>
      </c>
      <c r="D173" s="198">
        <v>3125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305</v>
      </c>
      <c r="D174" s="198">
        <v>323</v>
      </c>
      <c r="E174" s="198">
        <v>347</v>
      </c>
    </row>
    <row r="175" spans="1:6" ht="20.100000000000001" customHeight="1" x14ac:dyDescent="0.2">
      <c r="A175" s="202">
        <v>7</v>
      </c>
      <c r="B175" s="201" t="s">
        <v>419</v>
      </c>
      <c r="C175" s="198">
        <v>1533</v>
      </c>
      <c r="D175" s="198">
        <v>1436</v>
      </c>
      <c r="E175" s="198">
        <v>939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54408</v>
      </c>
      <c r="D176" s="198">
        <f>+D169+D170+D171+D174</f>
        <v>56602</v>
      </c>
      <c r="E176" s="198">
        <f>+E169+E170+E171+E174</f>
        <v>57451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1.2747999999999999</v>
      </c>
      <c r="D179" s="210">
        <v>1.2417</v>
      </c>
      <c r="E179" s="210">
        <v>1.3619000000000001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1.6653</v>
      </c>
      <c r="D180" s="210">
        <v>1.6712</v>
      </c>
      <c r="E180" s="210">
        <v>1.7807999999999999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1.149383</v>
      </c>
      <c r="D181" s="210">
        <v>1.147697</v>
      </c>
      <c r="E181" s="210">
        <v>1.2388999999999999</v>
      </c>
    </row>
    <row r="182" spans="1:6" ht="20.100000000000001" customHeight="1" x14ac:dyDescent="0.2">
      <c r="A182" s="202">
        <v>4</v>
      </c>
      <c r="B182" s="201" t="s">
        <v>416</v>
      </c>
      <c r="C182" s="210">
        <v>1.1298999999999999</v>
      </c>
      <c r="D182" s="210">
        <v>1.1359999999999999</v>
      </c>
      <c r="E182" s="210">
        <v>1.2388999999999999</v>
      </c>
    </row>
    <row r="183" spans="1:6" ht="20.100000000000001" customHeight="1" x14ac:dyDescent="0.2">
      <c r="A183" s="202">
        <v>5</v>
      </c>
      <c r="B183" s="201" t="s">
        <v>417</v>
      </c>
      <c r="C183" s="210">
        <v>1.2302</v>
      </c>
      <c r="D183" s="210">
        <v>1.1940999999999999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1.4928999999999999</v>
      </c>
      <c r="D184" s="210">
        <v>1.2423</v>
      </c>
      <c r="E184" s="210">
        <v>1.425</v>
      </c>
    </row>
    <row r="185" spans="1:6" ht="20.100000000000001" customHeight="1" x14ac:dyDescent="0.2">
      <c r="A185" s="202">
        <v>7</v>
      </c>
      <c r="B185" s="201" t="s">
        <v>419</v>
      </c>
      <c r="C185" s="210">
        <v>1.2775000000000001</v>
      </c>
      <c r="D185" s="210">
        <v>1.3184</v>
      </c>
      <c r="E185" s="210">
        <v>1.5919000000000001</v>
      </c>
    </row>
    <row r="186" spans="1:6" ht="20.100000000000001" customHeight="1" x14ac:dyDescent="0.2">
      <c r="A186" s="202">
        <v>8</v>
      </c>
      <c r="B186" s="201" t="s">
        <v>423</v>
      </c>
      <c r="C186" s="210">
        <v>1.365367</v>
      </c>
      <c r="D186" s="210">
        <v>1.3476319999999999</v>
      </c>
      <c r="E186" s="210">
        <v>1.456893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26820</v>
      </c>
      <c r="D189" s="198">
        <v>28571</v>
      </c>
      <c r="E189" s="198">
        <v>28351</v>
      </c>
    </row>
    <row r="190" spans="1:6" ht="20.100000000000001" customHeight="1" x14ac:dyDescent="0.2">
      <c r="A190" s="202">
        <v>2</v>
      </c>
      <c r="B190" s="201" t="s">
        <v>427</v>
      </c>
      <c r="C190" s="198">
        <v>101582</v>
      </c>
      <c r="D190" s="198">
        <v>93579</v>
      </c>
      <c r="E190" s="198">
        <v>92128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128402</v>
      </c>
      <c r="D191" s="198">
        <f>+D190+D189</f>
        <v>122150</v>
      </c>
      <c r="E191" s="198">
        <f>+E190+E189</f>
        <v>120479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FILING&amp;RYALE-NEW HAVEN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9559120</v>
      </c>
      <c r="D14" s="237">
        <v>14252962</v>
      </c>
      <c r="E14" s="237">
        <f t="shared" ref="E14:E24" si="0">D14-C14</f>
        <v>4693842</v>
      </c>
      <c r="F14" s="238">
        <f t="shared" ref="F14:F24" si="1">IF(C14=0,0,E14/C14)</f>
        <v>0.49103285658094048</v>
      </c>
    </row>
    <row r="15" spans="1:7" ht="20.25" customHeight="1" x14ac:dyDescent="0.3">
      <c r="A15" s="235">
        <v>2</v>
      </c>
      <c r="B15" s="236" t="s">
        <v>435</v>
      </c>
      <c r="C15" s="237">
        <v>3398395</v>
      </c>
      <c r="D15" s="237">
        <v>6352339</v>
      </c>
      <c r="E15" s="237">
        <f t="shared" si="0"/>
        <v>2953944</v>
      </c>
      <c r="F15" s="238">
        <f t="shared" si="1"/>
        <v>0.86921738055758679</v>
      </c>
    </row>
    <row r="16" spans="1:7" ht="20.25" customHeight="1" x14ac:dyDescent="0.3">
      <c r="A16" s="235">
        <v>3</v>
      </c>
      <c r="B16" s="236" t="s">
        <v>436</v>
      </c>
      <c r="C16" s="237">
        <v>2539883</v>
      </c>
      <c r="D16" s="237">
        <v>4591075</v>
      </c>
      <c r="E16" s="237">
        <f t="shared" si="0"/>
        <v>2051192</v>
      </c>
      <c r="F16" s="238">
        <f t="shared" si="1"/>
        <v>0.8075931056666783</v>
      </c>
    </row>
    <row r="17" spans="1:6" ht="20.25" customHeight="1" x14ac:dyDescent="0.3">
      <c r="A17" s="235">
        <v>4</v>
      </c>
      <c r="B17" s="236" t="s">
        <v>437</v>
      </c>
      <c r="C17" s="237">
        <v>799260</v>
      </c>
      <c r="D17" s="237">
        <v>1345609</v>
      </c>
      <c r="E17" s="237">
        <f t="shared" si="0"/>
        <v>546349</v>
      </c>
      <c r="F17" s="238">
        <f t="shared" si="1"/>
        <v>0.68356855090959134</v>
      </c>
    </row>
    <row r="18" spans="1:6" ht="20.25" customHeight="1" x14ac:dyDescent="0.3">
      <c r="A18" s="235">
        <v>5</v>
      </c>
      <c r="B18" s="236" t="s">
        <v>373</v>
      </c>
      <c r="C18" s="239">
        <v>179</v>
      </c>
      <c r="D18" s="239">
        <v>210</v>
      </c>
      <c r="E18" s="239">
        <f t="shared" si="0"/>
        <v>31</v>
      </c>
      <c r="F18" s="238">
        <f t="shared" si="1"/>
        <v>0.17318435754189945</v>
      </c>
    </row>
    <row r="19" spans="1:6" ht="20.25" customHeight="1" x14ac:dyDescent="0.3">
      <c r="A19" s="235">
        <v>6</v>
      </c>
      <c r="B19" s="236" t="s">
        <v>372</v>
      </c>
      <c r="C19" s="239">
        <v>887</v>
      </c>
      <c r="D19" s="239">
        <v>1260</v>
      </c>
      <c r="E19" s="239">
        <f t="shared" si="0"/>
        <v>373</v>
      </c>
      <c r="F19" s="238">
        <f t="shared" si="1"/>
        <v>0.42051860202931229</v>
      </c>
    </row>
    <row r="20" spans="1:6" ht="20.25" customHeight="1" x14ac:dyDescent="0.3">
      <c r="A20" s="235">
        <v>7</v>
      </c>
      <c r="B20" s="236" t="s">
        <v>438</v>
      </c>
      <c r="C20" s="239">
        <v>1148</v>
      </c>
      <c r="D20" s="239">
        <v>1688</v>
      </c>
      <c r="E20" s="239">
        <f t="shared" si="0"/>
        <v>540</v>
      </c>
      <c r="F20" s="238">
        <f t="shared" si="1"/>
        <v>0.47038327526132406</v>
      </c>
    </row>
    <row r="21" spans="1:6" ht="20.25" customHeight="1" x14ac:dyDescent="0.3">
      <c r="A21" s="235">
        <v>8</v>
      </c>
      <c r="B21" s="236" t="s">
        <v>439</v>
      </c>
      <c r="C21" s="239">
        <v>73</v>
      </c>
      <c r="D21" s="239">
        <v>110</v>
      </c>
      <c r="E21" s="239">
        <f t="shared" si="0"/>
        <v>37</v>
      </c>
      <c r="F21" s="238">
        <f t="shared" si="1"/>
        <v>0.50684931506849318</v>
      </c>
    </row>
    <row r="22" spans="1:6" ht="20.25" customHeight="1" x14ac:dyDescent="0.3">
      <c r="A22" s="235">
        <v>9</v>
      </c>
      <c r="B22" s="236" t="s">
        <v>440</v>
      </c>
      <c r="C22" s="239">
        <v>96</v>
      </c>
      <c r="D22" s="239">
        <v>131</v>
      </c>
      <c r="E22" s="239">
        <f t="shared" si="0"/>
        <v>35</v>
      </c>
      <c r="F22" s="238">
        <f t="shared" si="1"/>
        <v>0.36458333333333331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12099003</v>
      </c>
      <c r="D23" s="243">
        <f>+D14+D16</f>
        <v>18844037</v>
      </c>
      <c r="E23" s="243">
        <f t="shared" si="0"/>
        <v>6745034</v>
      </c>
      <c r="F23" s="244">
        <f t="shared" si="1"/>
        <v>0.55748676151249821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4197655</v>
      </c>
      <c r="D24" s="243">
        <f>+D15+D17</f>
        <v>7697948</v>
      </c>
      <c r="E24" s="243">
        <f t="shared" si="0"/>
        <v>3500293</v>
      </c>
      <c r="F24" s="244">
        <f t="shared" si="1"/>
        <v>0.83386867191324676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169890</v>
      </c>
      <c r="D27" s="237">
        <v>71291</v>
      </c>
      <c r="E27" s="237">
        <f t="shared" ref="E27:E37" si="2">D27-C27</f>
        <v>-98599</v>
      </c>
      <c r="F27" s="238">
        <f t="shared" ref="F27:F37" si="3">IF(C27=0,0,E27/C27)</f>
        <v>-0.5803696509506151</v>
      </c>
    </row>
    <row r="28" spans="1:6" ht="20.25" customHeight="1" x14ac:dyDescent="0.3">
      <c r="A28" s="235">
        <v>2</v>
      </c>
      <c r="B28" s="236" t="s">
        <v>435</v>
      </c>
      <c r="C28" s="237">
        <v>56344</v>
      </c>
      <c r="D28" s="237">
        <v>26742</v>
      </c>
      <c r="E28" s="237">
        <f t="shared" si="2"/>
        <v>-29602</v>
      </c>
      <c r="F28" s="238">
        <f t="shared" si="3"/>
        <v>-0.52537980974016751</v>
      </c>
    </row>
    <row r="29" spans="1:6" ht="20.25" customHeight="1" x14ac:dyDescent="0.3">
      <c r="A29" s="235">
        <v>3</v>
      </c>
      <c r="B29" s="236" t="s">
        <v>436</v>
      </c>
      <c r="C29" s="237">
        <v>50011</v>
      </c>
      <c r="D29" s="237">
        <v>278</v>
      </c>
      <c r="E29" s="237">
        <f t="shared" si="2"/>
        <v>-49733</v>
      </c>
      <c r="F29" s="238">
        <f t="shared" si="3"/>
        <v>-0.99444122293095516</v>
      </c>
    </row>
    <row r="30" spans="1:6" ht="20.25" customHeight="1" x14ac:dyDescent="0.3">
      <c r="A30" s="235">
        <v>4</v>
      </c>
      <c r="B30" s="236" t="s">
        <v>437</v>
      </c>
      <c r="C30" s="237">
        <v>11614</v>
      </c>
      <c r="D30" s="237">
        <v>40</v>
      </c>
      <c r="E30" s="237">
        <f t="shared" si="2"/>
        <v>-11574</v>
      </c>
      <c r="F30" s="238">
        <f t="shared" si="3"/>
        <v>-0.99655588083347679</v>
      </c>
    </row>
    <row r="31" spans="1:6" ht="20.25" customHeight="1" x14ac:dyDescent="0.3">
      <c r="A31" s="235">
        <v>5</v>
      </c>
      <c r="B31" s="236" t="s">
        <v>373</v>
      </c>
      <c r="C31" s="239">
        <v>2</v>
      </c>
      <c r="D31" s="239">
        <v>2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8</v>
      </c>
      <c r="D32" s="239">
        <v>9</v>
      </c>
      <c r="E32" s="239">
        <f t="shared" si="2"/>
        <v>1</v>
      </c>
      <c r="F32" s="238">
        <f t="shared" si="3"/>
        <v>0.125</v>
      </c>
    </row>
    <row r="33" spans="1:6" ht="20.25" customHeight="1" x14ac:dyDescent="0.3">
      <c r="A33" s="235">
        <v>7</v>
      </c>
      <c r="B33" s="236" t="s">
        <v>438</v>
      </c>
      <c r="C33" s="239">
        <v>10</v>
      </c>
      <c r="D33" s="239">
        <v>1</v>
      </c>
      <c r="E33" s="239">
        <f t="shared" si="2"/>
        <v>-9</v>
      </c>
      <c r="F33" s="238">
        <f t="shared" si="3"/>
        <v>-0.9</v>
      </c>
    </row>
    <row r="34" spans="1:6" ht="20.25" customHeight="1" x14ac:dyDescent="0.3">
      <c r="A34" s="235">
        <v>8</v>
      </c>
      <c r="B34" s="236" t="s">
        <v>439</v>
      </c>
      <c r="C34" s="239">
        <v>2</v>
      </c>
      <c r="D34" s="239">
        <v>0</v>
      </c>
      <c r="E34" s="239">
        <f t="shared" si="2"/>
        <v>-2</v>
      </c>
      <c r="F34" s="238">
        <f t="shared" si="3"/>
        <v>-1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1</v>
      </c>
      <c r="E35" s="239">
        <f t="shared" si="2"/>
        <v>1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219901</v>
      </c>
      <c r="D36" s="243">
        <f>+D27+D29</f>
        <v>71569</v>
      </c>
      <c r="E36" s="243">
        <f t="shared" si="2"/>
        <v>-148332</v>
      </c>
      <c r="F36" s="244">
        <f t="shared" si="3"/>
        <v>-0.67453990659433105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67958</v>
      </c>
      <c r="D37" s="243">
        <f>+D28+D30</f>
        <v>26782</v>
      </c>
      <c r="E37" s="243">
        <f t="shared" si="2"/>
        <v>-41176</v>
      </c>
      <c r="F37" s="244">
        <f t="shared" si="3"/>
        <v>-0.60590364636981664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16267821</v>
      </c>
      <c r="D40" s="237">
        <v>36131764</v>
      </c>
      <c r="E40" s="237">
        <f t="shared" ref="E40:E50" si="4">D40-C40</f>
        <v>19863943</v>
      </c>
      <c r="F40" s="238">
        <f t="shared" ref="F40:F50" si="5">IF(C40=0,0,E40/C40)</f>
        <v>1.2210573868497816</v>
      </c>
    </row>
    <row r="41" spans="1:6" ht="20.25" customHeight="1" x14ac:dyDescent="0.3">
      <c r="A41" s="235">
        <v>2</v>
      </c>
      <c r="B41" s="236" t="s">
        <v>435</v>
      </c>
      <c r="C41" s="237">
        <v>5027233</v>
      </c>
      <c r="D41" s="237">
        <v>12512457</v>
      </c>
      <c r="E41" s="237">
        <f t="shared" si="4"/>
        <v>7485224</v>
      </c>
      <c r="F41" s="238">
        <f t="shared" si="5"/>
        <v>1.4889351657263548</v>
      </c>
    </row>
    <row r="42" spans="1:6" ht="20.25" customHeight="1" x14ac:dyDescent="0.3">
      <c r="A42" s="235">
        <v>3</v>
      </c>
      <c r="B42" s="236" t="s">
        <v>436</v>
      </c>
      <c r="C42" s="237">
        <v>707143</v>
      </c>
      <c r="D42" s="237">
        <v>16515060</v>
      </c>
      <c r="E42" s="237">
        <f t="shared" si="4"/>
        <v>15807917</v>
      </c>
      <c r="F42" s="238">
        <f t="shared" si="5"/>
        <v>22.354625584924126</v>
      </c>
    </row>
    <row r="43" spans="1:6" ht="20.25" customHeight="1" x14ac:dyDescent="0.3">
      <c r="A43" s="235">
        <v>4</v>
      </c>
      <c r="B43" s="236" t="s">
        <v>437</v>
      </c>
      <c r="C43" s="237">
        <v>163244</v>
      </c>
      <c r="D43" s="237">
        <v>2960977</v>
      </c>
      <c r="E43" s="237">
        <f t="shared" si="4"/>
        <v>2797733</v>
      </c>
      <c r="F43" s="238">
        <f t="shared" si="5"/>
        <v>17.138351179828966</v>
      </c>
    </row>
    <row r="44" spans="1:6" ht="20.25" customHeight="1" x14ac:dyDescent="0.3">
      <c r="A44" s="235">
        <v>5</v>
      </c>
      <c r="B44" s="236" t="s">
        <v>373</v>
      </c>
      <c r="C44" s="239">
        <v>309</v>
      </c>
      <c r="D44" s="239">
        <v>562</v>
      </c>
      <c r="E44" s="239">
        <f t="shared" si="4"/>
        <v>253</v>
      </c>
      <c r="F44" s="238">
        <f t="shared" si="5"/>
        <v>0.81877022653721687</v>
      </c>
    </row>
    <row r="45" spans="1:6" ht="20.25" customHeight="1" x14ac:dyDescent="0.3">
      <c r="A45" s="235">
        <v>6</v>
      </c>
      <c r="B45" s="236" t="s">
        <v>372</v>
      </c>
      <c r="C45" s="239">
        <v>1437</v>
      </c>
      <c r="D45" s="239">
        <v>3015</v>
      </c>
      <c r="E45" s="239">
        <f t="shared" si="4"/>
        <v>1578</v>
      </c>
      <c r="F45" s="238">
        <f t="shared" si="5"/>
        <v>1.0981210855949897</v>
      </c>
    </row>
    <row r="46" spans="1:6" ht="20.25" customHeight="1" x14ac:dyDescent="0.3">
      <c r="A46" s="235">
        <v>7</v>
      </c>
      <c r="B46" s="236" t="s">
        <v>438</v>
      </c>
      <c r="C46" s="239">
        <v>237</v>
      </c>
      <c r="D46" s="239">
        <v>5556</v>
      </c>
      <c r="E46" s="239">
        <f t="shared" si="4"/>
        <v>5319</v>
      </c>
      <c r="F46" s="238">
        <f t="shared" si="5"/>
        <v>22.443037974683545</v>
      </c>
    </row>
    <row r="47" spans="1:6" ht="20.25" customHeight="1" x14ac:dyDescent="0.3">
      <c r="A47" s="235">
        <v>8</v>
      </c>
      <c r="B47" s="236" t="s">
        <v>439</v>
      </c>
      <c r="C47" s="239">
        <v>34</v>
      </c>
      <c r="D47" s="239">
        <v>453</v>
      </c>
      <c r="E47" s="239">
        <f t="shared" si="4"/>
        <v>419</v>
      </c>
      <c r="F47" s="238">
        <f t="shared" si="5"/>
        <v>12.323529411764707</v>
      </c>
    </row>
    <row r="48" spans="1:6" ht="20.25" customHeight="1" x14ac:dyDescent="0.3">
      <c r="A48" s="235">
        <v>9</v>
      </c>
      <c r="B48" s="236" t="s">
        <v>440</v>
      </c>
      <c r="C48" s="239">
        <v>23</v>
      </c>
      <c r="D48" s="239">
        <v>322</v>
      </c>
      <c r="E48" s="239">
        <f t="shared" si="4"/>
        <v>299</v>
      </c>
      <c r="F48" s="238">
        <f t="shared" si="5"/>
        <v>13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16974964</v>
      </c>
      <c r="D49" s="243">
        <f>+D40+D42</f>
        <v>52646824</v>
      </c>
      <c r="E49" s="243">
        <f t="shared" si="4"/>
        <v>35671860</v>
      </c>
      <c r="F49" s="244">
        <f t="shared" si="5"/>
        <v>2.1014395082074988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5190477</v>
      </c>
      <c r="D50" s="243">
        <f>+D41+D43</f>
        <v>15473434</v>
      </c>
      <c r="E50" s="243">
        <f t="shared" si="4"/>
        <v>10282957</v>
      </c>
      <c r="F50" s="244">
        <f t="shared" si="5"/>
        <v>1.9811198469813083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80705384</v>
      </c>
      <c r="D53" s="237">
        <v>32080851</v>
      </c>
      <c r="E53" s="237">
        <f t="shared" ref="E53:E63" si="6">D53-C53</f>
        <v>-48624533</v>
      </c>
      <c r="F53" s="238">
        <f t="shared" ref="F53:F63" si="7">IF(C53=0,0,E53/C53)</f>
        <v>-0.60249428960030726</v>
      </c>
    </row>
    <row r="54" spans="1:6" ht="20.25" customHeight="1" x14ac:dyDescent="0.3">
      <c r="A54" s="235">
        <v>2</v>
      </c>
      <c r="B54" s="236" t="s">
        <v>435</v>
      </c>
      <c r="C54" s="237">
        <v>28075691</v>
      </c>
      <c r="D54" s="237">
        <v>9720450</v>
      </c>
      <c r="E54" s="237">
        <f t="shared" si="6"/>
        <v>-18355241</v>
      </c>
      <c r="F54" s="238">
        <f t="shared" si="7"/>
        <v>-0.65377699875668238</v>
      </c>
    </row>
    <row r="55" spans="1:6" ht="20.25" customHeight="1" x14ac:dyDescent="0.3">
      <c r="A55" s="235">
        <v>3</v>
      </c>
      <c r="B55" s="236" t="s">
        <v>436</v>
      </c>
      <c r="C55" s="237">
        <v>34412114</v>
      </c>
      <c r="D55" s="237">
        <v>11191753</v>
      </c>
      <c r="E55" s="237">
        <f t="shared" si="6"/>
        <v>-23220361</v>
      </c>
      <c r="F55" s="238">
        <f t="shared" si="7"/>
        <v>-0.67477287213450476</v>
      </c>
    </row>
    <row r="56" spans="1:6" ht="20.25" customHeight="1" x14ac:dyDescent="0.3">
      <c r="A56" s="235">
        <v>4</v>
      </c>
      <c r="B56" s="236" t="s">
        <v>437</v>
      </c>
      <c r="C56" s="237">
        <v>9676150</v>
      </c>
      <c r="D56" s="237">
        <v>1810963</v>
      </c>
      <c r="E56" s="237">
        <f t="shared" si="6"/>
        <v>-7865187</v>
      </c>
      <c r="F56" s="238">
        <f t="shared" si="7"/>
        <v>-0.81284260785539708</v>
      </c>
    </row>
    <row r="57" spans="1:6" ht="20.25" customHeight="1" x14ac:dyDescent="0.3">
      <c r="A57" s="235">
        <v>5</v>
      </c>
      <c r="B57" s="236" t="s">
        <v>373</v>
      </c>
      <c r="C57" s="239">
        <v>1511</v>
      </c>
      <c r="D57" s="239">
        <v>429</v>
      </c>
      <c r="E57" s="239">
        <f t="shared" si="6"/>
        <v>-1082</v>
      </c>
      <c r="F57" s="238">
        <f t="shared" si="7"/>
        <v>-0.71608206485771009</v>
      </c>
    </row>
    <row r="58" spans="1:6" ht="20.25" customHeight="1" x14ac:dyDescent="0.3">
      <c r="A58" s="235">
        <v>6</v>
      </c>
      <c r="B58" s="236" t="s">
        <v>372</v>
      </c>
      <c r="C58" s="239">
        <v>7507</v>
      </c>
      <c r="D58" s="239">
        <v>3227</v>
      </c>
      <c r="E58" s="239">
        <f t="shared" si="6"/>
        <v>-4280</v>
      </c>
      <c r="F58" s="238">
        <f t="shared" si="7"/>
        <v>-0.57013454109497808</v>
      </c>
    </row>
    <row r="59" spans="1:6" ht="20.25" customHeight="1" x14ac:dyDescent="0.3">
      <c r="A59" s="235">
        <v>7</v>
      </c>
      <c r="B59" s="236" t="s">
        <v>438</v>
      </c>
      <c r="C59" s="239">
        <v>11512</v>
      </c>
      <c r="D59" s="239">
        <v>3298</v>
      </c>
      <c r="E59" s="239">
        <f t="shared" si="6"/>
        <v>-8214</v>
      </c>
      <c r="F59" s="238">
        <f t="shared" si="7"/>
        <v>-0.71351633078526755</v>
      </c>
    </row>
    <row r="60" spans="1:6" ht="20.25" customHeight="1" x14ac:dyDescent="0.3">
      <c r="A60" s="235">
        <v>8</v>
      </c>
      <c r="B60" s="236" t="s">
        <v>439</v>
      </c>
      <c r="C60" s="239">
        <v>956</v>
      </c>
      <c r="D60" s="239">
        <v>277</v>
      </c>
      <c r="E60" s="239">
        <f t="shared" si="6"/>
        <v>-679</v>
      </c>
      <c r="F60" s="238">
        <f t="shared" si="7"/>
        <v>-0.71025104602510458</v>
      </c>
    </row>
    <row r="61" spans="1:6" ht="20.25" customHeight="1" x14ac:dyDescent="0.3">
      <c r="A61" s="235">
        <v>9</v>
      </c>
      <c r="B61" s="236" t="s">
        <v>440</v>
      </c>
      <c r="C61" s="239">
        <v>961</v>
      </c>
      <c r="D61" s="239">
        <v>275</v>
      </c>
      <c r="E61" s="239">
        <f t="shared" si="6"/>
        <v>-686</v>
      </c>
      <c r="F61" s="238">
        <f t="shared" si="7"/>
        <v>-0.71383975026014568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115117498</v>
      </c>
      <c r="D62" s="243">
        <f>+D53+D55</f>
        <v>43272604</v>
      </c>
      <c r="E62" s="243">
        <f t="shared" si="6"/>
        <v>-71844894</v>
      </c>
      <c r="F62" s="244">
        <f t="shared" si="7"/>
        <v>-0.62410055159468458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37751841</v>
      </c>
      <c r="D63" s="243">
        <f>+D54+D56</f>
        <v>11531413</v>
      </c>
      <c r="E63" s="243">
        <f t="shared" si="6"/>
        <v>-26220428</v>
      </c>
      <c r="F63" s="244">
        <f t="shared" si="7"/>
        <v>-0.69454700235678568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4595377</v>
      </c>
      <c r="D66" s="237">
        <v>0</v>
      </c>
      <c r="E66" s="237">
        <f t="shared" ref="E66:E76" si="8">D66-C66</f>
        <v>-4595377</v>
      </c>
      <c r="F66" s="238">
        <f t="shared" ref="F66:F76" si="9">IF(C66=0,0,E66/C66)</f>
        <v>-1</v>
      </c>
    </row>
    <row r="67" spans="1:6" ht="20.25" customHeight="1" x14ac:dyDescent="0.3">
      <c r="A67" s="235">
        <v>2</v>
      </c>
      <c r="B67" s="236" t="s">
        <v>435</v>
      </c>
      <c r="C67" s="237">
        <v>1486564</v>
      </c>
      <c r="D67" s="237">
        <v>0</v>
      </c>
      <c r="E67" s="237">
        <f t="shared" si="8"/>
        <v>-1486564</v>
      </c>
      <c r="F67" s="238">
        <f t="shared" si="9"/>
        <v>-1</v>
      </c>
    </row>
    <row r="68" spans="1:6" ht="20.25" customHeight="1" x14ac:dyDescent="0.3">
      <c r="A68" s="235">
        <v>3</v>
      </c>
      <c r="B68" s="236" t="s">
        <v>436</v>
      </c>
      <c r="C68" s="237">
        <v>6119368</v>
      </c>
      <c r="D68" s="237">
        <v>0</v>
      </c>
      <c r="E68" s="237">
        <f t="shared" si="8"/>
        <v>-6119368</v>
      </c>
      <c r="F68" s="238">
        <f t="shared" si="9"/>
        <v>-1</v>
      </c>
    </row>
    <row r="69" spans="1:6" ht="20.25" customHeight="1" x14ac:dyDescent="0.3">
      <c r="A69" s="235">
        <v>4</v>
      </c>
      <c r="B69" s="236" t="s">
        <v>437</v>
      </c>
      <c r="C69" s="237">
        <v>1433821</v>
      </c>
      <c r="D69" s="237">
        <v>0</v>
      </c>
      <c r="E69" s="237">
        <f t="shared" si="8"/>
        <v>-1433821</v>
      </c>
      <c r="F69" s="238">
        <f t="shared" si="9"/>
        <v>-1</v>
      </c>
    </row>
    <row r="70" spans="1:6" ht="20.25" customHeight="1" x14ac:dyDescent="0.3">
      <c r="A70" s="235">
        <v>5</v>
      </c>
      <c r="B70" s="236" t="s">
        <v>373</v>
      </c>
      <c r="C70" s="239">
        <v>69</v>
      </c>
      <c r="D70" s="239">
        <v>0</v>
      </c>
      <c r="E70" s="239">
        <f t="shared" si="8"/>
        <v>-69</v>
      </c>
      <c r="F70" s="238">
        <f t="shared" si="9"/>
        <v>-1</v>
      </c>
    </row>
    <row r="71" spans="1:6" ht="20.25" customHeight="1" x14ac:dyDescent="0.3">
      <c r="A71" s="235">
        <v>6</v>
      </c>
      <c r="B71" s="236" t="s">
        <v>372</v>
      </c>
      <c r="C71" s="239">
        <v>471</v>
      </c>
      <c r="D71" s="239">
        <v>0</v>
      </c>
      <c r="E71" s="239">
        <f t="shared" si="8"/>
        <v>-471</v>
      </c>
      <c r="F71" s="238">
        <f t="shared" si="9"/>
        <v>-1</v>
      </c>
    </row>
    <row r="72" spans="1:6" ht="20.25" customHeight="1" x14ac:dyDescent="0.3">
      <c r="A72" s="235">
        <v>7</v>
      </c>
      <c r="B72" s="236" t="s">
        <v>438</v>
      </c>
      <c r="C72" s="239">
        <v>1909</v>
      </c>
      <c r="D72" s="239">
        <v>0</v>
      </c>
      <c r="E72" s="239">
        <f t="shared" si="8"/>
        <v>-1909</v>
      </c>
      <c r="F72" s="238">
        <f t="shared" si="9"/>
        <v>-1</v>
      </c>
    </row>
    <row r="73" spans="1:6" ht="20.25" customHeight="1" x14ac:dyDescent="0.3">
      <c r="A73" s="235">
        <v>8</v>
      </c>
      <c r="B73" s="236" t="s">
        <v>439</v>
      </c>
      <c r="C73" s="239">
        <v>158</v>
      </c>
      <c r="D73" s="239">
        <v>0</v>
      </c>
      <c r="E73" s="239">
        <f t="shared" si="8"/>
        <v>-158</v>
      </c>
      <c r="F73" s="238">
        <f t="shared" si="9"/>
        <v>-1</v>
      </c>
    </row>
    <row r="74" spans="1:6" ht="20.25" customHeight="1" x14ac:dyDescent="0.3">
      <c r="A74" s="235">
        <v>9</v>
      </c>
      <c r="B74" s="236" t="s">
        <v>440</v>
      </c>
      <c r="C74" s="239">
        <v>156</v>
      </c>
      <c r="D74" s="239">
        <v>0</v>
      </c>
      <c r="E74" s="239">
        <f t="shared" si="8"/>
        <v>-156</v>
      </c>
      <c r="F74" s="238">
        <f t="shared" si="9"/>
        <v>-1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10714745</v>
      </c>
      <c r="D75" s="243">
        <f>+D66+D68</f>
        <v>0</v>
      </c>
      <c r="E75" s="243">
        <f t="shared" si="8"/>
        <v>-10714745</v>
      </c>
      <c r="F75" s="244">
        <f t="shared" si="9"/>
        <v>-1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2920385</v>
      </c>
      <c r="D76" s="243">
        <f>+D67+D69</f>
        <v>0</v>
      </c>
      <c r="E76" s="243">
        <f t="shared" si="8"/>
        <v>-2920385</v>
      </c>
      <c r="F76" s="244">
        <f t="shared" si="9"/>
        <v>-1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8649385</v>
      </c>
      <c r="D79" s="237">
        <v>15569768</v>
      </c>
      <c r="E79" s="237">
        <f t="shared" ref="E79:E89" si="10">D79-C79</f>
        <v>6920383</v>
      </c>
      <c r="F79" s="238">
        <f t="shared" ref="F79:F89" si="11">IF(C79=0,0,E79/C79)</f>
        <v>0.80010116326189662</v>
      </c>
    </row>
    <row r="80" spans="1:6" ht="20.25" customHeight="1" x14ac:dyDescent="0.3">
      <c r="A80" s="235">
        <v>2</v>
      </c>
      <c r="B80" s="236" t="s">
        <v>435</v>
      </c>
      <c r="C80" s="237">
        <v>3159908</v>
      </c>
      <c r="D80" s="237">
        <v>5108697</v>
      </c>
      <c r="E80" s="237">
        <f t="shared" si="10"/>
        <v>1948789</v>
      </c>
      <c r="F80" s="238">
        <f t="shared" si="11"/>
        <v>0.61672333498317045</v>
      </c>
    </row>
    <row r="81" spans="1:6" ht="20.25" customHeight="1" x14ac:dyDescent="0.3">
      <c r="A81" s="235">
        <v>3</v>
      </c>
      <c r="B81" s="236" t="s">
        <v>436</v>
      </c>
      <c r="C81" s="237">
        <v>2126132</v>
      </c>
      <c r="D81" s="237">
        <v>5178917</v>
      </c>
      <c r="E81" s="237">
        <f t="shared" si="10"/>
        <v>3052785</v>
      </c>
      <c r="F81" s="238">
        <f t="shared" si="11"/>
        <v>1.43583982556116</v>
      </c>
    </row>
    <row r="82" spans="1:6" ht="20.25" customHeight="1" x14ac:dyDescent="0.3">
      <c r="A82" s="235">
        <v>4</v>
      </c>
      <c r="B82" s="236" t="s">
        <v>437</v>
      </c>
      <c r="C82" s="237">
        <v>394459</v>
      </c>
      <c r="D82" s="237">
        <v>720603</v>
      </c>
      <c r="E82" s="237">
        <f t="shared" si="10"/>
        <v>326144</v>
      </c>
      <c r="F82" s="238">
        <f t="shared" si="11"/>
        <v>0.82681343308176514</v>
      </c>
    </row>
    <row r="83" spans="1:6" ht="20.25" customHeight="1" x14ac:dyDescent="0.3">
      <c r="A83" s="235">
        <v>5</v>
      </c>
      <c r="B83" s="236" t="s">
        <v>373</v>
      </c>
      <c r="C83" s="239">
        <v>179</v>
      </c>
      <c r="D83" s="239">
        <v>274</v>
      </c>
      <c r="E83" s="239">
        <f t="shared" si="10"/>
        <v>95</v>
      </c>
      <c r="F83" s="238">
        <f t="shared" si="11"/>
        <v>0.53072625698324027</v>
      </c>
    </row>
    <row r="84" spans="1:6" ht="20.25" customHeight="1" x14ac:dyDescent="0.3">
      <c r="A84" s="235">
        <v>6</v>
      </c>
      <c r="B84" s="236" t="s">
        <v>372</v>
      </c>
      <c r="C84" s="239">
        <v>1008</v>
      </c>
      <c r="D84" s="239">
        <v>1598</v>
      </c>
      <c r="E84" s="239">
        <f t="shared" si="10"/>
        <v>590</v>
      </c>
      <c r="F84" s="238">
        <f t="shared" si="11"/>
        <v>0.58531746031746035</v>
      </c>
    </row>
    <row r="85" spans="1:6" ht="20.25" customHeight="1" x14ac:dyDescent="0.3">
      <c r="A85" s="235">
        <v>7</v>
      </c>
      <c r="B85" s="236" t="s">
        <v>438</v>
      </c>
      <c r="C85" s="239">
        <v>1454</v>
      </c>
      <c r="D85" s="239">
        <v>2204</v>
      </c>
      <c r="E85" s="239">
        <f t="shared" si="10"/>
        <v>750</v>
      </c>
      <c r="F85" s="238">
        <f t="shared" si="11"/>
        <v>0.51581843191196697</v>
      </c>
    </row>
    <row r="86" spans="1:6" ht="20.25" customHeight="1" x14ac:dyDescent="0.3">
      <c r="A86" s="235">
        <v>8</v>
      </c>
      <c r="B86" s="236" t="s">
        <v>439</v>
      </c>
      <c r="C86" s="239">
        <v>147</v>
      </c>
      <c r="D86" s="239">
        <v>206</v>
      </c>
      <c r="E86" s="239">
        <f t="shared" si="10"/>
        <v>59</v>
      </c>
      <c r="F86" s="238">
        <f t="shared" si="11"/>
        <v>0.40136054421768708</v>
      </c>
    </row>
    <row r="87" spans="1:6" ht="20.25" customHeight="1" x14ac:dyDescent="0.3">
      <c r="A87" s="235">
        <v>9</v>
      </c>
      <c r="B87" s="236" t="s">
        <v>440</v>
      </c>
      <c r="C87" s="239">
        <v>147</v>
      </c>
      <c r="D87" s="239">
        <v>224</v>
      </c>
      <c r="E87" s="239">
        <f t="shared" si="10"/>
        <v>77</v>
      </c>
      <c r="F87" s="238">
        <f t="shared" si="11"/>
        <v>0.52380952380952384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10775517</v>
      </c>
      <c r="D88" s="243">
        <f>+D79+D81</f>
        <v>20748685</v>
      </c>
      <c r="E88" s="243">
        <f t="shared" si="10"/>
        <v>9973168</v>
      </c>
      <c r="F88" s="244">
        <f t="shared" si="11"/>
        <v>0.92553962840019643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3554367</v>
      </c>
      <c r="D89" s="243">
        <f>+D80+D82</f>
        <v>5829300</v>
      </c>
      <c r="E89" s="243">
        <f t="shared" si="10"/>
        <v>2274933</v>
      </c>
      <c r="F89" s="244">
        <f t="shared" si="11"/>
        <v>0.64003885923991533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14375172</v>
      </c>
      <c r="D92" s="237">
        <v>66138577</v>
      </c>
      <c r="E92" s="237">
        <f t="shared" ref="E92:E102" si="12">D92-C92</f>
        <v>51763405</v>
      </c>
      <c r="F92" s="238">
        <f t="shared" ref="F92:F102" si="13">IF(C92=0,0,E92/C92)</f>
        <v>3.600889436314223</v>
      </c>
    </row>
    <row r="93" spans="1:6" ht="20.25" customHeight="1" x14ac:dyDescent="0.3">
      <c r="A93" s="235">
        <v>2</v>
      </c>
      <c r="B93" s="236" t="s">
        <v>435</v>
      </c>
      <c r="C93" s="237">
        <v>4488603</v>
      </c>
      <c r="D93" s="237">
        <v>24155180</v>
      </c>
      <c r="E93" s="237">
        <f t="shared" si="12"/>
        <v>19666577</v>
      </c>
      <c r="F93" s="238">
        <f t="shared" si="13"/>
        <v>4.3814471896935414</v>
      </c>
    </row>
    <row r="94" spans="1:6" ht="20.25" customHeight="1" x14ac:dyDescent="0.3">
      <c r="A94" s="235">
        <v>3</v>
      </c>
      <c r="B94" s="236" t="s">
        <v>436</v>
      </c>
      <c r="C94" s="237">
        <v>4865765</v>
      </c>
      <c r="D94" s="237">
        <v>26829117</v>
      </c>
      <c r="E94" s="237">
        <f t="shared" si="12"/>
        <v>21963352</v>
      </c>
      <c r="F94" s="238">
        <f t="shared" si="13"/>
        <v>4.5138538338781258</v>
      </c>
    </row>
    <row r="95" spans="1:6" ht="20.25" customHeight="1" x14ac:dyDescent="0.3">
      <c r="A95" s="235">
        <v>4</v>
      </c>
      <c r="B95" s="236" t="s">
        <v>437</v>
      </c>
      <c r="C95" s="237">
        <v>1021979</v>
      </c>
      <c r="D95" s="237">
        <v>4824367</v>
      </c>
      <c r="E95" s="237">
        <f t="shared" si="12"/>
        <v>3802388</v>
      </c>
      <c r="F95" s="238">
        <f t="shared" si="13"/>
        <v>3.7206126544674598</v>
      </c>
    </row>
    <row r="96" spans="1:6" ht="20.25" customHeight="1" x14ac:dyDescent="0.3">
      <c r="A96" s="235">
        <v>5</v>
      </c>
      <c r="B96" s="236" t="s">
        <v>373</v>
      </c>
      <c r="C96" s="239">
        <v>277</v>
      </c>
      <c r="D96" s="239">
        <v>1098</v>
      </c>
      <c r="E96" s="239">
        <f t="shared" si="12"/>
        <v>821</v>
      </c>
      <c r="F96" s="238">
        <f t="shared" si="13"/>
        <v>2.963898916967509</v>
      </c>
    </row>
    <row r="97" spans="1:6" ht="20.25" customHeight="1" x14ac:dyDescent="0.3">
      <c r="A97" s="235">
        <v>6</v>
      </c>
      <c r="B97" s="236" t="s">
        <v>372</v>
      </c>
      <c r="C97" s="239">
        <v>1469</v>
      </c>
      <c r="D97" s="239">
        <v>6396</v>
      </c>
      <c r="E97" s="239">
        <f t="shared" si="12"/>
        <v>4927</v>
      </c>
      <c r="F97" s="238">
        <f t="shared" si="13"/>
        <v>3.3539823008849559</v>
      </c>
    </row>
    <row r="98" spans="1:6" ht="20.25" customHeight="1" x14ac:dyDescent="0.3">
      <c r="A98" s="235">
        <v>7</v>
      </c>
      <c r="B98" s="236" t="s">
        <v>438</v>
      </c>
      <c r="C98" s="239">
        <v>2081</v>
      </c>
      <c r="D98" s="239">
        <v>10066</v>
      </c>
      <c r="E98" s="239">
        <f t="shared" si="12"/>
        <v>7985</v>
      </c>
      <c r="F98" s="238">
        <f t="shared" si="13"/>
        <v>3.8370975492551658</v>
      </c>
    </row>
    <row r="99" spans="1:6" ht="20.25" customHeight="1" x14ac:dyDescent="0.3">
      <c r="A99" s="235">
        <v>8</v>
      </c>
      <c r="B99" s="236" t="s">
        <v>439</v>
      </c>
      <c r="C99" s="239">
        <v>268</v>
      </c>
      <c r="D99" s="239">
        <v>745</v>
      </c>
      <c r="E99" s="239">
        <f t="shared" si="12"/>
        <v>477</v>
      </c>
      <c r="F99" s="238">
        <f t="shared" si="13"/>
        <v>1.7798507462686568</v>
      </c>
    </row>
    <row r="100" spans="1:6" ht="20.25" customHeight="1" x14ac:dyDescent="0.3">
      <c r="A100" s="235">
        <v>9</v>
      </c>
      <c r="B100" s="236" t="s">
        <v>440</v>
      </c>
      <c r="C100" s="239">
        <v>207</v>
      </c>
      <c r="D100" s="239">
        <v>734</v>
      </c>
      <c r="E100" s="239">
        <f t="shared" si="12"/>
        <v>527</v>
      </c>
      <c r="F100" s="238">
        <f t="shared" si="13"/>
        <v>2.5458937198067635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19240937</v>
      </c>
      <c r="D101" s="243">
        <f>+D92+D94</f>
        <v>92967694</v>
      </c>
      <c r="E101" s="243">
        <f t="shared" si="12"/>
        <v>73726757</v>
      </c>
      <c r="F101" s="244">
        <f t="shared" si="13"/>
        <v>3.8317654176613125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5510582</v>
      </c>
      <c r="D102" s="243">
        <f>+D93+D95</f>
        <v>28979547</v>
      </c>
      <c r="E102" s="243">
        <f t="shared" si="12"/>
        <v>23468965</v>
      </c>
      <c r="F102" s="244">
        <f t="shared" si="13"/>
        <v>4.2588904402475096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4584445</v>
      </c>
      <c r="D105" s="237">
        <v>6923777</v>
      </c>
      <c r="E105" s="237">
        <f t="shared" ref="E105:E115" si="14">D105-C105</f>
        <v>2339332</v>
      </c>
      <c r="F105" s="238">
        <f t="shared" ref="F105:F115" si="15">IF(C105=0,0,E105/C105)</f>
        <v>0.51027594398013287</v>
      </c>
    </row>
    <row r="106" spans="1:6" ht="20.25" customHeight="1" x14ac:dyDescent="0.3">
      <c r="A106" s="235">
        <v>2</v>
      </c>
      <c r="B106" s="236" t="s">
        <v>435</v>
      </c>
      <c r="C106" s="237">
        <v>1069220</v>
      </c>
      <c r="D106" s="237">
        <v>1820679</v>
      </c>
      <c r="E106" s="237">
        <f t="shared" si="14"/>
        <v>751459</v>
      </c>
      <c r="F106" s="238">
        <f t="shared" si="15"/>
        <v>0.70281045996146729</v>
      </c>
    </row>
    <row r="107" spans="1:6" ht="20.25" customHeight="1" x14ac:dyDescent="0.3">
      <c r="A107" s="235">
        <v>3</v>
      </c>
      <c r="B107" s="236" t="s">
        <v>436</v>
      </c>
      <c r="C107" s="237">
        <v>1381050</v>
      </c>
      <c r="D107" s="237">
        <v>1896914</v>
      </c>
      <c r="E107" s="237">
        <f t="shared" si="14"/>
        <v>515864</v>
      </c>
      <c r="F107" s="238">
        <f t="shared" si="15"/>
        <v>0.37353028492813439</v>
      </c>
    </row>
    <row r="108" spans="1:6" ht="20.25" customHeight="1" x14ac:dyDescent="0.3">
      <c r="A108" s="235">
        <v>4</v>
      </c>
      <c r="B108" s="236" t="s">
        <v>437</v>
      </c>
      <c r="C108" s="237">
        <v>366764</v>
      </c>
      <c r="D108" s="237">
        <v>357573</v>
      </c>
      <c r="E108" s="237">
        <f t="shared" si="14"/>
        <v>-9191</v>
      </c>
      <c r="F108" s="238">
        <f t="shared" si="15"/>
        <v>-2.5059711422058872E-2</v>
      </c>
    </row>
    <row r="109" spans="1:6" ht="20.25" customHeight="1" x14ac:dyDescent="0.3">
      <c r="A109" s="235">
        <v>5</v>
      </c>
      <c r="B109" s="236" t="s">
        <v>373</v>
      </c>
      <c r="C109" s="239">
        <v>67</v>
      </c>
      <c r="D109" s="239">
        <v>127</v>
      </c>
      <c r="E109" s="239">
        <f t="shared" si="14"/>
        <v>60</v>
      </c>
      <c r="F109" s="238">
        <f t="shared" si="15"/>
        <v>0.89552238805970152</v>
      </c>
    </row>
    <row r="110" spans="1:6" ht="20.25" customHeight="1" x14ac:dyDescent="0.3">
      <c r="A110" s="235">
        <v>6</v>
      </c>
      <c r="B110" s="236" t="s">
        <v>372</v>
      </c>
      <c r="C110" s="239">
        <v>440</v>
      </c>
      <c r="D110" s="239">
        <v>819</v>
      </c>
      <c r="E110" s="239">
        <f t="shared" si="14"/>
        <v>379</v>
      </c>
      <c r="F110" s="238">
        <f t="shared" si="15"/>
        <v>0.86136363636363633</v>
      </c>
    </row>
    <row r="111" spans="1:6" ht="20.25" customHeight="1" x14ac:dyDescent="0.3">
      <c r="A111" s="235">
        <v>7</v>
      </c>
      <c r="B111" s="236" t="s">
        <v>438</v>
      </c>
      <c r="C111" s="239">
        <v>460</v>
      </c>
      <c r="D111" s="239">
        <v>790</v>
      </c>
      <c r="E111" s="239">
        <f t="shared" si="14"/>
        <v>330</v>
      </c>
      <c r="F111" s="238">
        <f t="shared" si="15"/>
        <v>0.71739130434782605</v>
      </c>
    </row>
    <row r="112" spans="1:6" ht="20.25" customHeight="1" x14ac:dyDescent="0.3">
      <c r="A112" s="235">
        <v>8</v>
      </c>
      <c r="B112" s="236" t="s">
        <v>439</v>
      </c>
      <c r="C112" s="239">
        <v>103</v>
      </c>
      <c r="D112" s="239">
        <v>137</v>
      </c>
      <c r="E112" s="239">
        <f t="shared" si="14"/>
        <v>34</v>
      </c>
      <c r="F112" s="238">
        <f t="shared" si="15"/>
        <v>0.3300970873786408</v>
      </c>
    </row>
    <row r="113" spans="1:6" ht="20.25" customHeight="1" x14ac:dyDescent="0.3">
      <c r="A113" s="235">
        <v>9</v>
      </c>
      <c r="B113" s="236" t="s">
        <v>440</v>
      </c>
      <c r="C113" s="239">
        <v>54</v>
      </c>
      <c r="D113" s="239">
        <v>96</v>
      </c>
      <c r="E113" s="239">
        <f t="shared" si="14"/>
        <v>42</v>
      </c>
      <c r="F113" s="238">
        <f t="shared" si="15"/>
        <v>0.77777777777777779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5965495</v>
      </c>
      <c r="D114" s="243">
        <f>+D105+D107</f>
        <v>8820691</v>
      </c>
      <c r="E114" s="243">
        <f t="shared" si="14"/>
        <v>2855196</v>
      </c>
      <c r="F114" s="244">
        <f t="shared" si="15"/>
        <v>0.47861845496475985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1435984</v>
      </c>
      <c r="D115" s="243">
        <f>+D106+D108</f>
        <v>2178252</v>
      </c>
      <c r="E115" s="243">
        <f t="shared" si="14"/>
        <v>742268</v>
      </c>
      <c r="F115" s="244">
        <f t="shared" si="15"/>
        <v>0.51690548084101218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7734399</v>
      </c>
      <c r="D118" s="237">
        <v>7219188</v>
      </c>
      <c r="E118" s="237">
        <f t="shared" ref="E118:E128" si="16">D118-C118</f>
        <v>-515211</v>
      </c>
      <c r="F118" s="238">
        <f t="shared" ref="F118:F128" si="17">IF(C118=0,0,E118/C118)</f>
        <v>-6.6612932691990673E-2</v>
      </c>
    </row>
    <row r="119" spans="1:6" ht="20.25" customHeight="1" x14ac:dyDescent="0.3">
      <c r="A119" s="235">
        <v>2</v>
      </c>
      <c r="B119" s="236" t="s">
        <v>435</v>
      </c>
      <c r="C119" s="237">
        <v>2159753</v>
      </c>
      <c r="D119" s="237">
        <v>2665195</v>
      </c>
      <c r="E119" s="237">
        <f t="shared" si="16"/>
        <v>505442</v>
      </c>
      <c r="F119" s="238">
        <f t="shared" si="17"/>
        <v>0.23402768742536761</v>
      </c>
    </row>
    <row r="120" spans="1:6" ht="20.25" customHeight="1" x14ac:dyDescent="0.3">
      <c r="A120" s="235">
        <v>3</v>
      </c>
      <c r="B120" s="236" t="s">
        <v>436</v>
      </c>
      <c r="C120" s="237">
        <v>3014344</v>
      </c>
      <c r="D120" s="237">
        <v>3205650</v>
      </c>
      <c r="E120" s="237">
        <f t="shared" si="16"/>
        <v>191306</v>
      </c>
      <c r="F120" s="238">
        <f t="shared" si="17"/>
        <v>6.3465218302887788E-2</v>
      </c>
    </row>
    <row r="121" spans="1:6" ht="20.25" customHeight="1" x14ac:dyDescent="0.3">
      <c r="A121" s="235">
        <v>4</v>
      </c>
      <c r="B121" s="236" t="s">
        <v>437</v>
      </c>
      <c r="C121" s="237">
        <v>688040</v>
      </c>
      <c r="D121" s="237">
        <v>687764</v>
      </c>
      <c r="E121" s="237">
        <f t="shared" si="16"/>
        <v>-276</v>
      </c>
      <c r="F121" s="238">
        <f t="shared" si="17"/>
        <v>-4.0113946863554444E-4</v>
      </c>
    </row>
    <row r="122" spans="1:6" ht="20.25" customHeight="1" x14ac:dyDescent="0.3">
      <c r="A122" s="235">
        <v>5</v>
      </c>
      <c r="B122" s="236" t="s">
        <v>373</v>
      </c>
      <c r="C122" s="239">
        <v>136</v>
      </c>
      <c r="D122" s="239">
        <v>128</v>
      </c>
      <c r="E122" s="239">
        <f t="shared" si="16"/>
        <v>-8</v>
      </c>
      <c r="F122" s="238">
        <f t="shared" si="17"/>
        <v>-5.8823529411764705E-2</v>
      </c>
    </row>
    <row r="123" spans="1:6" ht="20.25" customHeight="1" x14ac:dyDescent="0.3">
      <c r="A123" s="235">
        <v>6</v>
      </c>
      <c r="B123" s="236" t="s">
        <v>372</v>
      </c>
      <c r="C123" s="239">
        <v>786</v>
      </c>
      <c r="D123" s="239">
        <v>699</v>
      </c>
      <c r="E123" s="239">
        <f t="shared" si="16"/>
        <v>-87</v>
      </c>
      <c r="F123" s="238">
        <f t="shared" si="17"/>
        <v>-0.11068702290076336</v>
      </c>
    </row>
    <row r="124" spans="1:6" ht="20.25" customHeight="1" x14ac:dyDescent="0.3">
      <c r="A124" s="235">
        <v>7</v>
      </c>
      <c r="B124" s="236" t="s">
        <v>438</v>
      </c>
      <c r="C124" s="239">
        <v>1114</v>
      </c>
      <c r="D124" s="239">
        <v>1044</v>
      </c>
      <c r="E124" s="239">
        <f t="shared" si="16"/>
        <v>-70</v>
      </c>
      <c r="F124" s="238">
        <f t="shared" si="17"/>
        <v>-6.283662477558348E-2</v>
      </c>
    </row>
    <row r="125" spans="1:6" ht="20.25" customHeight="1" x14ac:dyDescent="0.3">
      <c r="A125" s="235">
        <v>8</v>
      </c>
      <c r="B125" s="236" t="s">
        <v>439</v>
      </c>
      <c r="C125" s="239">
        <v>103</v>
      </c>
      <c r="D125" s="239">
        <v>80</v>
      </c>
      <c r="E125" s="239">
        <f t="shared" si="16"/>
        <v>-23</v>
      </c>
      <c r="F125" s="238">
        <f t="shared" si="17"/>
        <v>-0.22330097087378642</v>
      </c>
    </row>
    <row r="126" spans="1:6" ht="20.25" customHeight="1" x14ac:dyDescent="0.3">
      <c r="A126" s="235">
        <v>9</v>
      </c>
      <c r="B126" s="236" t="s">
        <v>440</v>
      </c>
      <c r="C126" s="239">
        <v>81</v>
      </c>
      <c r="D126" s="239">
        <v>74</v>
      </c>
      <c r="E126" s="239">
        <f t="shared" si="16"/>
        <v>-7</v>
      </c>
      <c r="F126" s="238">
        <f t="shared" si="17"/>
        <v>-8.6419753086419748E-2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10748743</v>
      </c>
      <c r="D127" s="243">
        <f>+D118+D120</f>
        <v>10424838</v>
      </c>
      <c r="E127" s="243">
        <f t="shared" si="16"/>
        <v>-323905</v>
      </c>
      <c r="F127" s="244">
        <f t="shared" si="17"/>
        <v>-3.0134221275920355E-2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2847793</v>
      </c>
      <c r="D128" s="243">
        <f>+D119+D121</f>
        <v>3352959</v>
      </c>
      <c r="E128" s="243">
        <f t="shared" si="16"/>
        <v>505166</v>
      </c>
      <c r="F128" s="244">
        <f t="shared" si="17"/>
        <v>0.17738859530871801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771210</v>
      </c>
      <c r="D131" s="237">
        <v>1389080</v>
      </c>
      <c r="E131" s="237">
        <f t="shared" ref="E131:E141" si="18">D131-C131</f>
        <v>617870</v>
      </c>
      <c r="F131" s="238">
        <f t="shared" ref="F131:F141" si="19">IF(C131=0,0,E131/C131)</f>
        <v>0.80116959064327486</v>
      </c>
    </row>
    <row r="132" spans="1:6" ht="20.25" customHeight="1" x14ac:dyDescent="0.3">
      <c r="A132" s="235">
        <v>2</v>
      </c>
      <c r="B132" s="236" t="s">
        <v>435</v>
      </c>
      <c r="C132" s="237">
        <v>128285</v>
      </c>
      <c r="D132" s="237">
        <v>351669</v>
      </c>
      <c r="E132" s="237">
        <f t="shared" si="18"/>
        <v>223384</v>
      </c>
      <c r="F132" s="238">
        <f t="shared" si="19"/>
        <v>1.7413103636434502</v>
      </c>
    </row>
    <row r="133" spans="1:6" ht="20.25" customHeight="1" x14ac:dyDescent="0.3">
      <c r="A133" s="235">
        <v>3</v>
      </c>
      <c r="B133" s="236" t="s">
        <v>436</v>
      </c>
      <c r="C133" s="237">
        <v>132180</v>
      </c>
      <c r="D133" s="237">
        <v>226598</v>
      </c>
      <c r="E133" s="237">
        <f t="shared" si="18"/>
        <v>94418</v>
      </c>
      <c r="F133" s="238">
        <f t="shared" si="19"/>
        <v>0.71431381449538511</v>
      </c>
    </row>
    <row r="134" spans="1:6" ht="20.25" customHeight="1" x14ac:dyDescent="0.3">
      <c r="A134" s="235">
        <v>4</v>
      </c>
      <c r="B134" s="236" t="s">
        <v>437</v>
      </c>
      <c r="C134" s="237">
        <v>31716</v>
      </c>
      <c r="D134" s="237">
        <v>154962</v>
      </c>
      <c r="E134" s="237">
        <f t="shared" si="18"/>
        <v>123246</v>
      </c>
      <c r="F134" s="238">
        <f t="shared" si="19"/>
        <v>3.8859250851305336</v>
      </c>
    </row>
    <row r="135" spans="1:6" ht="20.25" customHeight="1" x14ac:dyDescent="0.3">
      <c r="A135" s="235">
        <v>5</v>
      </c>
      <c r="B135" s="236" t="s">
        <v>373</v>
      </c>
      <c r="C135" s="239">
        <v>12</v>
      </c>
      <c r="D135" s="239">
        <v>27</v>
      </c>
      <c r="E135" s="239">
        <f t="shared" si="18"/>
        <v>15</v>
      </c>
      <c r="F135" s="238">
        <f t="shared" si="19"/>
        <v>1.25</v>
      </c>
    </row>
    <row r="136" spans="1:6" ht="20.25" customHeight="1" x14ac:dyDescent="0.3">
      <c r="A136" s="235">
        <v>6</v>
      </c>
      <c r="B136" s="236" t="s">
        <v>372</v>
      </c>
      <c r="C136" s="239">
        <v>82</v>
      </c>
      <c r="D136" s="239">
        <v>142</v>
      </c>
      <c r="E136" s="239">
        <f t="shared" si="18"/>
        <v>60</v>
      </c>
      <c r="F136" s="238">
        <f t="shared" si="19"/>
        <v>0.73170731707317072</v>
      </c>
    </row>
    <row r="137" spans="1:6" ht="20.25" customHeight="1" x14ac:dyDescent="0.3">
      <c r="A137" s="235">
        <v>7</v>
      </c>
      <c r="B137" s="236" t="s">
        <v>438</v>
      </c>
      <c r="C137" s="239">
        <v>83</v>
      </c>
      <c r="D137" s="239">
        <v>89</v>
      </c>
      <c r="E137" s="239">
        <f t="shared" si="18"/>
        <v>6</v>
      </c>
      <c r="F137" s="238">
        <f t="shared" si="19"/>
        <v>7.2289156626506021E-2</v>
      </c>
    </row>
    <row r="138" spans="1:6" ht="20.25" customHeight="1" x14ac:dyDescent="0.3">
      <c r="A138" s="235">
        <v>8</v>
      </c>
      <c r="B138" s="236" t="s">
        <v>439</v>
      </c>
      <c r="C138" s="239">
        <v>9</v>
      </c>
      <c r="D138" s="239">
        <v>13</v>
      </c>
      <c r="E138" s="239">
        <f t="shared" si="18"/>
        <v>4</v>
      </c>
      <c r="F138" s="238">
        <f t="shared" si="19"/>
        <v>0.44444444444444442</v>
      </c>
    </row>
    <row r="139" spans="1:6" ht="20.25" customHeight="1" x14ac:dyDescent="0.3">
      <c r="A139" s="235">
        <v>9</v>
      </c>
      <c r="B139" s="236" t="s">
        <v>440</v>
      </c>
      <c r="C139" s="239">
        <v>4</v>
      </c>
      <c r="D139" s="239">
        <v>21</v>
      </c>
      <c r="E139" s="239">
        <f t="shared" si="18"/>
        <v>17</v>
      </c>
      <c r="F139" s="238">
        <f t="shared" si="19"/>
        <v>4.25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903390</v>
      </c>
      <c r="D140" s="243">
        <f>+D131+D133</f>
        <v>1615678</v>
      </c>
      <c r="E140" s="243">
        <f t="shared" si="18"/>
        <v>712288</v>
      </c>
      <c r="F140" s="244">
        <f t="shared" si="19"/>
        <v>0.78846124043879162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160001</v>
      </c>
      <c r="D141" s="243">
        <f>+D132+D134</f>
        <v>506631</v>
      </c>
      <c r="E141" s="243">
        <f t="shared" si="18"/>
        <v>346630</v>
      </c>
      <c r="F141" s="244">
        <f t="shared" si="19"/>
        <v>2.1664239598502508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147412203</v>
      </c>
      <c r="D198" s="243">
        <f t="shared" si="28"/>
        <v>179777258</v>
      </c>
      <c r="E198" s="243">
        <f t="shared" ref="E198:E208" si="29">D198-C198</f>
        <v>32365055</v>
      </c>
      <c r="F198" s="251">
        <f t="shared" ref="F198:F208" si="30">IF(C198=0,0,E198/C198)</f>
        <v>0.21955478814735574</v>
      </c>
    </row>
    <row r="199" spans="1:9" ht="20.25" customHeight="1" x14ac:dyDescent="0.3">
      <c r="A199" s="249"/>
      <c r="B199" s="250" t="s">
        <v>461</v>
      </c>
      <c r="C199" s="243">
        <f t="shared" si="28"/>
        <v>49049996</v>
      </c>
      <c r="D199" s="243">
        <f t="shared" si="28"/>
        <v>62713408</v>
      </c>
      <c r="E199" s="243">
        <f t="shared" si="29"/>
        <v>13663412</v>
      </c>
      <c r="F199" s="251">
        <f t="shared" si="30"/>
        <v>0.27856091976031966</v>
      </c>
    </row>
    <row r="200" spans="1:9" ht="20.25" customHeight="1" x14ac:dyDescent="0.3">
      <c r="A200" s="249"/>
      <c r="B200" s="250" t="s">
        <v>462</v>
      </c>
      <c r="C200" s="243">
        <f t="shared" si="28"/>
        <v>55347990</v>
      </c>
      <c r="D200" s="243">
        <f t="shared" si="28"/>
        <v>69635362</v>
      </c>
      <c r="E200" s="243">
        <f t="shared" si="29"/>
        <v>14287372</v>
      </c>
      <c r="F200" s="251">
        <f t="shared" si="30"/>
        <v>0.2581371428302997</v>
      </c>
    </row>
    <row r="201" spans="1:9" ht="20.25" customHeight="1" x14ac:dyDescent="0.3">
      <c r="A201" s="249"/>
      <c r="B201" s="250" t="s">
        <v>463</v>
      </c>
      <c r="C201" s="243">
        <f t="shared" si="28"/>
        <v>14587047</v>
      </c>
      <c r="D201" s="243">
        <f t="shared" si="28"/>
        <v>12862858</v>
      </c>
      <c r="E201" s="243">
        <f t="shared" si="29"/>
        <v>-1724189</v>
      </c>
      <c r="F201" s="251">
        <f t="shared" si="30"/>
        <v>-0.11820000305750712</v>
      </c>
    </row>
    <row r="202" spans="1:9" ht="20.25" customHeight="1" x14ac:dyDescent="0.3">
      <c r="A202" s="249"/>
      <c r="B202" s="250" t="s">
        <v>464</v>
      </c>
      <c r="C202" s="252">
        <f t="shared" si="28"/>
        <v>2741</v>
      </c>
      <c r="D202" s="252">
        <f t="shared" si="28"/>
        <v>2857</v>
      </c>
      <c r="E202" s="252">
        <f t="shared" si="29"/>
        <v>116</v>
      </c>
      <c r="F202" s="251">
        <f t="shared" si="30"/>
        <v>4.2320321050711422E-2</v>
      </c>
    </row>
    <row r="203" spans="1:9" ht="20.25" customHeight="1" x14ac:dyDescent="0.3">
      <c r="A203" s="249"/>
      <c r="B203" s="250" t="s">
        <v>465</v>
      </c>
      <c r="C203" s="252">
        <f t="shared" si="28"/>
        <v>14095</v>
      </c>
      <c r="D203" s="252">
        <f t="shared" si="28"/>
        <v>17165</v>
      </c>
      <c r="E203" s="252">
        <f t="shared" si="29"/>
        <v>3070</v>
      </c>
      <c r="F203" s="251">
        <f t="shared" si="30"/>
        <v>0.21780773323873714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20008</v>
      </c>
      <c r="D204" s="252">
        <f t="shared" si="28"/>
        <v>24736</v>
      </c>
      <c r="E204" s="252">
        <f t="shared" si="29"/>
        <v>4728</v>
      </c>
      <c r="F204" s="251">
        <f t="shared" si="30"/>
        <v>0.23630547780887645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1853</v>
      </c>
      <c r="D205" s="252">
        <f t="shared" si="28"/>
        <v>2021</v>
      </c>
      <c r="E205" s="252">
        <f t="shared" si="29"/>
        <v>168</v>
      </c>
      <c r="F205" s="251">
        <f t="shared" si="30"/>
        <v>9.0663788451160285E-2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1729</v>
      </c>
      <c r="D206" s="252">
        <f t="shared" si="28"/>
        <v>1878</v>
      </c>
      <c r="E206" s="252">
        <f t="shared" si="29"/>
        <v>149</v>
      </c>
      <c r="F206" s="251">
        <f t="shared" si="30"/>
        <v>8.6176980913823018E-2</v>
      </c>
    </row>
    <row r="207" spans="1:9" ht="20.25" customHeight="1" x14ac:dyDescent="0.3">
      <c r="A207" s="249"/>
      <c r="B207" s="242" t="s">
        <v>469</v>
      </c>
      <c r="C207" s="243">
        <f>+C198+C200</f>
        <v>202760193</v>
      </c>
      <c r="D207" s="243">
        <f>+D198+D200</f>
        <v>249412620</v>
      </c>
      <c r="E207" s="243">
        <f t="shared" si="29"/>
        <v>46652427</v>
      </c>
      <c r="F207" s="251">
        <f t="shared" si="30"/>
        <v>0.23008671628163227</v>
      </c>
    </row>
    <row r="208" spans="1:9" ht="20.25" customHeight="1" x14ac:dyDescent="0.3">
      <c r="A208" s="249"/>
      <c r="B208" s="242" t="s">
        <v>470</v>
      </c>
      <c r="C208" s="243">
        <f>+C199+C201</f>
        <v>63637043</v>
      </c>
      <c r="D208" s="243">
        <f>+D199+D201</f>
        <v>75576266</v>
      </c>
      <c r="E208" s="243">
        <f t="shared" si="29"/>
        <v>11939223</v>
      </c>
      <c r="F208" s="251">
        <f t="shared" si="30"/>
        <v>0.18761435851128405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FILING&amp;RYALE-NEW HAVEN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169913646</v>
      </c>
      <c r="D26" s="237">
        <v>214237306</v>
      </c>
      <c r="E26" s="237">
        <f t="shared" ref="E26:E36" si="2">D26-C26</f>
        <v>44323660</v>
      </c>
      <c r="F26" s="238">
        <f t="shared" ref="F26:F36" si="3">IF(C26=0,0,E26/C26)</f>
        <v>0.26085991939693887</v>
      </c>
    </row>
    <row r="27" spans="1:6" ht="20.25" customHeight="1" x14ac:dyDescent="0.3">
      <c r="A27" s="235">
        <v>2</v>
      </c>
      <c r="B27" s="236" t="s">
        <v>435</v>
      </c>
      <c r="C27" s="237">
        <v>27813214</v>
      </c>
      <c r="D27" s="237">
        <v>32516008</v>
      </c>
      <c r="E27" s="237">
        <f t="shared" si="2"/>
        <v>4702794</v>
      </c>
      <c r="F27" s="238">
        <f t="shared" si="3"/>
        <v>0.16908488174002473</v>
      </c>
    </row>
    <row r="28" spans="1:6" ht="20.25" customHeight="1" x14ac:dyDescent="0.3">
      <c r="A28" s="235">
        <v>3</v>
      </c>
      <c r="B28" s="236" t="s">
        <v>436</v>
      </c>
      <c r="C28" s="237">
        <v>91982527</v>
      </c>
      <c r="D28" s="237">
        <v>108379667</v>
      </c>
      <c r="E28" s="237">
        <f t="shared" si="2"/>
        <v>16397140</v>
      </c>
      <c r="F28" s="238">
        <f t="shared" si="3"/>
        <v>0.17826363913659385</v>
      </c>
    </row>
    <row r="29" spans="1:6" ht="20.25" customHeight="1" x14ac:dyDescent="0.3">
      <c r="A29" s="235">
        <v>4</v>
      </c>
      <c r="B29" s="236" t="s">
        <v>437</v>
      </c>
      <c r="C29" s="237">
        <v>25275785</v>
      </c>
      <c r="D29" s="237">
        <v>29012637</v>
      </c>
      <c r="E29" s="237">
        <f t="shared" si="2"/>
        <v>3736852</v>
      </c>
      <c r="F29" s="238">
        <f t="shared" si="3"/>
        <v>0.14784316293242722</v>
      </c>
    </row>
    <row r="30" spans="1:6" ht="20.25" customHeight="1" x14ac:dyDescent="0.3">
      <c r="A30" s="235">
        <v>5</v>
      </c>
      <c r="B30" s="236" t="s">
        <v>373</v>
      </c>
      <c r="C30" s="239">
        <v>4928</v>
      </c>
      <c r="D30" s="239">
        <v>5217</v>
      </c>
      <c r="E30" s="239">
        <f t="shared" si="2"/>
        <v>289</v>
      </c>
      <c r="F30" s="238">
        <f t="shared" si="3"/>
        <v>5.864448051948052E-2</v>
      </c>
    </row>
    <row r="31" spans="1:6" ht="20.25" customHeight="1" x14ac:dyDescent="0.3">
      <c r="A31" s="235">
        <v>6</v>
      </c>
      <c r="B31" s="236" t="s">
        <v>372</v>
      </c>
      <c r="C31" s="239">
        <v>21841</v>
      </c>
      <c r="D31" s="239">
        <v>24414</v>
      </c>
      <c r="E31" s="239">
        <f t="shared" si="2"/>
        <v>2573</v>
      </c>
      <c r="F31" s="238">
        <f t="shared" si="3"/>
        <v>0.11780596126550982</v>
      </c>
    </row>
    <row r="32" spans="1:6" ht="20.25" customHeight="1" x14ac:dyDescent="0.3">
      <c r="A32" s="235">
        <v>7</v>
      </c>
      <c r="B32" s="236" t="s">
        <v>438</v>
      </c>
      <c r="C32" s="239">
        <v>75696</v>
      </c>
      <c r="D32" s="239">
        <v>61055</v>
      </c>
      <c r="E32" s="239">
        <f t="shared" si="2"/>
        <v>-14641</v>
      </c>
      <c r="F32" s="238">
        <f t="shared" si="3"/>
        <v>-0.19341841048404143</v>
      </c>
    </row>
    <row r="33" spans="1:6" ht="20.25" customHeight="1" x14ac:dyDescent="0.3">
      <c r="A33" s="235">
        <v>8</v>
      </c>
      <c r="B33" s="236" t="s">
        <v>439</v>
      </c>
      <c r="C33" s="239">
        <v>18266</v>
      </c>
      <c r="D33" s="239">
        <v>15859</v>
      </c>
      <c r="E33" s="239">
        <f t="shared" si="2"/>
        <v>-2407</v>
      </c>
      <c r="F33" s="238">
        <f t="shared" si="3"/>
        <v>-0.13177488229497428</v>
      </c>
    </row>
    <row r="34" spans="1:6" ht="20.25" customHeight="1" x14ac:dyDescent="0.3">
      <c r="A34" s="235">
        <v>9</v>
      </c>
      <c r="B34" s="236" t="s">
        <v>440</v>
      </c>
      <c r="C34" s="239">
        <v>2643</v>
      </c>
      <c r="D34" s="239">
        <v>2312</v>
      </c>
      <c r="E34" s="239">
        <f t="shared" si="2"/>
        <v>-331</v>
      </c>
      <c r="F34" s="238">
        <f t="shared" si="3"/>
        <v>-0.12523647370412411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261896173</v>
      </c>
      <c r="D35" s="243">
        <f>+D26+D28</f>
        <v>322616973</v>
      </c>
      <c r="E35" s="243">
        <f t="shared" si="2"/>
        <v>60720800</v>
      </c>
      <c r="F35" s="244">
        <f t="shared" si="3"/>
        <v>0.23185065785592826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53088999</v>
      </c>
      <c r="D36" s="243">
        <f>+D27+D29</f>
        <v>61528645</v>
      </c>
      <c r="E36" s="243">
        <f t="shared" si="2"/>
        <v>8439646</v>
      </c>
      <c r="F36" s="244">
        <f t="shared" si="3"/>
        <v>0.15897165437231167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37344311</v>
      </c>
      <c r="D50" s="237">
        <v>38857896</v>
      </c>
      <c r="E50" s="237">
        <f t="shared" ref="E50:E60" si="6">D50-C50</f>
        <v>1513585</v>
      </c>
      <c r="F50" s="238">
        <f t="shared" ref="F50:F60" si="7">IF(C50=0,0,E50/C50)</f>
        <v>4.053053756969837E-2</v>
      </c>
    </row>
    <row r="51" spans="1:6" ht="20.25" customHeight="1" x14ac:dyDescent="0.3">
      <c r="A51" s="235">
        <v>2</v>
      </c>
      <c r="B51" s="236" t="s">
        <v>435</v>
      </c>
      <c r="C51" s="237">
        <v>6422422</v>
      </c>
      <c r="D51" s="237">
        <v>6106812</v>
      </c>
      <c r="E51" s="237">
        <f t="shared" si="6"/>
        <v>-315610</v>
      </c>
      <c r="F51" s="238">
        <f t="shared" si="7"/>
        <v>-4.914189693545519E-2</v>
      </c>
    </row>
    <row r="52" spans="1:6" ht="20.25" customHeight="1" x14ac:dyDescent="0.3">
      <c r="A52" s="235">
        <v>3</v>
      </c>
      <c r="B52" s="236" t="s">
        <v>436</v>
      </c>
      <c r="C52" s="237">
        <v>13612712</v>
      </c>
      <c r="D52" s="237">
        <v>16874915</v>
      </c>
      <c r="E52" s="237">
        <f t="shared" si="6"/>
        <v>3262203</v>
      </c>
      <c r="F52" s="238">
        <f t="shared" si="7"/>
        <v>0.23964387111106147</v>
      </c>
    </row>
    <row r="53" spans="1:6" ht="20.25" customHeight="1" x14ac:dyDescent="0.3">
      <c r="A53" s="235">
        <v>4</v>
      </c>
      <c r="B53" s="236" t="s">
        <v>437</v>
      </c>
      <c r="C53" s="237">
        <v>4467388</v>
      </c>
      <c r="D53" s="237">
        <v>5280071</v>
      </c>
      <c r="E53" s="237">
        <f t="shared" si="6"/>
        <v>812683</v>
      </c>
      <c r="F53" s="238">
        <f t="shared" si="7"/>
        <v>0.18191457737720565</v>
      </c>
    </row>
    <row r="54" spans="1:6" ht="20.25" customHeight="1" x14ac:dyDescent="0.3">
      <c r="A54" s="235">
        <v>5</v>
      </c>
      <c r="B54" s="236" t="s">
        <v>373</v>
      </c>
      <c r="C54" s="239">
        <v>697</v>
      </c>
      <c r="D54" s="239">
        <v>727</v>
      </c>
      <c r="E54" s="239">
        <f t="shared" si="6"/>
        <v>30</v>
      </c>
      <c r="F54" s="238">
        <f t="shared" si="7"/>
        <v>4.3041606886657105E-2</v>
      </c>
    </row>
    <row r="55" spans="1:6" ht="20.25" customHeight="1" x14ac:dyDescent="0.3">
      <c r="A55" s="235">
        <v>6</v>
      </c>
      <c r="B55" s="236" t="s">
        <v>372</v>
      </c>
      <c r="C55" s="239">
        <v>4669</v>
      </c>
      <c r="D55" s="239">
        <v>4421</v>
      </c>
      <c r="E55" s="239">
        <f t="shared" si="6"/>
        <v>-248</v>
      </c>
      <c r="F55" s="238">
        <f t="shared" si="7"/>
        <v>-5.3116298993360463E-2</v>
      </c>
    </row>
    <row r="56" spans="1:6" ht="20.25" customHeight="1" x14ac:dyDescent="0.3">
      <c r="A56" s="235">
        <v>7</v>
      </c>
      <c r="B56" s="236" t="s">
        <v>438</v>
      </c>
      <c r="C56" s="239">
        <v>8071</v>
      </c>
      <c r="D56" s="239">
        <v>9243</v>
      </c>
      <c r="E56" s="239">
        <f t="shared" si="6"/>
        <v>1172</v>
      </c>
      <c r="F56" s="238">
        <f t="shared" si="7"/>
        <v>0.14521125015487549</v>
      </c>
    </row>
    <row r="57" spans="1:6" ht="20.25" customHeight="1" x14ac:dyDescent="0.3">
      <c r="A57" s="235">
        <v>8</v>
      </c>
      <c r="B57" s="236" t="s">
        <v>439</v>
      </c>
      <c r="C57" s="239">
        <v>2074</v>
      </c>
      <c r="D57" s="239">
        <v>2190</v>
      </c>
      <c r="E57" s="239">
        <f t="shared" si="6"/>
        <v>116</v>
      </c>
      <c r="F57" s="238">
        <f t="shared" si="7"/>
        <v>5.5930568948891035E-2</v>
      </c>
    </row>
    <row r="58" spans="1:6" ht="20.25" customHeight="1" x14ac:dyDescent="0.3">
      <c r="A58" s="235">
        <v>9</v>
      </c>
      <c r="B58" s="236" t="s">
        <v>440</v>
      </c>
      <c r="C58" s="239">
        <v>277</v>
      </c>
      <c r="D58" s="239">
        <v>266</v>
      </c>
      <c r="E58" s="239">
        <f t="shared" si="6"/>
        <v>-11</v>
      </c>
      <c r="F58" s="238">
        <f t="shared" si="7"/>
        <v>-3.9711191335740074E-2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50957023</v>
      </c>
      <c r="D59" s="243">
        <f>+D50+D52</f>
        <v>55732811</v>
      </c>
      <c r="E59" s="243">
        <f t="shared" si="6"/>
        <v>4775788</v>
      </c>
      <c r="F59" s="244">
        <f t="shared" si="7"/>
        <v>9.3721880102768176E-2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10889810</v>
      </c>
      <c r="D60" s="243">
        <f>+D51+D53</f>
        <v>11386883</v>
      </c>
      <c r="E60" s="243">
        <f t="shared" si="6"/>
        <v>497073</v>
      </c>
      <c r="F60" s="244">
        <f t="shared" si="7"/>
        <v>4.564569997089022E-2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27721</v>
      </c>
      <c r="D86" s="237">
        <v>0</v>
      </c>
      <c r="E86" s="237">
        <f t="shared" ref="E86:E96" si="12">D86-C86</f>
        <v>-27721</v>
      </c>
      <c r="F86" s="238">
        <f t="shared" ref="F86:F96" si="13">IF(C86=0,0,E86/C86)</f>
        <v>-1</v>
      </c>
    </row>
    <row r="87" spans="1:6" ht="20.25" customHeight="1" x14ac:dyDescent="0.3">
      <c r="A87" s="235">
        <v>2</v>
      </c>
      <c r="B87" s="236" t="s">
        <v>435</v>
      </c>
      <c r="C87" s="237">
        <v>15512</v>
      </c>
      <c r="D87" s="237">
        <v>0</v>
      </c>
      <c r="E87" s="237">
        <f t="shared" si="12"/>
        <v>-15512</v>
      </c>
      <c r="F87" s="238">
        <f t="shared" si="13"/>
        <v>-1</v>
      </c>
    </row>
    <row r="88" spans="1:6" ht="20.25" customHeight="1" x14ac:dyDescent="0.3">
      <c r="A88" s="235">
        <v>3</v>
      </c>
      <c r="B88" s="236" t="s">
        <v>436</v>
      </c>
      <c r="C88" s="237">
        <v>7221</v>
      </c>
      <c r="D88" s="237">
        <v>0</v>
      </c>
      <c r="E88" s="237">
        <f t="shared" si="12"/>
        <v>-7221</v>
      </c>
      <c r="F88" s="238">
        <f t="shared" si="13"/>
        <v>-1</v>
      </c>
    </row>
    <row r="89" spans="1:6" ht="20.25" customHeight="1" x14ac:dyDescent="0.3">
      <c r="A89" s="235">
        <v>4</v>
      </c>
      <c r="B89" s="236" t="s">
        <v>437</v>
      </c>
      <c r="C89" s="237">
        <v>2709</v>
      </c>
      <c r="D89" s="237">
        <v>0</v>
      </c>
      <c r="E89" s="237">
        <f t="shared" si="12"/>
        <v>-2709</v>
      </c>
      <c r="F89" s="238">
        <f t="shared" si="13"/>
        <v>-1</v>
      </c>
    </row>
    <row r="90" spans="1:6" ht="20.25" customHeight="1" x14ac:dyDescent="0.3">
      <c r="A90" s="235">
        <v>5</v>
      </c>
      <c r="B90" s="236" t="s">
        <v>373</v>
      </c>
      <c r="C90" s="239">
        <v>1</v>
      </c>
      <c r="D90" s="239">
        <v>0</v>
      </c>
      <c r="E90" s="239">
        <f t="shared" si="12"/>
        <v>-1</v>
      </c>
      <c r="F90" s="238">
        <f t="shared" si="13"/>
        <v>-1</v>
      </c>
    </row>
    <row r="91" spans="1:6" ht="20.25" customHeight="1" x14ac:dyDescent="0.3">
      <c r="A91" s="235">
        <v>6</v>
      </c>
      <c r="B91" s="236" t="s">
        <v>372</v>
      </c>
      <c r="C91" s="239">
        <v>3</v>
      </c>
      <c r="D91" s="239">
        <v>0</v>
      </c>
      <c r="E91" s="239">
        <f t="shared" si="12"/>
        <v>-3</v>
      </c>
      <c r="F91" s="238">
        <f t="shared" si="13"/>
        <v>-1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1</v>
      </c>
      <c r="D94" s="239">
        <v>0</v>
      </c>
      <c r="E94" s="239">
        <f t="shared" si="12"/>
        <v>-1</v>
      </c>
      <c r="F94" s="238">
        <f t="shared" si="13"/>
        <v>-1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34942</v>
      </c>
      <c r="D95" s="243">
        <f>+D86+D88</f>
        <v>0</v>
      </c>
      <c r="E95" s="243">
        <f t="shared" si="12"/>
        <v>-34942</v>
      </c>
      <c r="F95" s="244">
        <f t="shared" si="13"/>
        <v>-1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18221</v>
      </c>
      <c r="D96" s="243">
        <f>+D87+D89</f>
        <v>0</v>
      </c>
      <c r="E96" s="243">
        <f t="shared" si="12"/>
        <v>-18221</v>
      </c>
      <c r="F96" s="244">
        <f t="shared" si="13"/>
        <v>-1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59784159</v>
      </c>
      <c r="D98" s="237">
        <v>66667713</v>
      </c>
      <c r="E98" s="237">
        <f t="shared" ref="E98:E108" si="14">D98-C98</f>
        <v>6883554</v>
      </c>
      <c r="F98" s="238">
        <f t="shared" ref="F98:F108" si="15">IF(C98=0,0,E98/C98)</f>
        <v>0.11514009923598657</v>
      </c>
    </row>
    <row r="99" spans="1:7" ht="20.25" customHeight="1" x14ac:dyDescent="0.3">
      <c r="A99" s="235">
        <v>2</v>
      </c>
      <c r="B99" s="236" t="s">
        <v>435</v>
      </c>
      <c r="C99" s="237">
        <v>9850620</v>
      </c>
      <c r="D99" s="237">
        <v>11372269</v>
      </c>
      <c r="E99" s="237">
        <f t="shared" si="14"/>
        <v>1521649</v>
      </c>
      <c r="F99" s="238">
        <f t="shared" si="15"/>
        <v>0.15447240884330124</v>
      </c>
    </row>
    <row r="100" spans="1:7" ht="20.25" customHeight="1" x14ac:dyDescent="0.3">
      <c r="A100" s="235">
        <v>3</v>
      </c>
      <c r="B100" s="236" t="s">
        <v>436</v>
      </c>
      <c r="C100" s="237">
        <v>28935036</v>
      </c>
      <c r="D100" s="237">
        <v>34910647</v>
      </c>
      <c r="E100" s="237">
        <f t="shared" si="14"/>
        <v>5975611</v>
      </c>
      <c r="F100" s="238">
        <f t="shared" si="15"/>
        <v>0.20651818093469798</v>
      </c>
    </row>
    <row r="101" spans="1:7" ht="20.25" customHeight="1" x14ac:dyDescent="0.3">
      <c r="A101" s="235">
        <v>4</v>
      </c>
      <c r="B101" s="236" t="s">
        <v>437</v>
      </c>
      <c r="C101" s="237">
        <v>8582275</v>
      </c>
      <c r="D101" s="237">
        <v>9717922</v>
      </c>
      <c r="E101" s="237">
        <f t="shared" si="14"/>
        <v>1135647</v>
      </c>
      <c r="F101" s="238">
        <f t="shared" si="15"/>
        <v>0.13232470411400241</v>
      </c>
    </row>
    <row r="102" spans="1:7" ht="20.25" customHeight="1" x14ac:dyDescent="0.3">
      <c r="A102" s="235">
        <v>5</v>
      </c>
      <c r="B102" s="236" t="s">
        <v>373</v>
      </c>
      <c r="C102" s="239">
        <v>1513</v>
      </c>
      <c r="D102" s="239">
        <v>1748</v>
      </c>
      <c r="E102" s="239">
        <f t="shared" si="14"/>
        <v>235</v>
      </c>
      <c r="F102" s="238">
        <f t="shared" si="15"/>
        <v>0.15532055518836749</v>
      </c>
    </row>
    <row r="103" spans="1:7" ht="20.25" customHeight="1" x14ac:dyDescent="0.3">
      <c r="A103" s="235">
        <v>6</v>
      </c>
      <c r="B103" s="236" t="s">
        <v>372</v>
      </c>
      <c r="C103" s="239">
        <v>7009</v>
      </c>
      <c r="D103" s="239">
        <v>7467</v>
      </c>
      <c r="E103" s="239">
        <f t="shared" si="14"/>
        <v>458</v>
      </c>
      <c r="F103" s="238">
        <f t="shared" si="15"/>
        <v>6.5344556998145245E-2</v>
      </c>
    </row>
    <row r="104" spans="1:7" ht="20.25" customHeight="1" x14ac:dyDescent="0.3">
      <c r="A104" s="235">
        <v>7</v>
      </c>
      <c r="B104" s="236" t="s">
        <v>438</v>
      </c>
      <c r="C104" s="239">
        <v>16549</v>
      </c>
      <c r="D104" s="239">
        <v>18093</v>
      </c>
      <c r="E104" s="239">
        <f t="shared" si="14"/>
        <v>1544</v>
      </c>
      <c r="F104" s="238">
        <f t="shared" si="15"/>
        <v>9.3298688742522201E-2</v>
      </c>
    </row>
    <row r="105" spans="1:7" ht="20.25" customHeight="1" x14ac:dyDescent="0.3">
      <c r="A105" s="235">
        <v>8</v>
      </c>
      <c r="B105" s="236" t="s">
        <v>439</v>
      </c>
      <c r="C105" s="239">
        <v>4174</v>
      </c>
      <c r="D105" s="239">
        <v>4193</v>
      </c>
      <c r="E105" s="239">
        <f t="shared" si="14"/>
        <v>19</v>
      </c>
      <c r="F105" s="238">
        <f t="shared" si="15"/>
        <v>4.5519885002395779E-3</v>
      </c>
    </row>
    <row r="106" spans="1:7" ht="20.25" customHeight="1" x14ac:dyDescent="0.3">
      <c r="A106" s="235">
        <v>9</v>
      </c>
      <c r="B106" s="236" t="s">
        <v>440</v>
      </c>
      <c r="C106" s="239">
        <v>690</v>
      </c>
      <c r="D106" s="239">
        <v>796</v>
      </c>
      <c r="E106" s="239">
        <f t="shared" si="14"/>
        <v>106</v>
      </c>
      <c r="F106" s="238">
        <f t="shared" si="15"/>
        <v>0.15362318840579711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88719195</v>
      </c>
      <c r="D107" s="243">
        <f>+D98+D100</f>
        <v>101578360</v>
      </c>
      <c r="E107" s="243">
        <f t="shared" si="14"/>
        <v>12859165</v>
      </c>
      <c r="F107" s="244">
        <f t="shared" si="15"/>
        <v>0.144942309271404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18432895</v>
      </c>
      <c r="D108" s="243">
        <f>+D99+D101</f>
        <v>21090191</v>
      </c>
      <c r="E108" s="243">
        <f t="shared" si="14"/>
        <v>2657296</v>
      </c>
      <c r="F108" s="244">
        <f t="shared" si="15"/>
        <v>0.14416053473965973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267069837</v>
      </c>
      <c r="D112" s="243">
        <f t="shared" si="16"/>
        <v>319762915</v>
      </c>
      <c r="E112" s="243">
        <f t="shared" ref="E112:E122" si="17">D112-C112</f>
        <v>52693078</v>
      </c>
      <c r="F112" s="244">
        <f t="shared" ref="F112:F122" si="18">IF(C112=0,0,E112/C112)</f>
        <v>0.19730074572217604</v>
      </c>
    </row>
    <row r="113" spans="1:6" ht="20.25" customHeight="1" x14ac:dyDescent="0.3">
      <c r="A113" s="249"/>
      <c r="B113" s="250" t="s">
        <v>461</v>
      </c>
      <c r="C113" s="243">
        <f t="shared" si="16"/>
        <v>44101768</v>
      </c>
      <c r="D113" s="243">
        <f t="shared" si="16"/>
        <v>49995089</v>
      </c>
      <c r="E113" s="243">
        <f t="shared" si="17"/>
        <v>5893321</v>
      </c>
      <c r="F113" s="244">
        <f t="shared" si="18"/>
        <v>0.1336300395031782</v>
      </c>
    </row>
    <row r="114" spans="1:6" ht="20.25" customHeight="1" x14ac:dyDescent="0.3">
      <c r="A114" s="249"/>
      <c r="B114" s="250" t="s">
        <v>462</v>
      </c>
      <c r="C114" s="243">
        <f t="shared" si="16"/>
        <v>134537496</v>
      </c>
      <c r="D114" s="243">
        <f t="shared" si="16"/>
        <v>160165229</v>
      </c>
      <c r="E114" s="243">
        <f t="shared" si="17"/>
        <v>25627733</v>
      </c>
      <c r="F114" s="244">
        <f t="shared" si="18"/>
        <v>0.19048766152151367</v>
      </c>
    </row>
    <row r="115" spans="1:6" ht="20.25" customHeight="1" x14ac:dyDescent="0.3">
      <c r="A115" s="249"/>
      <c r="B115" s="250" t="s">
        <v>463</v>
      </c>
      <c r="C115" s="243">
        <f t="shared" si="16"/>
        <v>38328157</v>
      </c>
      <c r="D115" s="243">
        <f t="shared" si="16"/>
        <v>44010630</v>
      </c>
      <c r="E115" s="243">
        <f t="shared" si="17"/>
        <v>5682473</v>
      </c>
      <c r="F115" s="244">
        <f t="shared" si="18"/>
        <v>0.14825844613400013</v>
      </c>
    </row>
    <row r="116" spans="1:6" ht="20.25" customHeight="1" x14ac:dyDescent="0.3">
      <c r="A116" s="249"/>
      <c r="B116" s="250" t="s">
        <v>464</v>
      </c>
      <c r="C116" s="252">
        <f t="shared" si="16"/>
        <v>7139</v>
      </c>
      <c r="D116" s="252">
        <f t="shared" si="16"/>
        <v>7692</v>
      </c>
      <c r="E116" s="252">
        <f t="shared" si="17"/>
        <v>553</v>
      </c>
      <c r="F116" s="244">
        <f t="shared" si="18"/>
        <v>7.7461829387869455E-2</v>
      </c>
    </row>
    <row r="117" spans="1:6" ht="20.25" customHeight="1" x14ac:dyDescent="0.3">
      <c r="A117" s="249"/>
      <c r="B117" s="250" t="s">
        <v>465</v>
      </c>
      <c r="C117" s="252">
        <f t="shared" si="16"/>
        <v>33522</v>
      </c>
      <c r="D117" s="252">
        <f t="shared" si="16"/>
        <v>36302</v>
      </c>
      <c r="E117" s="252">
        <f t="shared" si="17"/>
        <v>2780</v>
      </c>
      <c r="F117" s="244">
        <f t="shared" si="18"/>
        <v>8.2930612731937234E-2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100316</v>
      </c>
      <c r="D118" s="252">
        <f t="shared" si="16"/>
        <v>88391</v>
      </c>
      <c r="E118" s="252">
        <f t="shared" si="17"/>
        <v>-11925</v>
      </c>
      <c r="F118" s="244">
        <f t="shared" si="18"/>
        <v>-0.11887435703177958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24514</v>
      </c>
      <c r="D119" s="252">
        <f t="shared" si="16"/>
        <v>22242</v>
      </c>
      <c r="E119" s="252">
        <f t="shared" si="17"/>
        <v>-2272</v>
      </c>
      <c r="F119" s="244">
        <f t="shared" si="18"/>
        <v>-9.2681732887329685E-2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3611</v>
      </c>
      <c r="D120" s="252">
        <f t="shared" si="16"/>
        <v>3374</v>
      </c>
      <c r="E120" s="252">
        <f t="shared" si="17"/>
        <v>-237</v>
      </c>
      <c r="F120" s="244">
        <f t="shared" si="18"/>
        <v>-6.5632788701190811E-2</v>
      </c>
    </row>
    <row r="121" spans="1:6" ht="39.950000000000003" customHeight="1" x14ac:dyDescent="0.3">
      <c r="A121" s="249"/>
      <c r="B121" s="242" t="s">
        <v>441</v>
      </c>
      <c r="C121" s="243">
        <f>+C112+C114</f>
        <v>401607333</v>
      </c>
      <c r="D121" s="243">
        <f>+D112+D114</f>
        <v>479928144</v>
      </c>
      <c r="E121" s="243">
        <f t="shared" si="17"/>
        <v>78320811</v>
      </c>
      <c r="F121" s="244">
        <f t="shared" si="18"/>
        <v>0.19501837881032913</v>
      </c>
    </row>
    <row r="122" spans="1:6" ht="39.950000000000003" customHeight="1" x14ac:dyDescent="0.3">
      <c r="A122" s="249"/>
      <c r="B122" s="242" t="s">
        <v>470</v>
      </c>
      <c r="C122" s="243">
        <f>+C113+C115</f>
        <v>82429925</v>
      </c>
      <c r="D122" s="243">
        <f>+D113+D115</f>
        <v>94005719</v>
      </c>
      <c r="E122" s="243">
        <f t="shared" si="17"/>
        <v>11575794</v>
      </c>
      <c r="F122" s="244">
        <f t="shared" si="18"/>
        <v>0.14043193658128406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FILING&amp;RYALE-NEW HAVEN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74032000</v>
      </c>
      <c r="D13" s="23">
        <v>74087000</v>
      </c>
      <c r="E13" s="23">
        <f t="shared" ref="E13:E22" si="0">D13-C13</f>
        <v>55000</v>
      </c>
      <c r="F13" s="24">
        <f t="shared" ref="F13:F22" si="1">IF(C13=0,0,E13/C13)</f>
        <v>7.4292197968446074E-4</v>
      </c>
    </row>
    <row r="14" spans="1:8" ht="24" customHeight="1" x14ac:dyDescent="0.2">
      <c r="A14" s="21">
        <v>2</v>
      </c>
      <c r="B14" s="22" t="s">
        <v>17</v>
      </c>
      <c r="C14" s="23">
        <v>342847000</v>
      </c>
      <c r="D14" s="23">
        <v>402559000</v>
      </c>
      <c r="E14" s="23">
        <f t="shared" si="0"/>
        <v>59712000</v>
      </c>
      <c r="F14" s="24">
        <f t="shared" si="1"/>
        <v>0.17416515238575808</v>
      </c>
    </row>
    <row r="15" spans="1:8" ht="35.1" customHeight="1" x14ac:dyDescent="0.2">
      <c r="A15" s="21">
        <v>3</v>
      </c>
      <c r="B15" s="22" t="s">
        <v>18</v>
      </c>
      <c r="C15" s="23">
        <v>138810000</v>
      </c>
      <c r="D15" s="23">
        <v>169456000</v>
      </c>
      <c r="E15" s="23">
        <f t="shared" si="0"/>
        <v>30646000</v>
      </c>
      <c r="F15" s="24">
        <f t="shared" si="1"/>
        <v>0.22077660110943015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20112000</v>
      </c>
      <c r="D19" s="23">
        <v>17386000</v>
      </c>
      <c r="E19" s="23">
        <f t="shared" si="0"/>
        <v>-2726000</v>
      </c>
      <c r="F19" s="24">
        <f t="shared" si="1"/>
        <v>-0.13554097056483691</v>
      </c>
    </row>
    <row r="20" spans="1:11" ht="24" customHeight="1" x14ac:dyDescent="0.2">
      <c r="A20" s="21">
        <v>8</v>
      </c>
      <c r="B20" s="22" t="s">
        <v>23</v>
      </c>
      <c r="C20" s="23">
        <v>6113000</v>
      </c>
      <c r="D20" s="23">
        <v>8211000</v>
      </c>
      <c r="E20" s="23">
        <f t="shared" si="0"/>
        <v>2098000</v>
      </c>
      <c r="F20" s="24">
        <f t="shared" si="1"/>
        <v>0.34320300997873382</v>
      </c>
    </row>
    <row r="21" spans="1:11" ht="24" customHeight="1" x14ac:dyDescent="0.2">
      <c r="A21" s="21">
        <v>9</v>
      </c>
      <c r="B21" s="22" t="s">
        <v>24</v>
      </c>
      <c r="C21" s="23">
        <v>41519000</v>
      </c>
      <c r="D21" s="23">
        <v>61715000</v>
      </c>
      <c r="E21" s="23">
        <f t="shared" si="0"/>
        <v>20196000</v>
      </c>
      <c r="F21" s="24">
        <f t="shared" si="1"/>
        <v>0.48642790047929862</v>
      </c>
    </row>
    <row r="22" spans="1:11" ht="24" customHeight="1" x14ac:dyDescent="0.25">
      <c r="A22" s="25"/>
      <c r="B22" s="26" t="s">
        <v>25</v>
      </c>
      <c r="C22" s="27">
        <f>SUM(C13:C21)</f>
        <v>623433000</v>
      </c>
      <c r="D22" s="27">
        <f>SUM(D13:D21)</f>
        <v>733414000</v>
      </c>
      <c r="E22" s="27">
        <f t="shared" si="0"/>
        <v>109981000</v>
      </c>
      <c r="F22" s="28">
        <f t="shared" si="1"/>
        <v>0.17641189991546807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11639000</v>
      </c>
      <c r="D25" s="23">
        <v>10906000</v>
      </c>
      <c r="E25" s="23">
        <f>D25-C25</f>
        <v>-733000</v>
      </c>
      <c r="F25" s="24">
        <f>IF(C25=0,0,E25/C25)</f>
        <v>-6.2977919065211788E-2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54012000</v>
      </c>
      <c r="D26" s="23">
        <v>119091000</v>
      </c>
      <c r="E26" s="23">
        <f>D26-C26</f>
        <v>65079000</v>
      </c>
      <c r="F26" s="24">
        <f>IF(C26=0,0,E26/C26)</f>
        <v>1.2048989113530326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65651000</v>
      </c>
      <c r="D29" s="27">
        <f>SUM(D25:D28)</f>
        <v>129997000</v>
      </c>
      <c r="E29" s="27">
        <f>D29-C29</f>
        <v>64346000</v>
      </c>
      <c r="F29" s="28">
        <f>IF(C29=0,0,E29/C29)</f>
        <v>0.98012216112473538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157072000</v>
      </c>
      <c r="D32" s="23">
        <v>147013000</v>
      </c>
      <c r="E32" s="23">
        <f>D32-C32</f>
        <v>-10059000</v>
      </c>
      <c r="F32" s="24">
        <f>IF(C32=0,0,E32/C32)</f>
        <v>-6.4040694713252522E-2</v>
      </c>
    </row>
    <row r="33" spans="1:8" ht="24" customHeight="1" x14ac:dyDescent="0.2">
      <c r="A33" s="21">
        <v>7</v>
      </c>
      <c r="B33" s="22" t="s">
        <v>35</v>
      </c>
      <c r="C33" s="23">
        <v>74680000</v>
      </c>
      <c r="D33" s="23">
        <v>130986000</v>
      </c>
      <c r="E33" s="23">
        <f>D33-C33</f>
        <v>56306000</v>
      </c>
      <c r="F33" s="24">
        <f>IF(C33=0,0,E33/C33)</f>
        <v>0.75396357793251201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1391847000</v>
      </c>
      <c r="D36" s="23">
        <v>1415735000</v>
      </c>
      <c r="E36" s="23">
        <f>D36-C36</f>
        <v>23888000</v>
      </c>
      <c r="F36" s="24">
        <f>IF(C36=0,0,E36/C36)</f>
        <v>1.7162805969334272E-2</v>
      </c>
    </row>
    <row r="37" spans="1:8" ht="24" customHeight="1" x14ac:dyDescent="0.2">
      <c r="A37" s="21">
        <v>2</v>
      </c>
      <c r="B37" s="22" t="s">
        <v>39</v>
      </c>
      <c r="C37" s="23">
        <v>539086000</v>
      </c>
      <c r="D37" s="23">
        <v>581143000</v>
      </c>
      <c r="E37" s="23">
        <f>D37-C37</f>
        <v>42057000</v>
      </c>
      <c r="F37" s="23">
        <f>IF(C37=0,0,E37/C37)</f>
        <v>7.8015381590321398E-2</v>
      </c>
    </row>
    <row r="38" spans="1:8" ht="24" customHeight="1" x14ac:dyDescent="0.25">
      <c r="A38" s="25"/>
      <c r="B38" s="26" t="s">
        <v>40</v>
      </c>
      <c r="C38" s="27">
        <f>C36-C37</f>
        <v>852761000</v>
      </c>
      <c r="D38" s="27">
        <f>D36-D37</f>
        <v>834592000</v>
      </c>
      <c r="E38" s="27">
        <f>D38-C38</f>
        <v>-18169000</v>
      </c>
      <c r="F38" s="28">
        <f>IF(C38=0,0,E38/C38)</f>
        <v>-2.1306086934088215E-2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17563000</v>
      </c>
      <c r="D40" s="23">
        <v>43212000</v>
      </c>
      <c r="E40" s="23">
        <f>D40-C40</f>
        <v>25649000</v>
      </c>
      <c r="F40" s="24">
        <f>IF(C40=0,0,E40/C40)</f>
        <v>1.4603997039230199</v>
      </c>
    </row>
    <row r="41" spans="1:8" ht="24" customHeight="1" x14ac:dyDescent="0.25">
      <c r="A41" s="25"/>
      <c r="B41" s="26" t="s">
        <v>42</v>
      </c>
      <c r="C41" s="27">
        <f>+C38+C40</f>
        <v>870324000</v>
      </c>
      <c r="D41" s="27">
        <f>+D38+D40</f>
        <v>877804000</v>
      </c>
      <c r="E41" s="27">
        <f>D41-C41</f>
        <v>7480000</v>
      </c>
      <c r="F41" s="28">
        <f>IF(C41=0,0,E41/C41)</f>
        <v>8.5945004389170014E-3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1791160000</v>
      </c>
      <c r="D43" s="27">
        <f>D22+D29+D31+D32+D33+D41</f>
        <v>2019214000</v>
      </c>
      <c r="E43" s="27">
        <f>D43-C43</f>
        <v>228054000</v>
      </c>
      <c r="F43" s="28">
        <f>IF(C43=0,0,E43/C43)</f>
        <v>0.12732195895397397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164517000</v>
      </c>
      <c r="D49" s="23">
        <v>155827000</v>
      </c>
      <c r="E49" s="23">
        <f t="shared" ref="E49:E56" si="2">D49-C49</f>
        <v>-8690000</v>
      </c>
      <c r="F49" s="24">
        <f t="shared" ref="F49:F56" si="3">IF(C49=0,0,E49/C49)</f>
        <v>-5.2821288985332823E-2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49759000</v>
      </c>
      <c r="D50" s="23">
        <v>68100000</v>
      </c>
      <c r="E50" s="23">
        <f t="shared" si="2"/>
        <v>18341000</v>
      </c>
      <c r="F50" s="24">
        <f t="shared" si="3"/>
        <v>0.36859663578448121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14663000</v>
      </c>
      <c r="D53" s="23">
        <v>14151000</v>
      </c>
      <c r="E53" s="23">
        <f t="shared" si="2"/>
        <v>-512000</v>
      </c>
      <c r="F53" s="24">
        <f t="shared" si="3"/>
        <v>-3.4917820364181958E-2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1117000</v>
      </c>
      <c r="D55" s="23">
        <v>3848000</v>
      </c>
      <c r="E55" s="23">
        <f t="shared" si="2"/>
        <v>2731000</v>
      </c>
      <c r="F55" s="24">
        <f t="shared" si="3"/>
        <v>2.4449418084153982</v>
      </c>
    </row>
    <row r="56" spans="1:6" ht="24" customHeight="1" x14ac:dyDescent="0.25">
      <c r="A56" s="25"/>
      <c r="B56" s="26" t="s">
        <v>54</v>
      </c>
      <c r="C56" s="27">
        <f>SUM(C49:C55)</f>
        <v>230056000</v>
      </c>
      <c r="D56" s="27">
        <f>SUM(D49:D55)</f>
        <v>241926000</v>
      </c>
      <c r="E56" s="27">
        <f t="shared" si="2"/>
        <v>11870000</v>
      </c>
      <c r="F56" s="28">
        <f t="shared" si="3"/>
        <v>5.1596133115415374E-2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377044000</v>
      </c>
      <c r="D59" s="23">
        <v>467656000</v>
      </c>
      <c r="E59" s="23">
        <f>D59-C59</f>
        <v>90612000</v>
      </c>
      <c r="F59" s="24">
        <f>IF(C59=0,0,E59/C59)</f>
        <v>0.24032208442515993</v>
      </c>
    </row>
    <row r="60" spans="1:6" ht="24" customHeight="1" x14ac:dyDescent="0.2">
      <c r="A60" s="21">
        <v>2</v>
      </c>
      <c r="B60" s="22" t="s">
        <v>57</v>
      </c>
      <c r="C60" s="23">
        <v>117100000</v>
      </c>
      <c r="D60" s="23">
        <v>154241000</v>
      </c>
      <c r="E60" s="23">
        <f>D60-C60</f>
        <v>37141000</v>
      </c>
      <c r="F60" s="24">
        <f>IF(C60=0,0,E60/C60)</f>
        <v>0.31717335610589242</v>
      </c>
    </row>
    <row r="61" spans="1:6" ht="24" customHeight="1" x14ac:dyDescent="0.25">
      <c r="A61" s="25"/>
      <c r="B61" s="26" t="s">
        <v>58</v>
      </c>
      <c r="C61" s="27">
        <f>SUM(C59:C60)</f>
        <v>494144000</v>
      </c>
      <c r="D61" s="27">
        <f>SUM(D59:D60)</f>
        <v>621897000</v>
      </c>
      <c r="E61" s="27">
        <f>D61-C61</f>
        <v>127753000</v>
      </c>
      <c r="F61" s="28">
        <f>IF(C61=0,0,E61/C61)</f>
        <v>0.25853394961792514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212544000</v>
      </c>
      <c r="D63" s="23">
        <v>240901000</v>
      </c>
      <c r="E63" s="23">
        <f>D63-C63</f>
        <v>28357000</v>
      </c>
      <c r="F63" s="24">
        <f>IF(C63=0,0,E63/C63)</f>
        <v>0.13341708069858477</v>
      </c>
    </row>
    <row r="64" spans="1:6" ht="24" customHeight="1" x14ac:dyDescent="0.2">
      <c r="A64" s="21">
        <v>4</v>
      </c>
      <c r="B64" s="22" t="s">
        <v>60</v>
      </c>
      <c r="C64" s="23">
        <v>198902000</v>
      </c>
      <c r="D64" s="23">
        <v>229288000</v>
      </c>
      <c r="E64" s="23">
        <f>D64-C64</f>
        <v>30386000</v>
      </c>
      <c r="F64" s="24">
        <f>IF(C64=0,0,E64/C64)</f>
        <v>0.15276870016389982</v>
      </c>
    </row>
    <row r="65" spans="1:6" ht="24" customHeight="1" x14ac:dyDescent="0.25">
      <c r="A65" s="25"/>
      <c r="B65" s="26" t="s">
        <v>61</v>
      </c>
      <c r="C65" s="27">
        <f>SUM(C61:C64)</f>
        <v>905590000</v>
      </c>
      <c r="D65" s="27">
        <f>SUM(D61:D64)</f>
        <v>1092086000</v>
      </c>
      <c r="E65" s="27">
        <f>D65-C65</f>
        <v>186496000</v>
      </c>
      <c r="F65" s="28">
        <f>IF(C65=0,0,E65/C65)</f>
        <v>0.20593866981746706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580733000</v>
      </c>
      <c r="D70" s="23">
        <v>615732000</v>
      </c>
      <c r="E70" s="23">
        <f>D70-C70</f>
        <v>34999000</v>
      </c>
      <c r="F70" s="24">
        <f>IF(C70=0,0,E70/C70)</f>
        <v>6.0266938507024741E-2</v>
      </c>
    </row>
    <row r="71" spans="1:6" ht="24" customHeight="1" x14ac:dyDescent="0.2">
      <c r="A71" s="21">
        <v>2</v>
      </c>
      <c r="B71" s="22" t="s">
        <v>65</v>
      </c>
      <c r="C71" s="23">
        <v>48525000</v>
      </c>
      <c r="D71" s="23">
        <v>43947000</v>
      </c>
      <c r="E71" s="23">
        <f>D71-C71</f>
        <v>-4578000</v>
      </c>
      <c r="F71" s="24">
        <f>IF(C71=0,0,E71/C71)</f>
        <v>-9.4343122102009278E-2</v>
      </c>
    </row>
    <row r="72" spans="1:6" ht="24" customHeight="1" x14ac:dyDescent="0.2">
      <c r="A72" s="21">
        <v>3</v>
      </c>
      <c r="B72" s="22" t="s">
        <v>66</v>
      </c>
      <c r="C72" s="23">
        <v>26256000</v>
      </c>
      <c r="D72" s="23">
        <v>25523000</v>
      </c>
      <c r="E72" s="23">
        <f>D72-C72</f>
        <v>-733000</v>
      </c>
      <c r="F72" s="24">
        <f>IF(C72=0,0,E72/C72)</f>
        <v>-2.7917428397318707E-2</v>
      </c>
    </row>
    <row r="73" spans="1:6" ht="24" customHeight="1" x14ac:dyDescent="0.25">
      <c r="A73" s="21"/>
      <c r="B73" s="26" t="s">
        <v>67</v>
      </c>
      <c r="C73" s="27">
        <f>SUM(C70:C72)</f>
        <v>655514000</v>
      </c>
      <c r="D73" s="27">
        <f>SUM(D70:D72)</f>
        <v>685202000</v>
      </c>
      <c r="E73" s="27">
        <f>D73-C73</f>
        <v>29688000</v>
      </c>
      <c r="F73" s="28">
        <f>IF(C73=0,0,E73/C73)</f>
        <v>4.5289650564290004E-2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1791160000</v>
      </c>
      <c r="D75" s="27">
        <f>D56+D65+D67+D73</f>
        <v>2019214000</v>
      </c>
      <c r="E75" s="27">
        <f>D75-C75</f>
        <v>228054000</v>
      </c>
      <c r="F75" s="28">
        <f>IF(C75=0,0,E75/C75)</f>
        <v>0.12732195895397397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FILING&amp;RYNH NETWORK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4018705000</v>
      </c>
      <c r="D12" s="51">
        <v>4524118000</v>
      </c>
      <c r="E12" s="51">
        <f t="shared" ref="E12:E19" si="0">D12-C12</f>
        <v>505413000</v>
      </c>
      <c r="F12" s="70">
        <f t="shared" ref="F12:F19" si="1">IF(C12=0,0,E12/C12)</f>
        <v>0.12576514076051862</v>
      </c>
    </row>
    <row r="13" spans="1:8" ht="23.1" customHeight="1" x14ac:dyDescent="0.2">
      <c r="A13" s="25">
        <v>2</v>
      </c>
      <c r="B13" s="48" t="s">
        <v>72</v>
      </c>
      <c r="C13" s="51">
        <v>2590937000</v>
      </c>
      <c r="D13" s="51">
        <v>3000453000</v>
      </c>
      <c r="E13" s="51">
        <f t="shared" si="0"/>
        <v>409516000</v>
      </c>
      <c r="F13" s="70">
        <f t="shared" si="1"/>
        <v>0.15805710443750659</v>
      </c>
    </row>
    <row r="14" spans="1:8" ht="23.1" customHeight="1" x14ac:dyDescent="0.2">
      <c r="A14" s="25">
        <v>3</v>
      </c>
      <c r="B14" s="48" t="s">
        <v>73</v>
      </c>
      <c r="C14" s="51">
        <v>62606000</v>
      </c>
      <c r="D14" s="51">
        <v>61299000</v>
      </c>
      <c r="E14" s="51">
        <f t="shared" si="0"/>
        <v>-1307000</v>
      </c>
      <c r="F14" s="70">
        <f t="shared" si="1"/>
        <v>-2.0876593297766987E-2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1365162000</v>
      </c>
      <c r="D16" s="27">
        <f>D12-D13-D14-D15</f>
        <v>1462366000</v>
      </c>
      <c r="E16" s="27">
        <f t="shared" si="0"/>
        <v>97204000</v>
      </c>
      <c r="F16" s="28">
        <f t="shared" si="1"/>
        <v>7.1203271113611424E-2</v>
      </c>
    </row>
    <row r="17" spans="1:7" ht="23.1" customHeight="1" x14ac:dyDescent="0.2">
      <c r="A17" s="25">
        <v>5</v>
      </c>
      <c r="B17" s="48" t="s">
        <v>76</v>
      </c>
      <c r="C17" s="51">
        <v>50190000</v>
      </c>
      <c r="D17" s="51">
        <v>48257000</v>
      </c>
      <c r="E17" s="51">
        <f t="shared" si="0"/>
        <v>-1933000</v>
      </c>
      <c r="F17" s="70">
        <f t="shared" si="1"/>
        <v>-3.8513648137079103E-2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1415352000</v>
      </c>
      <c r="D19" s="27">
        <f>SUM(D16:D18)</f>
        <v>1510623000</v>
      </c>
      <c r="E19" s="27">
        <f t="shared" si="0"/>
        <v>95271000</v>
      </c>
      <c r="F19" s="28">
        <f t="shared" si="1"/>
        <v>6.731258372475539E-2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505791000</v>
      </c>
      <c r="D22" s="51">
        <v>543111000</v>
      </c>
      <c r="E22" s="51">
        <f t="shared" ref="E22:E31" si="2">D22-C22</f>
        <v>37320000</v>
      </c>
      <c r="F22" s="70">
        <f t="shared" ref="F22:F31" si="3">IF(C22=0,0,E22/C22)</f>
        <v>7.3785417296867675E-2</v>
      </c>
    </row>
    <row r="23" spans="1:7" ht="23.1" customHeight="1" x14ac:dyDescent="0.2">
      <c r="A23" s="25">
        <v>2</v>
      </c>
      <c r="B23" s="48" t="s">
        <v>81</v>
      </c>
      <c r="C23" s="51">
        <v>139589000</v>
      </c>
      <c r="D23" s="51">
        <v>154076000</v>
      </c>
      <c r="E23" s="51">
        <f t="shared" si="2"/>
        <v>14487000</v>
      </c>
      <c r="F23" s="70">
        <f t="shared" si="3"/>
        <v>0.10378324939644241</v>
      </c>
    </row>
    <row r="24" spans="1:7" ht="23.1" customHeight="1" x14ac:dyDescent="0.2">
      <c r="A24" s="25">
        <v>3</v>
      </c>
      <c r="B24" s="48" t="s">
        <v>82</v>
      </c>
      <c r="C24" s="51">
        <v>70868000</v>
      </c>
      <c r="D24" s="51">
        <v>58940000</v>
      </c>
      <c r="E24" s="51">
        <f t="shared" si="2"/>
        <v>-11928000</v>
      </c>
      <c r="F24" s="70">
        <f t="shared" si="3"/>
        <v>-0.1683129197945476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210426000</v>
      </c>
      <c r="D25" s="51">
        <v>226627000</v>
      </c>
      <c r="E25" s="51">
        <f t="shared" si="2"/>
        <v>16201000</v>
      </c>
      <c r="F25" s="70">
        <f t="shared" si="3"/>
        <v>7.6991436419453871E-2</v>
      </c>
    </row>
    <row r="26" spans="1:7" ht="23.1" customHeight="1" x14ac:dyDescent="0.2">
      <c r="A26" s="25">
        <v>5</v>
      </c>
      <c r="B26" s="48" t="s">
        <v>84</v>
      </c>
      <c r="C26" s="51">
        <v>53217000</v>
      </c>
      <c r="D26" s="51">
        <v>69390000</v>
      </c>
      <c r="E26" s="51">
        <f t="shared" si="2"/>
        <v>16173000</v>
      </c>
      <c r="F26" s="70">
        <f t="shared" si="3"/>
        <v>0.30390664637239978</v>
      </c>
    </row>
    <row r="27" spans="1:7" ht="23.1" customHeight="1" x14ac:dyDescent="0.2">
      <c r="A27" s="25">
        <v>6</v>
      </c>
      <c r="B27" s="48" t="s">
        <v>85</v>
      </c>
      <c r="C27" s="51">
        <v>27846000</v>
      </c>
      <c r="D27" s="51">
        <v>26664000</v>
      </c>
      <c r="E27" s="51">
        <f t="shared" si="2"/>
        <v>-1182000</v>
      </c>
      <c r="F27" s="70">
        <f t="shared" si="3"/>
        <v>-4.2447748330101273E-2</v>
      </c>
    </row>
    <row r="28" spans="1:7" ht="23.1" customHeight="1" x14ac:dyDescent="0.2">
      <c r="A28" s="25">
        <v>7</v>
      </c>
      <c r="B28" s="48" t="s">
        <v>86</v>
      </c>
      <c r="C28" s="51">
        <v>12851000</v>
      </c>
      <c r="D28" s="51">
        <v>16900000</v>
      </c>
      <c r="E28" s="51">
        <f t="shared" si="2"/>
        <v>4049000</v>
      </c>
      <c r="F28" s="70">
        <f t="shared" si="3"/>
        <v>0.31507275698389231</v>
      </c>
    </row>
    <row r="29" spans="1:7" ht="23.1" customHeight="1" x14ac:dyDescent="0.2">
      <c r="A29" s="25">
        <v>8</v>
      </c>
      <c r="B29" s="48" t="s">
        <v>87</v>
      </c>
      <c r="C29" s="51">
        <v>17269000</v>
      </c>
      <c r="D29" s="51">
        <v>13514000</v>
      </c>
      <c r="E29" s="51">
        <f t="shared" si="2"/>
        <v>-3755000</v>
      </c>
      <c r="F29" s="70">
        <f t="shared" si="3"/>
        <v>-0.21744165846314203</v>
      </c>
    </row>
    <row r="30" spans="1:7" ht="23.1" customHeight="1" x14ac:dyDescent="0.2">
      <c r="A30" s="25">
        <v>9</v>
      </c>
      <c r="B30" s="48" t="s">
        <v>88</v>
      </c>
      <c r="C30" s="51">
        <v>303362000</v>
      </c>
      <c r="D30" s="51">
        <v>344093000</v>
      </c>
      <c r="E30" s="51">
        <f t="shared" si="2"/>
        <v>40731000</v>
      </c>
      <c r="F30" s="70">
        <f t="shared" si="3"/>
        <v>0.13426533316631614</v>
      </c>
    </row>
    <row r="31" spans="1:7" ht="23.1" customHeight="1" x14ac:dyDescent="0.25">
      <c r="A31" s="29"/>
      <c r="B31" s="71" t="s">
        <v>89</v>
      </c>
      <c r="C31" s="27">
        <f>SUM(C22:C30)</f>
        <v>1341219000</v>
      </c>
      <c r="D31" s="27">
        <f>SUM(D22:D30)</f>
        <v>1453315000</v>
      </c>
      <c r="E31" s="27">
        <f t="shared" si="2"/>
        <v>112096000</v>
      </c>
      <c r="F31" s="28">
        <f t="shared" si="3"/>
        <v>8.3577700584319195E-2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74133000</v>
      </c>
      <c r="D33" s="27">
        <f>+D19-D31</f>
        <v>57308000</v>
      </c>
      <c r="E33" s="27">
        <f>D33-C33</f>
        <v>-16825000</v>
      </c>
      <c r="F33" s="28">
        <f>IF(C33=0,0,E33/C33)</f>
        <v>-0.22695695574170746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6851000</v>
      </c>
      <c r="D36" s="51">
        <v>17336000</v>
      </c>
      <c r="E36" s="51">
        <f>D36-C36</f>
        <v>10485000</v>
      </c>
      <c r="F36" s="70">
        <f>IF(C36=0,0,E36/C36)</f>
        <v>1.5304335133557145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-16515000</v>
      </c>
      <c r="D38" s="51">
        <v>-1679000</v>
      </c>
      <c r="E38" s="51">
        <f>D38-C38</f>
        <v>14836000</v>
      </c>
      <c r="F38" s="70">
        <f>IF(C38=0,0,E38/C38)</f>
        <v>-0.89833484710868905</v>
      </c>
    </row>
    <row r="39" spans="1:6" ht="23.1" customHeight="1" x14ac:dyDescent="0.25">
      <c r="A39" s="20"/>
      <c r="B39" s="71" t="s">
        <v>95</v>
      </c>
      <c r="C39" s="27">
        <f>SUM(C36:C38)</f>
        <v>-9664000</v>
      </c>
      <c r="D39" s="27">
        <f>SUM(D36:D38)</f>
        <v>15657000</v>
      </c>
      <c r="E39" s="27">
        <f>D39-C39</f>
        <v>25321000</v>
      </c>
      <c r="F39" s="28">
        <f>IF(C39=0,0,E39/C39)</f>
        <v>-2.6201365894039736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64469000</v>
      </c>
      <c r="D41" s="27">
        <f>D33+D39</f>
        <v>72965000</v>
      </c>
      <c r="E41" s="27">
        <f>D41-C41</f>
        <v>8496000</v>
      </c>
      <c r="F41" s="28">
        <f>IF(C41=0,0,E41/C41)</f>
        <v>0.13178426840807209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22044000</v>
      </c>
      <c r="D44" s="51">
        <v>-1949000</v>
      </c>
      <c r="E44" s="51">
        <f>D44-C44</f>
        <v>-23993000</v>
      </c>
      <c r="F44" s="70">
        <f>IF(C44=0,0,E44/C44)</f>
        <v>-1.088414080929051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22044000</v>
      </c>
      <c r="D46" s="27">
        <f>SUM(D44:D45)</f>
        <v>-1949000</v>
      </c>
      <c r="E46" s="27">
        <f>D46-C46</f>
        <v>-23993000</v>
      </c>
      <c r="F46" s="28">
        <f>IF(C46=0,0,E46/C46)</f>
        <v>-1.088414080929051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86513000</v>
      </c>
      <c r="D48" s="27">
        <f>D41+D46</f>
        <v>71016000</v>
      </c>
      <c r="E48" s="27">
        <f>D48-C48</f>
        <v>-15497000</v>
      </c>
      <c r="F48" s="28">
        <f>IF(C48=0,0,E48/C48)</f>
        <v>-0.17912914822049866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FILING&amp;R&amp;8YNH NETWORK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2012-06-21T13:41:51Z</cp:lastPrinted>
  <dcterms:created xsi:type="dcterms:W3CDTF">2006-08-03T13:49:12Z</dcterms:created>
  <dcterms:modified xsi:type="dcterms:W3CDTF">2012-06-21T13:52:54Z</dcterms:modified>
</cp:coreProperties>
</file>